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4부 엑셀을 이용한 분석의 시각화\Chap15_표서식과 조건부서식\Chap15_표서식과 조건부서식_준비파일\"/>
    </mc:Choice>
  </mc:AlternateContent>
  <xr:revisionPtr revIDLastSave="0" documentId="13_ncr:1_{83E64982-4C4C-4BE2-BAC8-2C31415EC5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분반1_항목에대한서식" sheetId="5" r:id="rId1"/>
    <sheet name="분반1_행에대한서식" sheetId="8" r:id="rId2"/>
    <sheet name="학과코드" sheetId="3" r:id="rId3"/>
    <sheet name="정렬예제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9" i="8" l="1"/>
  <c r="M59" i="8"/>
  <c r="K59" i="8"/>
  <c r="J59" i="8"/>
  <c r="H59" i="8"/>
  <c r="F59" i="8"/>
  <c r="N58" i="8"/>
  <c r="M58" i="8"/>
  <c r="K58" i="8"/>
  <c r="J58" i="8"/>
  <c r="H58" i="8"/>
  <c r="F58" i="8"/>
  <c r="N57" i="8"/>
  <c r="M57" i="8"/>
  <c r="K57" i="8"/>
  <c r="J57" i="8"/>
  <c r="H57" i="8"/>
  <c r="F57" i="8"/>
  <c r="N56" i="8"/>
  <c r="M56" i="8"/>
  <c r="K56" i="8"/>
  <c r="J56" i="8"/>
  <c r="H56" i="8"/>
  <c r="F56" i="8"/>
  <c r="N55" i="8"/>
  <c r="M55" i="8"/>
  <c r="K55" i="8"/>
  <c r="J55" i="8"/>
  <c r="H55" i="8"/>
  <c r="F55" i="8"/>
  <c r="T54" i="8"/>
  <c r="S54" i="8"/>
  <c r="U54" i="8" s="1"/>
  <c r="L54" i="8"/>
  <c r="O54" i="8" s="1"/>
  <c r="I54" i="8"/>
  <c r="G54" i="8"/>
  <c r="D54" i="8"/>
  <c r="U53" i="8"/>
  <c r="T53" i="8"/>
  <c r="S53" i="8"/>
  <c r="O53" i="8"/>
  <c r="L53" i="8"/>
  <c r="I53" i="8"/>
  <c r="G53" i="8"/>
  <c r="D53" i="8"/>
  <c r="U52" i="8"/>
  <c r="T52" i="8"/>
  <c r="S52" i="8"/>
  <c r="L52" i="8"/>
  <c r="I52" i="8"/>
  <c r="G52" i="8"/>
  <c r="O52" i="8" s="1"/>
  <c r="D52" i="8"/>
  <c r="T51" i="8"/>
  <c r="S51" i="8"/>
  <c r="U51" i="8" s="1"/>
  <c r="L51" i="8"/>
  <c r="I51" i="8"/>
  <c r="G51" i="8"/>
  <c r="O51" i="8" s="1"/>
  <c r="D51" i="8"/>
  <c r="T50" i="8"/>
  <c r="S50" i="8"/>
  <c r="U50" i="8" s="1"/>
  <c r="L50" i="8"/>
  <c r="O50" i="8" s="1"/>
  <c r="I50" i="8"/>
  <c r="G50" i="8"/>
  <c r="D50" i="8"/>
  <c r="U49" i="8"/>
  <c r="T49" i="8"/>
  <c r="S49" i="8"/>
  <c r="O49" i="8"/>
  <c r="L49" i="8"/>
  <c r="I49" i="8"/>
  <c r="G49" i="8"/>
  <c r="D49" i="8"/>
  <c r="U48" i="8"/>
  <c r="T48" i="8"/>
  <c r="S48" i="8"/>
  <c r="L48" i="8"/>
  <c r="I48" i="8"/>
  <c r="G48" i="8"/>
  <c r="O48" i="8" s="1"/>
  <c r="D48" i="8"/>
  <c r="T47" i="8"/>
  <c r="S47" i="8"/>
  <c r="U47" i="8" s="1"/>
  <c r="L47" i="8"/>
  <c r="I47" i="8"/>
  <c r="G47" i="8"/>
  <c r="O47" i="8" s="1"/>
  <c r="D47" i="8"/>
  <c r="T46" i="8"/>
  <c r="S46" i="8"/>
  <c r="U46" i="8" s="1"/>
  <c r="L46" i="8"/>
  <c r="O46" i="8" s="1"/>
  <c r="I46" i="8"/>
  <c r="G46" i="8"/>
  <c r="D46" i="8"/>
  <c r="U45" i="8"/>
  <c r="T45" i="8"/>
  <c r="S45" i="8"/>
  <c r="O45" i="8"/>
  <c r="L45" i="8"/>
  <c r="I45" i="8"/>
  <c r="G45" i="8"/>
  <c r="D45" i="8"/>
  <c r="U44" i="8"/>
  <c r="T44" i="8"/>
  <c r="S44" i="8"/>
  <c r="L44" i="8"/>
  <c r="I44" i="8"/>
  <c r="G44" i="8"/>
  <c r="O44" i="8" s="1"/>
  <c r="D44" i="8"/>
  <c r="T43" i="8"/>
  <c r="S43" i="8"/>
  <c r="U43" i="8" s="1"/>
  <c r="L43" i="8"/>
  <c r="I43" i="8"/>
  <c r="G43" i="8"/>
  <c r="O43" i="8" s="1"/>
  <c r="D43" i="8"/>
  <c r="T42" i="8"/>
  <c r="S42" i="8"/>
  <c r="U42" i="8" s="1"/>
  <c r="L42" i="8"/>
  <c r="O42" i="8" s="1"/>
  <c r="I42" i="8"/>
  <c r="G42" i="8"/>
  <c r="D42" i="8"/>
  <c r="U41" i="8"/>
  <c r="T41" i="8"/>
  <c r="S41" i="8"/>
  <c r="O41" i="8"/>
  <c r="L41" i="8"/>
  <c r="I41" i="8"/>
  <c r="G41" i="8"/>
  <c r="D41" i="8"/>
  <c r="U40" i="8"/>
  <c r="T40" i="8"/>
  <c r="S40" i="8"/>
  <c r="L40" i="8"/>
  <c r="I40" i="8"/>
  <c r="G40" i="8"/>
  <c r="O40" i="8" s="1"/>
  <c r="D40" i="8"/>
  <c r="U39" i="8"/>
  <c r="T39" i="8"/>
  <c r="D39" i="8" s="1"/>
  <c r="S39" i="8"/>
  <c r="O39" i="8"/>
  <c r="L39" i="8"/>
  <c r="I39" i="8"/>
  <c r="G39" i="8"/>
  <c r="T38" i="8"/>
  <c r="D38" i="8" s="1"/>
  <c r="S38" i="8"/>
  <c r="U38" i="8" s="1"/>
  <c r="L38" i="8"/>
  <c r="O38" i="8" s="1"/>
  <c r="I38" i="8"/>
  <c r="G38" i="8"/>
  <c r="T37" i="8"/>
  <c r="S37" i="8"/>
  <c r="U37" i="8" s="1"/>
  <c r="O37" i="8"/>
  <c r="L37" i="8"/>
  <c r="I37" i="8"/>
  <c r="G37" i="8"/>
  <c r="D37" i="8"/>
  <c r="U36" i="8"/>
  <c r="T36" i="8"/>
  <c r="S36" i="8"/>
  <c r="L36" i="8"/>
  <c r="I36" i="8"/>
  <c r="G36" i="8"/>
  <c r="O36" i="8" s="1"/>
  <c r="D36" i="8"/>
  <c r="U35" i="8"/>
  <c r="T35" i="8"/>
  <c r="S35" i="8"/>
  <c r="L35" i="8"/>
  <c r="I35" i="8"/>
  <c r="G35" i="8"/>
  <c r="O35" i="8" s="1"/>
  <c r="D35" i="8"/>
  <c r="T34" i="8"/>
  <c r="D34" i="8" s="1"/>
  <c r="S34" i="8"/>
  <c r="U34" i="8" s="1"/>
  <c r="O34" i="8"/>
  <c r="L34" i="8"/>
  <c r="I34" i="8"/>
  <c r="G34" i="8"/>
  <c r="T33" i="8"/>
  <c r="S33" i="8"/>
  <c r="U33" i="8" s="1"/>
  <c r="L33" i="8"/>
  <c r="I33" i="8"/>
  <c r="O33" i="8" s="1"/>
  <c r="G33" i="8"/>
  <c r="D33" i="8"/>
  <c r="U32" i="8"/>
  <c r="T32" i="8"/>
  <c r="S32" i="8"/>
  <c r="L32" i="8"/>
  <c r="I32" i="8"/>
  <c r="G32" i="8"/>
  <c r="D32" i="8"/>
  <c r="U31" i="8"/>
  <c r="T31" i="8"/>
  <c r="S31" i="8"/>
  <c r="L31" i="8"/>
  <c r="I31" i="8"/>
  <c r="G31" i="8"/>
  <c r="D31" i="8"/>
  <c r="T30" i="8"/>
  <c r="S30" i="8"/>
  <c r="U30" i="8" s="1"/>
  <c r="L30" i="8"/>
  <c r="I30" i="8"/>
  <c r="G30" i="8"/>
  <c r="O30" i="8" s="1"/>
  <c r="D30" i="8"/>
  <c r="AP29" i="8"/>
  <c r="T29" i="8"/>
  <c r="S29" i="8"/>
  <c r="U29" i="8" s="1"/>
  <c r="O29" i="8"/>
  <c r="L29" i="8"/>
  <c r="I29" i="8"/>
  <c r="G29" i="8"/>
  <c r="D29" i="8"/>
  <c r="AT28" i="8"/>
  <c r="U28" i="8"/>
  <c r="T28" i="8"/>
  <c r="D28" i="8" s="1"/>
  <c r="S28" i="8"/>
  <c r="L28" i="8"/>
  <c r="O28" i="8" s="1"/>
  <c r="I28" i="8"/>
  <c r="G28" i="8"/>
  <c r="AX27" i="8"/>
  <c r="U27" i="8"/>
  <c r="T27" i="8"/>
  <c r="S27" i="8"/>
  <c r="L27" i="8"/>
  <c r="I27" i="8"/>
  <c r="G27" i="8"/>
  <c r="D27" i="8"/>
  <c r="U26" i="8"/>
  <c r="T26" i="8"/>
  <c r="S26" i="8"/>
  <c r="O26" i="8"/>
  <c r="L26" i="8"/>
  <c r="I26" i="8"/>
  <c r="G26" i="8"/>
  <c r="D26" i="8"/>
  <c r="T25" i="8"/>
  <c r="S25" i="8"/>
  <c r="U25" i="8" s="1"/>
  <c r="L25" i="8"/>
  <c r="I25" i="8"/>
  <c r="G25" i="8"/>
  <c r="O25" i="8" s="1"/>
  <c r="D25" i="8"/>
  <c r="T24" i="8"/>
  <c r="S24" i="8"/>
  <c r="U24" i="8" s="1"/>
  <c r="O24" i="8"/>
  <c r="L24" i="8"/>
  <c r="I24" i="8"/>
  <c r="G24" i="8"/>
  <c r="D24" i="8"/>
  <c r="U23" i="8"/>
  <c r="T23" i="8"/>
  <c r="S23" i="8"/>
  <c r="L23" i="8"/>
  <c r="I23" i="8"/>
  <c r="G23" i="8"/>
  <c r="O23" i="8" s="1"/>
  <c r="D23" i="8"/>
  <c r="U22" i="8"/>
  <c r="T22" i="8"/>
  <c r="S22" i="8"/>
  <c r="L22" i="8"/>
  <c r="I22" i="8"/>
  <c r="G22" i="8"/>
  <c r="D22" i="8"/>
  <c r="U21" i="8"/>
  <c r="T21" i="8"/>
  <c r="S21" i="8"/>
  <c r="L21" i="8"/>
  <c r="I21" i="8"/>
  <c r="G21" i="8"/>
  <c r="O21" i="8" s="1"/>
  <c r="D21" i="8"/>
  <c r="U20" i="8"/>
  <c r="T20" i="8"/>
  <c r="S20" i="8"/>
  <c r="L20" i="8"/>
  <c r="I20" i="8"/>
  <c r="G20" i="8"/>
  <c r="D20" i="8"/>
  <c r="U19" i="8"/>
  <c r="T19" i="8"/>
  <c r="S19" i="8"/>
  <c r="L19" i="8"/>
  <c r="I19" i="8"/>
  <c r="G19" i="8"/>
  <c r="O19" i="8" s="1"/>
  <c r="D19" i="8"/>
  <c r="U18" i="8"/>
  <c r="T18" i="8"/>
  <c r="S18" i="8"/>
  <c r="O18" i="8"/>
  <c r="L18" i="8"/>
  <c r="I18" i="8"/>
  <c r="G18" i="8"/>
  <c r="D18" i="8"/>
  <c r="AS17" i="8"/>
  <c r="U17" i="8"/>
  <c r="T17" i="8"/>
  <c r="S17" i="8"/>
  <c r="O17" i="8"/>
  <c r="L17" i="8"/>
  <c r="I17" i="8"/>
  <c r="G17" i="8"/>
  <c r="D17" i="8"/>
  <c r="AX16" i="8"/>
  <c r="AS16" i="8"/>
  <c r="T16" i="8"/>
  <c r="S16" i="8"/>
  <c r="U16" i="8" s="1"/>
  <c r="O16" i="8"/>
  <c r="L16" i="8"/>
  <c r="I16" i="8"/>
  <c r="G16" i="8"/>
  <c r="D16" i="8"/>
  <c r="AU15" i="8"/>
  <c r="AQ15" i="8"/>
  <c r="AP15" i="8"/>
  <c r="T15" i="8"/>
  <c r="S15" i="8"/>
  <c r="U15" i="8" s="1"/>
  <c r="L15" i="8"/>
  <c r="I15" i="8"/>
  <c r="G15" i="8"/>
  <c r="O15" i="8" s="1"/>
  <c r="AC14" i="8"/>
  <c r="T14" i="8"/>
  <c r="S14" i="8"/>
  <c r="U14" i="8" s="1"/>
  <c r="L14" i="8"/>
  <c r="I14" i="8"/>
  <c r="G14" i="8"/>
  <c r="D14" i="8"/>
  <c r="AC13" i="8"/>
  <c r="U13" i="8"/>
  <c r="T13" i="8"/>
  <c r="S13" i="8"/>
  <c r="L13" i="8"/>
  <c r="I13" i="8"/>
  <c r="G13" i="8"/>
  <c r="O13" i="8" s="1"/>
  <c r="D13" i="8"/>
  <c r="U12" i="8"/>
  <c r="T12" i="8"/>
  <c r="BP8" i="8" s="1"/>
  <c r="S12" i="8"/>
  <c r="O12" i="8"/>
  <c r="L12" i="8"/>
  <c r="I12" i="8"/>
  <c r="G12" i="8"/>
  <c r="BK11" i="8"/>
  <c r="AC11" i="8"/>
  <c r="AB11" i="8"/>
  <c r="T11" i="8"/>
  <c r="D11" i="8" s="1"/>
  <c r="S11" i="8"/>
  <c r="U11" i="8" s="1"/>
  <c r="L11" i="8"/>
  <c r="O11" i="8" s="1"/>
  <c r="I11" i="8"/>
  <c r="G11" i="8"/>
  <c r="U10" i="8"/>
  <c r="T10" i="8"/>
  <c r="S10" i="8"/>
  <c r="L10" i="8"/>
  <c r="I10" i="8"/>
  <c r="G10" i="8"/>
  <c r="O10" i="8" s="1"/>
  <c r="BL9" i="8"/>
  <c r="U9" i="8"/>
  <c r="T9" i="8"/>
  <c r="S9" i="8"/>
  <c r="L9" i="8"/>
  <c r="I9" i="8"/>
  <c r="G9" i="8"/>
  <c r="O9" i="8" s="1"/>
  <c r="D9" i="8"/>
  <c r="BM8" i="8"/>
  <c r="T8" i="8"/>
  <c r="S8" i="8"/>
  <c r="U8" i="8" s="1"/>
  <c r="L8" i="8"/>
  <c r="I8" i="8"/>
  <c r="G8" i="8"/>
  <c r="O8" i="8" s="1"/>
  <c r="D8" i="8"/>
  <c r="T7" i="8"/>
  <c r="S7" i="8"/>
  <c r="U7" i="8" s="1"/>
  <c r="L7" i="8"/>
  <c r="I7" i="8"/>
  <c r="G7" i="8"/>
  <c r="O7" i="8" s="1"/>
  <c r="D7" i="8"/>
  <c r="BN6" i="8"/>
  <c r="T6" i="8"/>
  <c r="S6" i="8"/>
  <c r="U6" i="8" s="1"/>
  <c r="L6" i="8"/>
  <c r="I6" i="8"/>
  <c r="G6" i="8"/>
  <c r="D6" i="8"/>
  <c r="BQ5" i="8"/>
  <c r="BF5" i="8"/>
  <c r="AX5" i="8"/>
  <c r="AW5" i="8"/>
  <c r="AT5" i="8"/>
  <c r="AS5" i="8"/>
  <c r="AP5" i="8"/>
  <c r="T5" i="8"/>
  <c r="S5" i="8"/>
  <c r="U5" i="8" s="1"/>
  <c r="L5" i="8"/>
  <c r="I5" i="8"/>
  <c r="G5" i="8"/>
  <c r="D5" i="8"/>
  <c r="BR4" i="8"/>
  <c r="AX4" i="8"/>
  <c r="AW4" i="8"/>
  <c r="AT4" i="8"/>
  <c r="AS4" i="8"/>
  <c r="AP4" i="8"/>
  <c r="T4" i="8"/>
  <c r="S4" i="8"/>
  <c r="L4" i="8"/>
  <c r="I4" i="8"/>
  <c r="G4" i="8"/>
  <c r="O4" i="8" s="1"/>
  <c r="D4" i="8"/>
  <c r="AX3" i="8"/>
  <c r="AW3" i="8"/>
  <c r="AT3" i="8"/>
  <c r="AS3" i="8"/>
  <c r="AP3" i="8"/>
  <c r="T3" i="8"/>
  <c r="S3" i="8"/>
  <c r="L3" i="8"/>
  <c r="I3" i="8"/>
  <c r="G3" i="8"/>
  <c r="O3" i="8" s="1"/>
  <c r="D3" i="8"/>
  <c r="T2" i="8"/>
  <c r="S2" i="8"/>
  <c r="U2" i="8" s="1"/>
  <c r="L2" i="8"/>
  <c r="I2" i="8"/>
  <c r="G2" i="8"/>
  <c r="U3" i="8" l="1"/>
  <c r="BM7" i="8"/>
  <c r="BQ13" i="8"/>
  <c r="BP14" i="8"/>
  <c r="BK23" i="8"/>
  <c r="BF12" i="8"/>
  <c r="BO9" i="8"/>
  <c r="BN16" i="8"/>
  <c r="BM22" i="8"/>
  <c r="L58" i="8"/>
  <c r="L56" i="8"/>
  <c r="L59" i="8"/>
  <c r="L57" i="8"/>
  <c r="L55" i="8"/>
  <c r="BG5" i="8"/>
  <c r="BF6" i="8"/>
  <c r="BO10" i="8"/>
  <c r="BL12" i="8"/>
  <c r="BM18" i="8"/>
  <c r="BF3" i="8"/>
  <c r="BN4" i="8"/>
  <c r="O5" i="8"/>
  <c r="BM5" i="8"/>
  <c r="BG6" i="8"/>
  <c r="BR6" i="8"/>
  <c r="BF7" i="8"/>
  <c r="BQ7" i="8"/>
  <c r="BQ8" i="8"/>
  <c r="BP9" i="8"/>
  <c r="BN23" i="8"/>
  <c r="BL19" i="8"/>
  <c r="BO16" i="8"/>
  <c r="BG15" i="8"/>
  <c r="BQ12" i="8"/>
  <c r="BL11" i="8"/>
  <c r="BP22" i="8"/>
  <c r="BP20" i="8"/>
  <c r="BP18" i="8"/>
  <c r="BO15" i="8"/>
  <c r="BR14" i="8"/>
  <c r="BL14" i="8"/>
  <c r="BF13" i="8"/>
  <c r="BM12" i="8"/>
  <c r="BR10" i="8"/>
  <c r="D12" i="8"/>
  <c r="BP12" i="8"/>
  <c r="BN15" i="8"/>
  <c r="BF21" i="8"/>
  <c r="I58" i="8"/>
  <c r="I56" i="8"/>
  <c r="I59" i="8"/>
  <c r="I57" i="8"/>
  <c r="I55" i="8"/>
  <c r="O2" i="8"/>
  <c r="BF19" i="8"/>
  <c r="U4" i="8"/>
  <c r="BR13" i="8"/>
  <c r="BM13" i="8"/>
  <c r="BM4" i="8"/>
  <c r="BR5" i="8"/>
  <c r="BQ6" i="8"/>
  <c r="BN7" i="8"/>
  <c r="BF15" i="8"/>
  <c r="BG3" i="8"/>
  <c r="BQ4" i="8"/>
  <c r="BN5" i="8"/>
  <c r="O6" i="8"/>
  <c r="BM6" i="8"/>
  <c r="BG7" i="8"/>
  <c r="BR7" i="8"/>
  <c r="BL8" i="8"/>
  <c r="BK9" i="8"/>
  <c r="D10" i="8"/>
  <c r="BK10" i="8"/>
  <c r="BL13" i="8"/>
  <c r="BK14" i="8"/>
  <c r="BM20" i="8"/>
  <c r="BQ21" i="8"/>
  <c r="AV29" i="8"/>
  <c r="AR29" i="8"/>
  <c r="AW28" i="8"/>
  <c r="AS28" i="8"/>
  <c r="AU29" i="8"/>
  <c r="AQ29" i="8"/>
  <c r="AV28" i="8"/>
  <c r="AR28" i="8"/>
  <c r="AW27" i="8"/>
  <c r="AS27" i="8"/>
  <c r="AX29" i="8"/>
  <c r="AW29" i="8"/>
  <c r="AX28" i="8"/>
  <c r="AP28" i="8"/>
  <c r="AU27" i="8"/>
  <c r="AP27" i="8"/>
  <c r="AV17" i="8"/>
  <c r="AR17" i="8"/>
  <c r="AU16" i="8"/>
  <c r="AQ16" i="8"/>
  <c r="AV15" i="8"/>
  <c r="AR15" i="8"/>
  <c r="AT29" i="8"/>
  <c r="AU28" i="8"/>
  <c r="AT27" i="8"/>
  <c r="AU17" i="8"/>
  <c r="AW15" i="8"/>
  <c r="AT17" i="8"/>
  <c r="D2" i="8"/>
  <c r="AQ3" i="8"/>
  <c r="AU3" i="8"/>
  <c r="AQ4" i="8"/>
  <c r="AU4" i="8"/>
  <c r="BK4" i="8"/>
  <c r="BO4" i="8"/>
  <c r="AQ5" i="8"/>
  <c r="AU5" i="8"/>
  <c r="BO5" i="8"/>
  <c r="BK6" i="8"/>
  <c r="BO6" i="8"/>
  <c r="BK7" i="8"/>
  <c r="BO7" i="8"/>
  <c r="BG8" i="8"/>
  <c r="BN8" i="8"/>
  <c r="BR8" i="8"/>
  <c r="BF9" i="8"/>
  <c r="BM9" i="8"/>
  <c r="BQ9" i="8"/>
  <c r="BL10" i="8"/>
  <c r="BP10" i="8"/>
  <c r="BF11" i="8"/>
  <c r="BM11" i="8"/>
  <c r="BQ11" i="8"/>
  <c r="BG12" i="8"/>
  <c r="BN12" i="8"/>
  <c r="BR12" i="8"/>
  <c r="BG13" i="8"/>
  <c r="BN13" i="8"/>
  <c r="BN14" i="8"/>
  <c r="D15" i="8"/>
  <c r="AS15" i="8"/>
  <c r="AX15" i="8"/>
  <c r="BK15" i="8"/>
  <c r="BQ15" i="8"/>
  <c r="AP16" i="8"/>
  <c r="AV16" i="8"/>
  <c r="BK16" i="8"/>
  <c r="BP16" i="8"/>
  <c r="AP17" i="8"/>
  <c r="AW17" i="8"/>
  <c r="BO17" i="8"/>
  <c r="BQ18" i="8"/>
  <c r="BM19" i="8"/>
  <c r="O20" i="8"/>
  <c r="BK5" i="8" s="1"/>
  <c r="BQ20" i="8"/>
  <c r="BM21" i="8"/>
  <c r="O22" i="8"/>
  <c r="BF22" i="8"/>
  <c r="BQ22" i="8"/>
  <c r="BO23" i="8"/>
  <c r="AR27" i="8"/>
  <c r="AT16" i="8"/>
  <c r="AQ27" i="8"/>
  <c r="AS29" i="8"/>
  <c r="BQ23" i="8"/>
  <c r="BM23" i="8"/>
  <c r="BO22" i="8"/>
  <c r="BK22" i="8"/>
  <c r="BO21" i="8"/>
  <c r="BO20" i="8"/>
  <c r="BK20" i="8"/>
  <c r="BO19" i="8"/>
  <c r="BK19" i="8"/>
  <c r="BO18" i="8"/>
  <c r="BK18" i="8"/>
  <c r="BR17" i="8"/>
  <c r="BN17" i="8"/>
  <c r="BG17" i="8"/>
  <c r="BQ16" i="8"/>
  <c r="BM16" i="8"/>
  <c r="BP15" i="8"/>
  <c r="BL15" i="8"/>
  <c r="BQ14" i="8"/>
  <c r="BM14" i="8"/>
  <c r="BF14" i="8"/>
  <c r="BO13" i="8"/>
  <c r="BP23" i="8"/>
  <c r="BL23" i="8"/>
  <c r="BR22" i="8"/>
  <c r="BN22" i="8"/>
  <c r="BG22" i="8"/>
  <c r="BR21" i="8"/>
  <c r="BN21" i="8"/>
  <c r="BG21" i="8"/>
  <c r="BR20" i="8"/>
  <c r="BN20" i="8"/>
  <c r="BR19" i="8"/>
  <c r="BN19" i="8"/>
  <c r="BG19" i="8"/>
  <c r="BR18" i="8"/>
  <c r="BN18" i="8"/>
  <c r="BG18" i="8"/>
  <c r="BQ17" i="8"/>
  <c r="BM17" i="8"/>
  <c r="BF17" i="8"/>
  <c r="G59" i="8"/>
  <c r="G57" i="8"/>
  <c r="G55" i="8"/>
  <c r="G58" i="8"/>
  <c r="G56" i="8"/>
  <c r="AR3" i="8"/>
  <c r="AV3" i="8"/>
  <c r="AR4" i="8"/>
  <c r="AV4" i="8"/>
  <c r="BL4" i="8"/>
  <c r="BP4" i="8"/>
  <c r="AR5" i="8"/>
  <c r="AV5" i="8"/>
  <c r="BL5" i="8"/>
  <c r="BP5" i="8"/>
  <c r="BL6" i="8"/>
  <c r="BP6" i="8"/>
  <c r="BL7" i="8"/>
  <c r="BP7" i="8"/>
  <c r="BK8" i="8"/>
  <c r="BO8" i="8"/>
  <c r="BG9" i="8"/>
  <c r="BN9" i="8"/>
  <c r="BR9" i="8"/>
  <c r="BM10" i="8"/>
  <c r="BQ10" i="8"/>
  <c r="BG11" i="8"/>
  <c r="BN11" i="8"/>
  <c r="BR11" i="8"/>
  <c r="BK12" i="8"/>
  <c r="BO12" i="8"/>
  <c r="BK13" i="8"/>
  <c r="BP13" i="8"/>
  <c r="O14" i="8"/>
  <c r="BG14" i="8"/>
  <c r="BO14" i="8"/>
  <c r="AT15" i="8"/>
  <c r="BM15" i="8"/>
  <c r="BR15" i="8"/>
  <c r="AR16" i="8"/>
  <c r="AW16" i="8"/>
  <c r="BL16" i="8"/>
  <c r="BR16" i="8"/>
  <c r="AQ17" i="8"/>
  <c r="AX17" i="8"/>
  <c r="BP17" i="8"/>
  <c r="BL18" i="8"/>
  <c r="BP19" i="8"/>
  <c r="BL20" i="8"/>
  <c r="BP21" i="8"/>
  <c r="BL22" i="8"/>
  <c r="BR23" i="8"/>
  <c r="AV27" i="8"/>
  <c r="AQ28" i="8"/>
  <c r="O27" i="8"/>
  <c r="BG20" i="8" s="1"/>
  <c r="O31" i="8"/>
  <c r="O32" i="8"/>
  <c r="Q45" i="8" s="1"/>
  <c r="P45" i="8"/>
  <c r="P53" i="8"/>
  <c r="P47" i="8"/>
  <c r="Q46" i="8"/>
  <c r="P37" i="8"/>
  <c r="Q52" i="8"/>
  <c r="N59" i="5"/>
  <c r="M59" i="5"/>
  <c r="K59" i="5"/>
  <c r="J59" i="5"/>
  <c r="H59" i="5"/>
  <c r="F59" i="5"/>
  <c r="N58" i="5"/>
  <c r="M58" i="5"/>
  <c r="K58" i="5"/>
  <c r="J58" i="5"/>
  <c r="H58" i="5"/>
  <c r="F58" i="5"/>
  <c r="N57" i="5"/>
  <c r="M57" i="5"/>
  <c r="K57" i="5"/>
  <c r="J57" i="5"/>
  <c r="H57" i="5"/>
  <c r="F57" i="5"/>
  <c r="N56" i="5"/>
  <c r="M56" i="5"/>
  <c r="K56" i="5"/>
  <c r="J56" i="5"/>
  <c r="H56" i="5"/>
  <c r="F56" i="5"/>
  <c r="N55" i="5"/>
  <c r="M55" i="5"/>
  <c r="K55" i="5"/>
  <c r="J55" i="5"/>
  <c r="H55" i="5"/>
  <c r="F55" i="5"/>
  <c r="V45" i="8" l="1"/>
  <c r="Q35" i="8"/>
  <c r="P30" i="8"/>
  <c r="P50" i="8"/>
  <c r="Q53" i="8"/>
  <c r="Q31" i="8"/>
  <c r="P31" i="8"/>
  <c r="Q48" i="8"/>
  <c r="P42" i="8"/>
  <c r="P43" i="8"/>
  <c r="P52" i="8"/>
  <c r="Q38" i="8"/>
  <c r="Q27" i="8"/>
  <c r="P27" i="8"/>
  <c r="BL21" i="8"/>
  <c r="BF20" i="8"/>
  <c r="P35" i="8"/>
  <c r="P28" i="8"/>
  <c r="P54" i="8"/>
  <c r="Q44" i="8"/>
  <c r="Q50" i="8"/>
  <c r="Q42" i="8"/>
  <c r="P39" i="8"/>
  <c r="P49" i="8"/>
  <c r="P48" i="8"/>
  <c r="P34" i="8"/>
  <c r="P41" i="8"/>
  <c r="P33" i="8"/>
  <c r="Q28" i="8"/>
  <c r="Q54" i="8"/>
  <c r="Q40" i="8"/>
  <c r="P46" i="8"/>
  <c r="P51" i="8"/>
  <c r="Q39" i="8"/>
  <c r="Q49" i="8"/>
  <c r="P40" i="8"/>
  <c r="Q34" i="8"/>
  <c r="Q41" i="8"/>
  <c r="Q33" i="8"/>
  <c r="Q36" i="8"/>
  <c r="Q14" i="8"/>
  <c r="P14" i="8"/>
  <c r="P13" i="8"/>
  <c r="Q16" i="8"/>
  <c r="Q29" i="8"/>
  <c r="BK17" i="8"/>
  <c r="P23" i="8"/>
  <c r="P29" i="8"/>
  <c r="BG16" i="8"/>
  <c r="P19" i="8"/>
  <c r="P25" i="8"/>
  <c r="BL17" i="8"/>
  <c r="P16" i="8"/>
  <c r="Q25" i="8"/>
  <c r="BF16" i="8"/>
  <c r="BK21" i="8"/>
  <c r="Q11" i="8"/>
  <c r="V37" i="8"/>
  <c r="V47" i="8"/>
  <c r="V53" i="8"/>
  <c r="P32" i="8"/>
  <c r="Q32" i="8"/>
  <c r="BP11" i="8"/>
  <c r="BG10" i="8"/>
  <c r="BO11" i="8"/>
  <c r="P38" i="8"/>
  <c r="P36" i="8"/>
  <c r="BF10" i="8"/>
  <c r="P22" i="8"/>
  <c r="Q22" i="8"/>
  <c r="BF18" i="8"/>
  <c r="P6" i="8"/>
  <c r="Q6" i="8"/>
  <c r="BN10" i="8"/>
  <c r="Q3" i="8"/>
  <c r="Q9" i="8"/>
  <c r="Q13" i="8"/>
  <c r="Q10" i="8"/>
  <c r="P24" i="8"/>
  <c r="P26" i="8"/>
  <c r="P15" i="8"/>
  <c r="P8" i="8"/>
  <c r="P44" i="8"/>
  <c r="BB14" i="8"/>
  <c r="P11" i="8"/>
  <c r="Q7" i="8"/>
  <c r="Q24" i="8"/>
  <c r="P3" i="8"/>
  <c r="P17" i="8"/>
  <c r="P12" i="8"/>
  <c r="P5" i="8"/>
  <c r="BF8" i="8"/>
  <c r="Q5" i="8"/>
  <c r="Q26" i="8"/>
  <c r="Q15" i="8"/>
  <c r="P18" i="8"/>
  <c r="BA14" i="8"/>
  <c r="BQ19" i="8"/>
  <c r="P9" i="8"/>
  <c r="P20" i="8"/>
  <c r="Q20" i="8"/>
  <c r="O59" i="8"/>
  <c r="O57" i="8"/>
  <c r="O55" i="8"/>
  <c r="O58" i="8"/>
  <c r="O56" i="8"/>
  <c r="Q51" i="8"/>
  <c r="Q47" i="8"/>
  <c r="BB15" i="8"/>
  <c r="Q37" i="8"/>
  <c r="BA15" i="8"/>
  <c r="P2" i="8"/>
  <c r="Q30" i="8"/>
  <c r="BF4" i="8"/>
  <c r="Q21" i="8"/>
  <c r="BG4" i="8"/>
  <c r="Q23" i="8"/>
  <c r="Q2" i="8"/>
  <c r="Q43" i="8"/>
  <c r="Q8" i="8"/>
  <c r="Q4" i="8"/>
  <c r="Q17" i="8"/>
  <c r="Q12" i="8"/>
  <c r="P21" i="8"/>
  <c r="Q18" i="8"/>
  <c r="P7" i="8"/>
  <c r="P4" i="8"/>
  <c r="P10" i="8"/>
  <c r="Q19" i="8"/>
  <c r="T11" i="5"/>
  <c r="S11" i="5"/>
  <c r="U11" i="5" s="1"/>
  <c r="O11" i="5"/>
  <c r="L11" i="5"/>
  <c r="I11" i="5"/>
  <c r="G11" i="5"/>
  <c r="D11" i="5"/>
  <c r="T15" i="5"/>
  <c r="S15" i="5"/>
  <c r="U15" i="5" s="1"/>
  <c r="L15" i="5"/>
  <c r="I15" i="5"/>
  <c r="G15" i="5"/>
  <c r="D15" i="5"/>
  <c r="U33" i="5"/>
  <c r="T33" i="5"/>
  <c r="S33" i="5"/>
  <c r="L33" i="5"/>
  <c r="I33" i="5"/>
  <c r="G33" i="5"/>
  <c r="D33" i="5"/>
  <c r="T44" i="5"/>
  <c r="S44" i="5"/>
  <c r="U44" i="5" s="1"/>
  <c r="L44" i="5"/>
  <c r="I44" i="5"/>
  <c r="G44" i="5"/>
  <c r="O44" i="5" s="1"/>
  <c r="D44" i="5"/>
  <c r="T31" i="5"/>
  <c r="S31" i="5"/>
  <c r="U31" i="5" s="1"/>
  <c r="L31" i="5"/>
  <c r="O31" i="5" s="1"/>
  <c r="I31" i="5"/>
  <c r="G31" i="5"/>
  <c r="D31" i="5"/>
  <c r="U40" i="5"/>
  <c r="T40" i="5"/>
  <c r="S40" i="5"/>
  <c r="L40" i="5"/>
  <c r="I40" i="5"/>
  <c r="G40" i="5"/>
  <c r="D40" i="5"/>
  <c r="U32" i="5"/>
  <c r="T32" i="5"/>
  <c r="D32" i="5" s="1"/>
  <c r="S32" i="5"/>
  <c r="L32" i="5"/>
  <c r="I32" i="5"/>
  <c r="G32" i="5"/>
  <c r="O32" i="5" s="1"/>
  <c r="T20" i="5"/>
  <c r="S20" i="5"/>
  <c r="U20" i="5" s="1"/>
  <c r="L20" i="5"/>
  <c r="I20" i="5"/>
  <c r="G20" i="5"/>
  <c r="D20" i="5"/>
  <c r="T52" i="5"/>
  <c r="D52" i="5" s="1"/>
  <c r="S52" i="5"/>
  <c r="U52" i="5" s="1"/>
  <c r="L52" i="5"/>
  <c r="I52" i="5"/>
  <c r="O52" i="5" s="1"/>
  <c r="G52" i="5"/>
  <c r="T30" i="5"/>
  <c r="S30" i="5"/>
  <c r="U30" i="5" s="1"/>
  <c r="L30" i="5"/>
  <c r="I30" i="5"/>
  <c r="G30" i="5"/>
  <c r="O30" i="5" s="1"/>
  <c r="D30" i="5"/>
  <c r="T51" i="5"/>
  <c r="S51" i="5"/>
  <c r="U51" i="5" s="1"/>
  <c r="L51" i="5"/>
  <c r="I51" i="5"/>
  <c r="G51" i="5"/>
  <c r="D51" i="5"/>
  <c r="T24" i="5"/>
  <c r="D24" i="5" s="1"/>
  <c r="S24" i="5"/>
  <c r="U24" i="5" s="1"/>
  <c r="L24" i="5"/>
  <c r="I24" i="5"/>
  <c r="G24" i="5"/>
  <c r="T43" i="5"/>
  <c r="D43" i="5" s="1"/>
  <c r="S43" i="5"/>
  <c r="U43" i="5" s="1"/>
  <c r="O43" i="5"/>
  <c r="L43" i="5"/>
  <c r="I43" i="5"/>
  <c r="G43" i="5"/>
  <c r="U54" i="5"/>
  <c r="T54" i="5"/>
  <c r="S54" i="5"/>
  <c r="L54" i="5"/>
  <c r="I54" i="5"/>
  <c r="G54" i="5"/>
  <c r="D54" i="5"/>
  <c r="U38" i="5"/>
  <c r="T38" i="5"/>
  <c r="D38" i="5" s="1"/>
  <c r="S38" i="5"/>
  <c r="L38" i="5"/>
  <c r="I38" i="5"/>
  <c r="G38" i="5"/>
  <c r="T50" i="5"/>
  <c r="S50" i="5"/>
  <c r="U50" i="5" s="1"/>
  <c r="L50" i="5"/>
  <c r="I50" i="5"/>
  <c r="G50" i="5"/>
  <c r="O50" i="5" s="1"/>
  <c r="D50" i="5"/>
  <c r="T41" i="5"/>
  <c r="S41" i="5"/>
  <c r="U41" i="5" s="1"/>
  <c r="L41" i="5"/>
  <c r="O41" i="5" s="1"/>
  <c r="I41" i="5"/>
  <c r="G41" i="5"/>
  <c r="D41" i="5"/>
  <c r="T2" i="5"/>
  <c r="D2" i="5" s="1"/>
  <c r="S2" i="5"/>
  <c r="U2" i="5" s="1"/>
  <c r="L2" i="5"/>
  <c r="I2" i="5"/>
  <c r="G2" i="5"/>
  <c r="T9" i="5"/>
  <c r="S9" i="5"/>
  <c r="U9" i="5" s="1"/>
  <c r="L9" i="5"/>
  <c r="I9" i="5"/>
  <c r="G9" i="5"/>
  <c r="D9" i="5"/>
  <c r="U16" i="5"/>
  <c r="T16" i="5"/>
  <c r="S16" i="5"/>
  <c r="L16" i="5"/>
  <c r="I16" i="5"/>
  <c r="G16" i="5"/>
  <c r="D16" i="5"/>
  <c r="U8" i="5"/>
  <c r="T8" i="5"/>
  <c r="D8" i="5" s="1"/>
  <c r="S8" i="5"/>
  <c r="L8" i="5"/>
  <c r="I8" i="5"/>
  <c r="G8" i="5"/>
  <c r="O8" i="5" s="1"/>
  <c r="T17" i="5"/>
  <c r="D17" i="5" s="1"/>
  <c r="S17" i="5"/>
  <c r="U17" i="5" s="1"/>
  <c r="L17" i="5"/>
  <c r="I17" i="5"/>
  <c r="G17" i="5"/>
  <c r="T12" i="5"/>
  <c r="S12" i="5"/>
  <c r="U12" i="5" s="1"/>
  <c r="L12" i="5"/>
  <c r="I12" i="5"/>
  <c r="G12" i="5"/>
  <c r="D12" i="5"/>
  <c r="U45" i="5"/>
  <c r="T45" i="5"/>
  <c r="S45" i="5"/>
  <c r="L45" i="5"/>
  <c r="I45" i="5"/>
  <c r="G45" i="5"/>
  <c r="D45" i="5"/>
  <c r="T42" i="5"/>
  <c r="S42" i="5"/>
  <c r="U42" i="5" s="1"/>
  <c r="L42" i="5"/>
  <c r="I42" i="5"/>
  <c r="G42" i="5"/>
  <c r="D42" i="5"/>
  <c r="T7" i="5"/>
  <c r="D7" i="5" s="1"/>
  <c r="S7" i="5"/>
  <c r="U7" i="5" s="1"/>
  <c r="L7" i="5"/>
  <c r="O7" i="5" s="1"/>
  <c r="I7" i="5"/>
  <c r="G7" i="5"/>
  <c r="AX28" i="5"/>
  <c r="T53" i="5"/>
  <c r="D53" i="5" s="1"/>
  <c r="S53" i="5"/>
  <c r="U53" i="5" s="1"/>
  <c r="L53" i="5"/>
  <c r="I53" i="5"/>
  <c r="G53" i="5"/>
  <c r="O53" i="5" s="1"/>
  <c r="AQ27" i="5"/>
  <c r="T46" i="5"/>
  <c r="D46" i="5" s="1"/>
  <c r="S46" i="5"/>
  <c r="U46" i="5" s="1"/>
  <c r="L46" i="5"/>
  <c r="I46" i="5"/>
  <c r="G46" i="5"/>
  <c r="T47" i="5"/>
  <c r="D47" i="5" s="1"/>
  <c r="S47" i="5"/>
  <c r="U47" i="5" s="1"/>
  <c r="L47" i="5"/>
  <c r="I47" i="5"/>
  <c r="G47" i="5"/>
  <c r="O47" i="5" s="1"/>
  <c r="T6" i="5"/>
  <c r="S6" i="5"/>
  <c r="U6" i="5" s="1"/>
  <c r="L6" i="5"/>
  <c r="I6" i="5"/>
  <c r="G6" i="5"/>
  <c r="D6" i="5"/>
  <c r="U19" i="5"/>
  <c r="T19" i="5"/>
  <c r="S19" i="5"/>
  <c r="O19" i="5"/>
  <c r="L19" i="5"/>
  <c r="I19" i="5"/>
  <c r="G19" i="5"/>
  <c r="U21" i="5"/>
  <c r="T21" i="5"/>
  <c r="D21" i="5" s="1"/>
  <c r="S21" i="5"/>
  <c r="L21" i="5"/>
  <c r="I21" i="5"/>
  <c r="O21" i="5" s="1"/>
  <c r="G21" i="5"/>
  <c r="T14" i="5"/>
  <c r="S14" i="5"/>
  <c r="U14" i="5" s="1"/>
  <c r="L14" i="5"/>
  <c r="I14" i="5"/>
  <c r="G14" i="5"/>
  <c r="O14" i="5" s="1"/>
  <c r="T48" i="5"/>
  <c r="S48" i="5"/>
  <c r="U48" i="5" s="1"/>
  <c r="L48" i="5"/>
  <c r="I48" i="5"/>
  <c r="G48" i="5"/>
  <c r="O48" i="5" s="1"/>
  <c r="D48" i="5"/>
  <c r="T49" i="5"/>
  <c r="D49" i="5" s="1"/>
  <c r="S49" i="5"/>
  <c r="U49" i="5" s="1"/>
  <c r="L49" i="5"/>
  <c r="I49" i="5"/>
  <c r="G49" i="5"/>
  <c r="U35" i="5"/>
  <c r="T35" i="5"/>
  <c r="D35" i="5" s="1"/>
  <c r="S35" i="5"/>
  <c r="L35" i="5"/>
  <c r="I35" i="5"/>
  <c r="O35" i="5" s="1"/>
  <c r="G35" i="5"/>
  <c r="T26" i="5"/>
  <c r="S26" i="5"/>
  <c r="U26" i="5" s="1"/>
  <c r="L26" i="5"/>
  <c r="O26" i="5" s="1"/>
  <c r="I26" i="5"/>
  <c r="G26" i="5"/>
  <c r="D26" i="5"/>
  <c r="AR17" i="5"/>
  <c r="T25" i="5"/>
  <c r="D25" i="5" s="1"/>
  <c r="S25" i="5"/>
  <c r="U25" i="5" s="1"/>
  <c r="L25" i="5"/>
  <c r="I25" i="5"/>
  <c r="O25" i="5" s="1"/>
  <c r="G25" i="5"/>
  <c r="AU16" i="5"/>
  <c r="AR16" i="5"/>
  <c r="T22" i="5"/>
  <c r="D22" i="5" s="1"/>
  <c r="S22" i="5"/>
  <c r="U22" i="5" s="1"/>
  <c r="L22" i="5"/>
  <c r="I22" i="5"/>
  <c r="G22" i="5"/>
  <c r="O22" i="5" s="1"/>
  <c r="AV15" i="5"/>
  <c r="AS15" i="5"/>
  <c r="AR15" i="5"/>
  <c r="T3" i="5"/>
  <c r="AW29" i="5" s="1"/>
  <c r="S3" i="5"/>
  <c r="U3" i="5" s="1"/>
  <c r="L3" i="5"/>
  <c r="I3" i="5"/>
  <c r="G3" i="5"/>
  <c r="D3" i="5"/>
  <c r="AC14" i="5"/>
  <c r="U4" i="5"/>
  <c r="T4" i="5"/>
  <c r="D4" i="5" s="1"/>
  <c r="S4" i="5"/>
  <c r="L4" i="5"/>
  <c r="I4" i="5"/>
  <c r="G4" i="5"/>
  <c r="AC13" i="5"/>
  <c r="U27" i="5"/>
  <c r="T27" i="5"/>
  <c r="D27" i="5" s="1"/>
  <c r="S27" i="5"/>
  <c r="L27" i="5"/>
  <c r="I27" i="5"/>
  <c r="O27" i="5" s="1"/>
  <c r="G27" i="5"/>
  <c r="T23" i="5"/>
  <c r="D23" i="5" s="1"/>
  <c r="S23" i="5"/>
  <c r="U23" i="5" s="1"/>
  <c r="L23" i="5"/>
  <c r="I23" i="5"/>
  <c r="G23" i="5"/>
  <c r="AC11" i="5"/>
  <c r="AB11" i="5"/>
  <c r="T37" i="5"/>
  <c r="S37" i="5"/>
  <c r="U37" i="5" s="1"/>
  <c r="L37" i="5"/>
  <c r="I37" i="5"/>
  <c r="G37" i="5"/>
  <c r="D37" i="5"/>
  <c r="T36" i="5"/>
  <c r="S36" i="5"/>
  <c r="U36" i="5" s="1"/>
  <c r="L36" i="5"/>
  <c r="I36" i="5"/>
  <c r="G36" i="5"/>
  <c r="T28" i="5"/>
  <c r="D28" i="5" s="1"/>
  <c r="S28" i="5"/>
  <c r="U28" i="5" s="1"/>
  <c r="L28" i="5"/>
  <c r="I28" i="5"/>
  <c r="G28" i="5"/>
  <c r="O28" i="5" s="1"/>
  <c r="T18" i="5"/>
  <c r="D18" i="5" s="1"/>
  <c r="S18" i="5"/>
  <c r="U18" i="5" s="1"/>
  <c r="L18" i="5"/>
  <c r="I18" i="5"/>
  <c r="G18" i="5"/>
  <c r="T34" i="5"/>
  <c r="S34" i="5"/>
  <c r="U34" i="5" s="1"/>
  <c r="L34" i="5"/>
  <c r="I34" i="5"/>
  <c r="G34" i="5"/>
  <c r="D34" i="5"/>
  <c r="T39" i="5"/>
  <c r="S39" i="5"/>
  <c r="U39" i="5" s="1"/>
  <c r="L39" i="5"/>
  <c r="I39" i="5"/>
  <c r="G39" i="5"/>
  <c r="O39" i="5" s="1"/>
  <c r="D39" i="5"/>
  <c r="AX5" i="5"/>
  <c r="AW5" i="5"/>
  <c r="AV5" i="5"/>
  <c r="AU5" i="5"/>
  <c r="AT5" i="5"/>
  <c r="AS5" i="5"/>
  <c r="AR5" i="5"/>
  <c r="AQ5" i="5"/>
  <c r="AP5" i="5"/>
  <c r="T29" i="5"/>
  <c r="D29" i="5" s="1"/>
  <c r="S29" i="5"/>
  <c r="U29" i="5" s="1"/>
  <c r="L29" i="5"/>
  <c r="I29" i="5"/>
  <c r="O29" i="5" s="1"/>
  <c r="G29" i="5"/>
  <c r="BM4" i="5"/>
  <c r="AX4" i="5"/>
  <c r="AW4" i="5"/>
  <c r="AV4" i="5"/>
  <c r="AU4" i="5"/>
  <c r="AT4" i="5"/>
  <c r="AS4" i="5"/>
  <c r="AR4" i="5"/>
  <c r="AQ4" i="5"/>
  <c r="AP4" i="5"/>
  <c r="T13" i="5"/>
  <c r="D13" i="5" s="1"/>
  <c r="S13" i="5"/>
  <c r="U13" i="5" s="1"/>
  <c r="L13" i="5"/>
  <c r="I13" i="5"/>
  <c r="G13" i="5"/>
  <c r="AX3" i="5"/>
  <c r="AW3" i="5"/>
  <c r="AV3" i="5"/>
  <c r="AU3" i="5"/>
  <c r="AT3" i="5"/>
  <c r="AS3" i="5"/>
  <c r="AR3" i="5"/>
  <c r="AQ3" i="5"/>
  <c r="AP3" i="5"/>
  <c r="T10" i="5"/>
  <c r="D10" i="5" s="1"/>
  <c r="S10" i="5"/>
  <c r="U10" i="5" s="1"/>
  <c r="L10" i="5"/>
  <c r="I10" i="5"/>
  <c r="O10" i="5" s="1"/>
  <c r="G10" i="5"/>
  <c r="T5" i="5"/>
  <c r="S5" i="5"/>
  <c r="U5" i="5" s="1"/>
  <c r="L5" i="5"/>
  <c r="I5" i="5"/>
  <c r="G5" i="5"/>
  <c r="D5" i="5"/>
  <c r="BF3" i="5" l="1"/>
  <c r="BQ4" i="5"/>
  <c r="BF5" i="5"/>
  <c r="O34" i="5"/>
  <c r="O36" i="5"/>
  <c r="AV16" i="5"/>
  <c r="AS17" i="5"/>
  <c r="O49" i="5"/>
  <c r="BK5" i="5" s="1"/>
  <c r="AR27" i="5"/>
  <c r="O17" i="5"/>
  <c r="I59" i="5"/>
  <c r="I57" i="5"/>
  <c r="I55" i="5"/>
  <c r="I58" i="5"/>
  <c r="I56" i="5"/>
  <c r="G58" i="5"/>
  <c r="G56" i="5"/>
  <c r="G55" i="5"/>
  <c r="G59" i="5"/>
  <c r="G57" i="5"/>
  <c r="O5" i="5"/>
  <c r="BQ5" i="5"/>
  <c r="BO8" i="5"/>
  <c r="BO9" i="5"/>
  <c r="O23" i="5"/>
  <c r="O4" i="5"/>
  <c r="AW15" i="5"/>
  <c r="AQ16" i="5"/>
  <c r="AV17" i="5"/>
  <c r="AP28" i="5"/>
  <c r="AT29" i="5"/>
  <c r="O42" i="5"/>
  <c r="BN14" i="5" s="1"/>
  <c r="L55" i="5"/>
  <c r="L58" i="5"/>
  <c r="L59" i="5"/>
  <c r="L57" i="5"/>
  <c r="L56" i="5"/>
  <c r="O20" i="5"/>
  <c r="O15" i="5"/>
  <c r="O13" i="5"/>
  <c r="P20" i="5" s="1"/>
  <c r="BL6" i="5"/>
  <c r="BG5" i="5"/>
  <c r="O3" i="5"/>
  <c r="AW17" i="5"/>
  <c r="AU28" i="5"/>
  <c r="O45" i="5"/>
  <c r="O12" i="5"/>
  <c r="O54" i="5"/>
  <c r="O40" i="5"/>
  <c r="O33" i="5"/>
  <c r="V10" i="8"/>
  <c r="V21" i="8"/>
  <c r="V3" i="8"/>
  <c r="V26" i="8"/>
  <c r="V6" i="8"/>
  <c r="V25" i="8"/>
  <c r="V23" i="8"/>
  <c r="V13" i="8"/>
  <c r="V41" i="8"/>
  <c r="V39" i="8"/>
  <c r="V54" i="8"/>
  <c r="V52" i="8"/>
  <c r="V31" i="8"/>
  <c r="V30" i="8"/>
  <c r="V4" i="8"/>
  <c r="V9" i="8"/>
  <c r="V5" i="8"/>
  <c r="V44" i="8"/>
  <c r="V24" i="8"/>
  <c r="V36" i="8"/>
  <c r="V19" i="8"/>
  <c r="V14" i="8"/>
  <c r="V34" i="8"/>
  <c r="V28" i="8"/>
  <c r="V27" i="8"/>
  <c r="V43" i="8"/>
  <c r="V12" i="8"/>
  <c r="V8" i="8"/>
  <c r="V38" i="8"/>
  <c r="V16" i="8"/>
  <c r="V51" i="8"/>
  <c r="V48" i="8"/>
  <c r="V35" i="8"/>
  <c r="V42" i="8"/>
  <c r="V2" i="8"/>
  <c r="V20" i="8"/>
  <c r="V18" i="8"/>
  <c r="V7" i="8"/>
  <c r="V17" i="8"/>
  <c r="V11" i="8"/>
  <c r="V15" i="8"/>
  <c r="V22" i="8"/>
  <c r="V32" i="8"/>
  <c r="V29" i="8"/>
  <c r="V40" i="8"/>
  <c r="V46" i="8"/>
  <c r="V33" i="8"/>
  <c r="V49" i="8"/>
  <c r="V50" i="8"/>
  <c r="BL13" i="5"/>
  <c r="BR10" i="5"/>
  <c r="BL19" i="5"/>
  <c r="BO22" i="5"/>
  <c r="BO23" i="5"/>
  <c r="BG10" i="5"/>
  <c r="BN11" i="5"/>
  <c r="BO18" i="5"/>
  <c r="BP21" i="5"/>
  <c r="BN4" i="5"/>
  <c r="BQ7" i="5"/>
  <c r="BP8" i="5"/>
  <c r="BG9" i="5"/>
  <c r="BR9" i="5"/>
  <c r="BM10" i="5"/>
  <c r="BO11" i="5"/>
  <c r="BL12" i="5"/>
  <c r="BO13" i="5"/>
  <c r="BP15" i="5"/>
  <c r="BF16" i="5"/>
  <c r="BQ16" i="5"/>
  <c r="BK17" i="5"/>
  <c r="BP18" i="5"/>
  <c r="BO19" i="5"/>
  <c r="BL20" i="5"/>
  <c r="D14" i="5"/>
  <c r="BP22" i="5"/>
  <c r="D19" i="5"/>
  <c r="BK12" i="5"/>
  <c r="BM15" i="5"/>
  <c r="BN16" i="5"/>
  <c r="BG17" i="5"/>
  <c r="BR4" i="5"/>
  <c r="BF7" i="5"/>
  <c r="BK4" i="5"/>
  <c r="BO4" i="5"/>
  <c r="BP6" i="5"/>
  <c r="BL7" i="5"/>
  <c r="BK8" i="5"/>
  <c r="BK9" i="5"/>
  <c r="D36" i="5"/>
  <c r="BN10" i="5"/>
  <c r="BG11" i="5"/>
  <c r="BR11" i="5"/>
  <c r="BO12" i="5"/>
  <c r="BP13" i="5"/>
  <c r="BG16" i="5"/>
  <c r="BR16" i="5"/>
  <c r="BN17" i="5"/>
  <c r="BK18" i="5"/>
  <c r="BP19" i="5"/>
  <c r="BO20" i="5"/>
  <c r="BK22" i="5"/>
  <c r="BR17" i="5"/>
  <c r="BK20" i="5"/>
  <c r="BG3" i="5"/>
  <c r="BM6" i="5"/>
  <c r="BR23" i="5"/>
  <c r="BN23" i="5"/>
  <c r="BQ23" i="5"/>
  <c r="BL23" i="5"/>
  <c r="BR22" i="5"/>
  <c r="BN22" i="5"/>
  <c r="BG22" i="5"/>
  <c r="BR21" i="5"/>
  <c r="BN21" i="5"/>
  <c r="BG21" i="5"/>
  <c r="BR20" i="5"/>
  <c r="BN20" i="5"/>
  <c r="BR19" i="5"/>
  <c r="BN19" i="5"/>
  <c r="BG19" i="5"/>
  <c r="BR18" i="5"/>
  <c r="BN18" i="5"/>
  <c r="BG18" i="5"/>
  <c r="BQ17" i="5"/>
  <c r="BM17" i="5"/>
  <c r="BF17" i="5"/>
  <c r="BP16" i="5"/>
  <c r="BO15" i="5"/>
  <c r="BK15" i="5"/>
  <c r="BP14" i="5"/>
  <c r="BL14" i="5"/>
  <c r="BR13" i="5"/>
  <c r="BR12" i="5"/>
  <c r="BN12" i="5"/>
  <c r="BQ11" i="5"/>
  <c r="BM11" i="5"/>
  <c r="BF11" i="5"/>
  <c r="BP10" i="5"/>
  <c r="BL10" i="5"/>
  <c r="BQ9" i="5"/>
  <c r="BF9" i="5"/>
  <c r="BR8" i="5"/>
  <c r="BN8" i="5"/>
  <c r="BK7" i="5"/>
  <c r="BO6" i="5"/>
  <c r="BK6" i="5"/>
  <c r="BP23" i="5"/>
  <c r="BK23" i="5"/>
  <c r="BQ22" i="5"/>
  <c r="BM22" i="5"/>
  <c r="BF22" i="5"/>
  <c r="BQ21" i="5"/>
  <c r="BM21" i="5"/>
  <c r="BF21" i="5"/>
  <c r="BQ20" i="5"/>
  <c r="BM20" i="5"/>
  <c r="BQ19" i="5"/>
  <c r="BM19" i="5"/>
  <c r="BF19" i="5"/>
  <c r="BQ18" i="5"/>
  <c r="BM18" i="5"/>
  <c r="BF18" i="5"/>
  <c r="BP17" i="5"/>
  <c r="BL17" i="5"/>
  <c r="BO16" i="5"/>
  <c r="BN15" i="5"/>
  <c r="BO14" i="5"/>
  <c r="BK14" i="5"/>
  <c r="BQ13" i="5"/>
  <c r="BQ12" i="5"/>
  <c r="BM12" i="5"/>
  <c r="BP11" i="5"/>
  <c r="BL11" i="5"/>
  <c r="BO10" i="5"/>
  <c r="BK10" i="5"/>
  <c r="BP9" i="5"/>
  <c r="BL9" i="5"/>
  <c r="BQ8" i="5"/>
  <c r="BM8" i="5"/>
  <c r="BR7" i="5"/>
  <c r="BN7" i="5"/>
  <c r="BG7" i="5"/>
  <c r="BR6" i="5"/>
  <c r="BN6" i="5"/>
  <c r="BR5" i="5"/>
  <c r="BL4" i="5"/>
  <c r="BP4" i="5"/>
  <c r="BQ6" i="5"/>
  <c r="BM7" i="5"/>
  <c r="O18" i="5"/>
  <c r="BL8" i="5"/>
  <c r="BF10" i="5"/>
  <c r="BQ10" i="5"/>
  <c r="O37" i="5"/>
  <c r="BK11" i="5"/>
  <c r="BP12" i="5"/>
  <c r="BK13" i="5"/>
  <c r="BL15" i="5"/>
  <c r="BM16" i="5"/>
  <c r="BO17" i="5"/>
  <c r="BL18" i="5"/>
  <c r="BK19" i="5"/>
  <c r="BP20" i="5"/>
  <c r="BO21" i="5"/>
  <c r="BL22" i="5"/>
  <c r="BM23" i="5"/>
  <c r="O9" i="5"/>
  <c r="AV29" i="5"/>
  <c r="AR29" i="5"/>
  <c r="AW28" i="5"/>
  <c r="AS28" i="5"/>
  <c r="AX27" i="5"/>
  <c r="AT27" i="5"/>
  <c r="AP27" i="5"/>
  <c r="AU29" i="5"/>
  <c r="AQ29" i="5"/>
  <c r="AV28" i="5"/>
  <c r="AR28" i="5"/>
  <c r="AW27" i="5"/>
  <c r="AS27" i="5"/>
  <c r="AP15" i="5"/>
  <c r="AT15" i="5"/>
  <c r="AX15" i="5"/>
  <c r="AS16" i="5"/>
  <c r="AW16" i="5"/>
  <c r="AP17" i="5"/>
  <c r="AT17" i="5"/>
  <c r="AX17" i="5"/>
  <c r="AU27" i="5"/>
  <c r="AQ28" i="5"/>
  <c r="AP29" i="5"/>
  <c r="AX29" i="5"/>
  <c r="AQ15" i="5"/>
  <c r="AU15" i="5"/>
  <c r="AP16" i="5"/>
  <c r="AT16" i="5"/>
  <c r="AX16" i="5"/>
  <c r="AQ17" i="5"/>
  <c r="AU17" i="5"/>
  <c r="O6" i="5"/>
  <c r="O46" i="5"/>
  <c r="AV27" i="5"/>
  <c r="AT28" i="5"/>
  <c r="AS29" i="5"/>
  <c r="O16" i="5"/>
  <c r="O2" i="5"/>
  <c r="O38" i="5"/>
  <c r="BP5" i="5" s="1"/>
  <c r="O24" i="5"/>
  <c r="O51" i="5"/>
  <c r="BF13" i="5" s="1"/>
  <c r="P47" i="5" l="1"/>
  <c r="P11" i="5"/>
  <c r="BL5" i="5"/>
  <c r="BM14" i="5"/>
  <c r="O58" i="5"/>
  <c r="O56" i="5"/>
  <c r="O59" i="5"/>
  <c r="O57" i="5"/>
  <c r="O55" i="5"/>
  <c r="P28" i="5"/>
  <c r="BG6" i="5"/>
  <c r="AG7" i="8"/>
  <c r="AG6" i="8"/>
  <c r="AG5" i="8"/>
  <c r="AG4" i="8"/>
  <c r="AG3" i="8"/>
  <c r="AF7" i="8"/>
  <c r="AF6" i="8"/>
  <c r="AF5" i="8"/>
  <c r="AF4" i="8"/>
  <c r="AF3" i="8"/>
  <c r="AH6" i="8"/>
  <c r="AH4" i="8"/>
  <c r="AH3" i="8"/>
  <c r="AH5" i="8"/>
  <c r="AH7" i="8"/>
  <c r="V47" i="5"/>
  <c r="V28" i="5"/>
  <c r="P31" i="5"/>
  <c r="Q20" i="5"/>
  <c r="Q24" i="5"/>
  <c r="P24" i="5"/>
  <c r="BF14" i="5"/>
  <c r="BQ15" i="5"/>
  <c r="P2" i="5"/>
  <c r="Q2" i="5"/>
  <c r="Q30" i="5"/>
  <c r="P15" i="5"/>
  <c r="P43" i="5"/>
  <c r="Q54" i="5"/>
  <c r="Q15" i="5"/>
  <c r="Q52" i="5"/>
  <c r="Q43" i="5"/>
  <c r="Q44" i="5"/>
  <c r="Q50" i="5"/>
  <c r="Q16" i="5"/>
  <c r="P16" i="5"/>
  <c r="BG15" i="5"/>
  <c r="BL16" i="5"/>
  <c r="BF15" i="5"/>
  <c r="P46" i="5"/>
  <c r="Q46" i="5"/>
  <c r="BK21" i="5"/>
  <c r="BL21" i="5"/>
  <c r="BG20" i="5"/>
  <c r="P17" i="5"/>
  <c r="P53" i="5"/>
  <c r="P35" i="5"/>
  <c r="Q25" i="5"/>
  <c r="BG14" i="5"/>
  <c r="BF6" i="5"/>
  <c r="P41" i="5"/>
  <c r="P9" i="5"/>
  <c r="Q9" i="5"/>
  <c r="BB14" i="5"/>
  <c r="BA14" i="5"/>
  <c r="BM9" i="5"/>
  <c r="BG8" i="5"/>
  <c r="Q17" i="5"/>
  <c r="P37" i="5"/>
  <c r="Q37" i="5"/>
  <c r="BN13" i="5"/>
  <c r="BG12" i="5"/>
  <c r="BM13" i="5"/>
  <c r="BF12" i="5"/>
  <c r="BN9" i="5"/>
  <c r="BF8" i="5"/>
  <c r="BR15" i="5"/>
  <c r="BF20" i="5"/>
  <c r="V20" i="5"/>
  <c r="Q41" i="5"/>
  <c r="Q8" i="5"/>
  <c r="BK16" i="5"/>
  <c r="V11" i="5"/>
  <c r="P51" i="5"/>
  <c r="Q51" i="5"/>
  <c r="BQ14" i="5"/>
  <c r="BG13" i="5"/>
  <c r="P38" i="5"/>
  <c r="Q38" i="5"/>
  <c r="BO5" i="5"/>
  <c r="Q31" i="5"/>
  <c r="P52" i="5"/>
  <c r="P44" i="5"/>
  <c r="P6" i="5"/>
  <c r="Q6" i="5"/>
  <c r="BM5" i="5"/>
  <c r="BN5" i="5"/>
  <c r="BG4" i="5"/>
  <c r="BF4" i="5"/>
  <c r="P12" i="5"/>
  <c r="Q11" i="5"/>
  <c r="P21" i="5"/>
  <c r="BR14" i="5"/>
  <c r="Q18" i="5"/>
  <c r="P18" i="5"/>
  <c r="BP7" i="5"/>
  <c r="Q29" i="5"/>
  <c r="P5" i="5"/>
  <c r="P45" i="5"/>
  <c r="P10" i="5"/>
  <c r="Q45" i="5"/>
  <c r="P13" i="5"/>
  <c r="Q36" i="5"/>
  <c r="P49" i="5"/>
  <c r="Q4" i="5"/>
  <c r="Q27" i="5"/>
  <c r="Q42" i="5"/>
  <c r="P25" i="5"/>
  <c r="Q32" i="5"/>
  <c r="P40" i="5"/>
  <c r="Q28" i="5"/>
  <c r="P14" i="5"/>
  <c r="Q21" i="5"/>
  <c r="Q53" i="5"/>
  <c r="P30" i="5"/>
  <c r="P50" i="5"/>
  <c r="Q26" i="5"/>
  <c r="Q13" i="5"/>
  <c r="P36" i="5"/>
  <c r="P29" i="5"/>
  <c r="P4" i="5"/>
  <c r="Q22" i="5"/>
  <c r="P33" i="5"/>
  <c r="P39" i="5"/>
  <c r="Q48" i="5"/>
  <c r="P54" i="5"/>
  <c r="Q12" i="5"/>
  <c r="BB15" i="5"/>
  <c r="P26" i="5"/>
  <c r="P34" i="5"/>
  <c r="Q5" i="5"/>
  <c r="Q23" i="5"/>
  <c r="Q33" i="5"/>
  <c r="P27" i="5"/>
  <c r="Q19" i="5"/>
  <c r="P3" i="5"/>
  <c r="Q35" i="5"/>
  <c r="Q47" i="5"/>
  <c r="Q7" i="5"/>
  <c r="Q34" i="5"/>
  <c r="BA15" i="5"/>
  <c r="P8" i="5"/>
  <c r="Q3" i="5"/>
  <c r="P48" i="5"/>
  <c r="P22" i="5"/>
  <c r="Q10" i="5"/>
  <c r="Q39" i="5"/>
  <c r="Q49" i="5"/>
  <c r="P23" i="5"/>
  <c r="P42" i="5"/>
  <c r="Q14" i="5"/>
  <c r="P32" i="5"/>
  <c r="Q40" i="5"/>
  <c r="P19" i="5"/>
  <c r="P7" i="5"/>
  <c r="BO7" i="5"/>
  <c r="W45" i="8" l="1"/>
  <c r="W47" i="8"/>
  <c r="W37" i="8"/>
  <c r="W53" i="8"/>
  <c r="W10" i="8"/>
  <c r="W3" i="8"/>
  <c r="W6" i="8"/>
  <c r="W23" i="8"/>
  <c r="W41" i="8"/>
  <c r="W31" i="8"/>
  <c r="W5" i="8"/>
  <c r="W19" i="8"/>
  <c r="W34" i="8"/>
  <c r="W27" i="8"/>
  <c r="W12" i="8"/>
  <c r="W51" i="8"/>
  <c r="W35" i="8"/>
  <c r="W2" i="8"/>
  <c r="W18" i="8"/>
  <c r="W32" i="8"/>
  <c r="W40" i="8"/>
  <c r="W54" i="8"/>
  <c r="W4" i="8"/>
  <c r="W24" i="8"/>
  <c r="W38" i="8"/>
  <c r="W17" i="8"/>
  <c r="W15" i="8"/>
  <c r="W33" i="8"/>
  <c r="W50" i="8"/>
  <c r="W39" i="8"/>
  <c r="W52" i="8"/>
  <c r="W9" i="8"/>
  <c r="W44" i="8"/>
  <c r="W36" i="8"/>
  <c r="W28" i="8"/>
  <c r="W43" i="8"/>
  <c r="W16" i="8"/>
  <c r="W48" i="8"/>
  <c r="W20" i="8"/>
  <c r="W7" i="8"/>
  <c r="W22" i="8"/>
  <c r="W49" i="8"/>
  <c r="W26" i="8"/>
  <c r="W13" i="8"/>
  <c r="W30" i="8"/>
  <c r="W14" i="8"/>
  <c r="W8" i="8"/>
  <c r="W42" i="8"/>
  <c r="W11" i="8"/>
  <c r="W29" i="8"/>
  <c r="W46" i="8"/>
  <c r="W21" i="8"/>
  <c r="W25" i="8"/>
  <c r="V26" i="5"/>
  <c r="V32" i="5"/>
  <c r="V29" i="5"/>
  <c r="V14" i="5"/>
  <c r="V49" i="5"/>
  <c r="V7" i="5"/>
  <c r="V36" i="5"/>
  <c r="V44" i="5"/>
  <c r="V17" i="5"/>
  <c r="V24" i="5"/>
  <c r="V23" i="5"/>
  <c r="V21" i="5"/>
  <c r="V6" i="5"/>
  <c r="V33" i="5"/>
  <c r="V30" i="5"/>
  <c r="V45" i="5"/>
  <c r="V18" i="5"/>
  <c r="V19" i="5"/>
  <c r="V42" i="5"/>
  <c r="V8" i="5"/>
  <c r="V27" i="5"/>
  <c r="V34" i="5"/>
  <c r="V54" i="5"/>
  <c r="V40" i="5"/>
  <c r="V13" i="5"/>
  <c r="V5" i="5"/>
  <c r="V12" i="5"/>
  <c r="V52" i="5"/>
  <c r="V38" i="5"/>
  <c r="V51" i="5"/>
  <c r="V9" i="5"/>
  <c r="V46" i="5"/>
  <c r="V16" i="5"/>
  <c r="V43" i="5"/>
  <c r="V2" i="5"/>
  <c r="V22" i="5"/>
  <c r="V4" i="5"/>
  <c r="V37" i="5"/>
  <c r="V41" i="5"/>
  <c r="V35" i="5"/>
  <c r="V15" i="5"/>
  <c r="V48" i="5"/>
  <c r="V3" i="5"/>
  <c r="V39" i="5"/>
  <c r="V50" i="5"/>
  <c r="V25" i="5"/>
  <c r="V10" i="5"/>
  <c r="V53" i="5"/>
  <c r="V31" i="5"/>
  <c r="AR34" i="8" l="1"/>
  <c r="AU34" i="8"/>
  <c r="AP33" i="8"/>
  <c r="AQ35" i="8"/>
  <c r="AW33" i="8"/>
  <c r="AX35" i="8"/>
  <c r="AS34" i="8"/>
  <c r="AS35" i="8"/>
  <c r="AQ34" i="8"/>
  <c r="AX34" i="8"/>
  <c r="AS33" i="8"/>
  <c r="AT35" i="8"/>
  <c r="AV33" i="8"/>
  <c r="AW35" i="8"/>
  <c r="AV34" i="8"/>
  <c r="AQ33" i="8"/>
  <c r="AV35" i="8"/>
  <c r="AX33" i="8"/>
  <c r="AT34" i="8"/>
  <c r="AP35" i="8"/>
  <c r="AR33" i="8"/>
  <c r="AU33" i="8"/>
  <c r="AR35" i="8"/>
  <c r="AT33" i="8"/>
  <c r="AU35" i="8"/>
  <c r="AP34" i="8"/>
  <c r="AW34" i="8"/>
  <c r="AX38" i="8"/>
  <c r="AS37" i="8"/>
  <c r="AR37" i="8"/>
  <c r="AV38" i="8"/>
  <c r="AQ38" i="8"/>
  <c r="AS36" i="8"/>
  <c r="AW36" i="8"/>
  <c r="AU37" i="8"/>
  <c r="AT38" i="8"/>
  <c r="AV36" i="8"/>
  <c r="AW38" i="8"/>
  <c r="AR38" i="8"/>
  <c r="AT37" i="8"/>
  <c r="AQ36" i="8"/>
  <c r="AP36" i="8"/>
  <c r="AP38" i="8"/>
  <c r="AR36" i="8"/>
  <c r="AS38" i="8"/>
  <c r="AT36" i="8"/>
  <c r="AQ37" i="8"/>
  <c r="AX37" i="8"/>
  <c r="AU38" i="8"/>
  <c r="AW37" i="8"/>
  <c r="AV37" i="8"/>
  <c r="AX36" i="8"/>
  <c r="AP37" i="8"/>
  <c r="AU36" i="8"/>
  <c r="AU13" i="8"/>
  <c r="AQ12" i="8"/>
  <c r="AT14" i="8"/>
  <c r="AQ13" i="8"/>
  <c r="AU12" i="8"/>
  <c r="AT12" i="8"/>
  <c r="AT13" i="8"/>
  <c r="AP13" i="8"/>
  <c r="AX14" i="8"/>
  <c r="AX13" i="8"/>
  <c r="AP12" i="8"/>
  <c r="AR14" i="8"/>
  <c r="AX12" i="8"/>
  <c r="AW14" i="8"/>
  <c r="AV13" i="8"/>
  <c r="AU14" i="8"/>
  <c r="AS14" i="8"/>
  <c r="AR12" i="8"/>
  <c r="AV12" i="8"/>
  <c r="AR13" i="8"/>
  <c r="AP14" i="8"/>
  <c r="AS12" i="8"/>
  <c r="AS13" i="8"/>
  <c r="AV14" i="8"/>
  <c r="AW12" i="8"/>
  <c r="AW13" i="8"/>
  <c r="AQ14" i="8"/>
  <c r="AK35" i="8"/>
  <c r="AK37" i="8"/>
  <c r="AJ37" i="8"/>
  <c r="AJ39" i="8"/>
  <c r="AJ31" i="8"/>
  <c r="AJ38" i="8"/>
  <c r="AF24" i="8"/>
  <c r="AK38" i="8"/>
  <c r="AK39" i="8"/>
  <c r="AJ35" i="8"/>
  <c r="AK33" i="8"/>
  <c r="AK34" i="8"/>
  <c r="AJ34" i="8"/>
  <c r="AF20" i="8"/>
  <c r="AK32" i="8"/>
  <c r="AJ32" i="8"/>
  <c r="AK36" i="8"/>
  <c r="AJ36" i="8"/>
  <c r="AF25" i="8"/>
  <c r="AF23" i="8"/>
  <c r="AF22" i="8"/>
  <c r="AF21" i="8"/>
  <c r="AF19" i="8"/>
  <c r="AF26" i="8"/>
  <c r="AF27" i="8"/>
  <c r="AJ33" i="8"/>
  <c r="AK31" i="8"/>
  <c r="AV11" i="8"/>
  <c r="AR11" i="8"/>
  <c r="AU10" i="8"/>
  <c r="AU9" i="8"/>
  <c r="AQ11" i="8"/>
  <c r="AQ10" i="8"/>
  <c r="AU11" i="8"/>
  <c r="AT10" i="8"/>
  <c r="AR9" i="8"/>
  <c r="AQ9" i="8"/>
  <c r="AX10" i="8"/>
  <c r="AP10" i="8"/>
  <c r="AV9" i="8"/>
  <c r="AS9" i="8"/>
  <c r="AW9" i="8"/>
  <c r="AR10" i="8"/>
  <c r="AS11" i="8"/>
  <c r="AV10" i="8"/>
  <c r="AW11" i="8"/>
  <c r="AP9" i="8"/>
  <c r="AT11" i="8"/>
  <c r="AT9" i="8"/>
  <c r="AX11" i="8"/>
  <c r="AX9" i="8"/>
  <c r="AS10" i="8"/>
  <c r="AW10" i="8"/>
  <c r="AP11" i="8"/>
  <c r="AP25" i="8"/>
  <c r="AT26" i="8"/>
  <c r="AV24" i="8"/>
  <c r="AS26" i="8"/>
  <c r="AS24" i="8"/>
  <c r="AS25" i="8"/>
  <c r="AX25" i="8"/>
  <c r="AP26" i="8"/>
  <c r="AT24" i="8"/>
  <c r="AT25" i="8"/>
  <c r="AU26" i="8"/>
  <c r="AR25" i="8"/>
  <c r="AV25" i="8"/>
  <c r="AP24" i="8"/>
  <c r="AQ26" i="8"/>
  <c r="AW26" i="8"/>
  <c r="AU24" i="8"/>
  <c r="AQ25" i="8"/>
  <c r="AX26" i="8"/>
  <c r="AW25" i="8"/>
  <c r="AR26" i="8"/>
  <c r="AQ24" i="8"/>
  <c r="AV26" i="8"/>
  <c r="AX24" i="8"/>
  <c r="AW24" i="8"/>
  <c r="AR24" i="8"/>
  <c r="AU25" i="8"/>
  <c r="AW53" i="8"/>
  <c r="AP52" i="8"/>
  <c r="AW52" i="8"/>
  <c r="AP51" i="8"/>
  <c r="AU53" i="8"/>
  <c r="AW51" i="8"/>
  <c r="AX53" i="8"/>
  <c r="AS53" i="8"/>
  <c r="AU51" i="8"/>
  <c r="AS52" i="8"/>
  <c r="AQ53" i="8"/>
  <c r="AS51" i="8"/>
  <c r="AT53" i="8"/>
  <c r="AQ52" i="8"/>
  <c r="AR51" i="8"/>
  <c r="AX52" i="8"/>
  <c r="AQ51" i="8"/>
  <c r="AV53" i="8"/>
  <c r="AX51" i="8"/>
  <c r="AV52" i="8"/>
  <c r="AP53" i="8"/>
  <c r="AV51" i="8"/>
  <c r="AT52" i="8"/>
  <c r="AR53" i="8"/>
  <c r="AT51" i="8"/>
  <c r="AR52" i="8"/>
  <c r="AU52" i="8"/>
  <c r="AD22" i="8"/>
  <c r="AD20" i="8"/>
  <c r="AD27" i="8"/>
  <c r="AD21" i="8"/>
  <c r="AW30" i="8"/>
  <c r="AD19" i="8"/>
  <c r="AG37" i="8"/>
  <c r="AG36" i="8"/>
  <c r="AG32" i="8"/>
  <c r="AQ30" i="8"/>
  <c r="AF36" i="8"/>
  <c r="AF37" i="8"/>
  <c r="AW32" i="8"/>
  <c r="AF31" i="8"/>
  <c r="AD23" i="8"/>
  <c r="AG38" i="8"/>
  <c r="AG39" i="8"/>
  <c r="AS32" i="8"/>
  <c r="AV31" i="8"/>
  <c r="AU30" i="8"/>
  <c r="AR32" i="8"/>
  <c r="AU31" i="8"/>
  <c r="AX30" i="8"/>
  <c r="AF33" i="8"/>
  <c r="AP31" i="8"/>
  <c r="AS30" i="8"/>
  <c r="AG31" i="8"/>
  <c r="AG33" i="8"/>
  <c r="AQ31" i="8"/>
  <c r="AT30" i="8"/>
  <c r="AD26" i="8"/>
  <c r="AG34" i="8"/>
  <c r="AV30" i="8"/>
  <c r="AX32" i="8"/>
  <c r="AR30" i="8"/>
  <c r="AW31" i="8"/>
  <c r="AP32" i="8"/>
  <c r="AR31" i="8"/>
  <c r="AF32" i="8"/>
  <c r="AP30" i="8"/>
  <c r="AU32" i="8"/>
  <c r="AX31" i="8"/>
  <c r="AD25" i="8"/>
  <c r="AF38" i="8"/>
  <c r="AF35" i="8"/>
  <c r="AF39" i="8"/>
  <c r="AV32" i="8"/>
  <c r="AQ32" i="8"/>
  <c r="AT31" i="8"/>
  <c r="AG35" i="8"/>
  <c r="AS31" i="8"/>
  <c r="AF34" i="8"/>
  <c r="AD24" i="8"/>
  <c r="AT32" i="8"/>
  <c r="AS49" i="8"/>
  <c r="AQ50" i="8"/>
  <c r="AS48" i="8"/>
  <c r="AU49" i="8"/>
  <c r="AX49" i="8"/>
  <c r="AV50" i="8"/>
  <c r="AX48" i="8"/>
  <c r="AV49" i="8"/>
  <c r="AX50" i="8"/>
  <c r="AQ49" i="8"/>
  <c r="AQ48" i="8"/>
  <c r="AT49" i="8"/>
  <c r="AR50" i="8"/>
  <c r="AT48" i="8"/>
  <c r="AR49" i="8"/>
  <c r="AT50" i="8"/>
  <c r="AV48" i="8"/>
  <c r="AW50" i="8"/>
  <c r="AP49" i="8"/>
  <c r="AW49" i="8"/>
  <c r="AP48" i="8"/>
  <c r="AU50" i="8"/>
  <c r="AW48" i="8"/>
  <c r="AP50" i="8"/>
  <c r="AR48" i="8"/>
  <c r="AU48" i="8"/>
  <c r="AS50" i="8"/>
  <c r="AC23" i="8"/>
  <c r="AC21" i="8"/>
  <c r="AX20" i="8"/>
  <c r="AC19" i="8"/>
  <c r="AX18" i="8"/>
  <c r="AD36" i="8"/>
  <c r="AP20" i="8"/>
  <c r="AT19" i="8"/>
  <c r="AP18" i="8"/>
  <c r="AQ19" i="8"/>
  <c r="AU20" i="8"/>
  <c r="AU18" i="8"/>
  <c r="AQ20" i="8"/>
  <c r="AE39" i="8"/>
  <c r="AD39" i="8"/>
  <c r="AD33" i="8"/>
  <c r="AQ18" i="8"/>
  <c r="AU19" i="8"/>
  <c r="AE38" i="8"/>
  <c r="AD31" i="8"/>
  <c r="AD38" i="8"/>
  <c r="AE34" i="8"/>
  <c r="AE33" i="8"/>
  <c r="AW19" i="8"/>
  <c r="AC25" i="8"/>
  <c r="AV20" i="8"/>
  <c r="AV18" i="8"/>
  <c r="AE37" i="8"/>
  <c r="AE35" i="8"/>
  <c r="AE36" i="8"/>
  <c r="AE32" i="8"/>
  <c r="AC26" i="8"/>
  <c r="AS19" i="8"/>
  <c r="AC24" i="8"/>
  <c r="AR20" i="8"/>
  <c r="AR18" i="8"/>
  <c r="AC20" i="8"/>
  <c r="AT20" i="8"/>
  <c r="AD32" i="8"/>
  <c r="AW20" i="8"/>
  <c r="AW18" i="8"/>
  <c r="AV19" i="8"/>
  <c r="AP19" i="8"/>
  <c r="AX19" i="8"/>
  <c r="AC22" i="8"/>
  <c r="AT18" i="8"/>
  <c r="AD34" i="8"/>
  <c r="AE31" i="8"/>
  <c r="AD37" i="8"/>
  <c r="AD35" i="8"/>
  <c r="AS20" i="8"/>
  <c r="AS18" i="8"/>
  <c r="AR19" i="8"/>
  <c r="AC27" i="8"/>
  <c r="AX22" i="8"/>
  <c r="AT23" i="8"/>
  <c r="AP22" i="8"/>
  <c r="AT21" i="8"/>
  <c r="AQ23" i="8"/>
  <c r="AQ21" i="8"/>
  <c r="AU22" i="8"/>
  <c r="AW22" i="8"/>
  <c r="AR23" i="8"/>
  <c r="AR21" i="8"/>
  <c r="AQ22" i="8"/>
  <c r="AU23" i="8"/>
  <c r="AS22" i="8"/>
  <c r="AV22" i="8"/>
  <c r="AU21" i="8"/>
  <c r="AW23" i="8"/>
  <c r="AW21" i="8"/>
  <c r="AR22" i="8"/>
  <c r="AS23" i="8"/>
  <c r="AS21" i="8"/>
  <c r="AV23" i="8"/>
  <c r="AV21" i="8"/>
  <c r="AX21" i="8"/>
  <c r="AX23" i="8"/>
  <c r="AP23" i="8"/>
  <c r="AT22" i="8"/>
  <c r="AP21" i="8"/>
  <c r="BA8" i="8"/>
  <c r="BB7" i="8"/>
  <c r="BB6" i="8"/>
  <c r="BB5" i="8"/>
  <c r="BB4" i="8"/>
  <c r="BB3" i="8"/>
  <c r="BB10" i="8"/>
  <c r="BA7" i="8"/>
  <c r="BA6" i="8"/>
  <c r="BA5" i="8"/>
  <c r="BA4" i="8"/>
  <c r="BA3" i="8"/>
  <c r="BB11" i="8"/>
  <c r="BA11" i="8"/>
  <c r="AV8" i="8"/>
  <c r="AT7" i="8"/>
  <c r="AW6" i="8"/>
  <c r="AB24" i="8"/>
  <c r="AP6" i="8"/>
  <c r="BB9" i="8"/>
  <c r="AS8" i="8"/>
  <c r="AS7" i="8"/>
  <c r="AT6" i="8"/>
  <c r="BA9" i="8"/>
  <c r="AX7" i="8"/>
  <c r="AW7" i="8"/>
  <c r="AX6" i="8"/>
  <c r="BA10" i="8"/>
  <c r="BB8" i="8"/>
  <c r="AR8" i="8"/>
  <c r="AP7" i="8"/>
  <c r="AS6" i="8"/>
  <c r="AW8" i="8"/>
  <c r="AX8" i="8"/>
  <c r="AC38" i="8"/>
  <c r="AC39" i="8"/>
  <c r="AQ6" i="8"/>
  <c r="AB35" i="8"/>
  <c r="AU6" i="8"/>
  <c r="AQ7" i="8"/>
  <c r="AP8" i="8"/>
  <c r="AC37" i="8"/>
  <c r="AC36" i="8"/>
  <c r="AC32" i="8"/>
  <c r="AU7" i="8"/>
  <c r="AT8" i="8"/>
  <c r="AB37" i="8"/>
  <c r="AB38" i="8"/>
  <c r="AB27" i="8"/>
  <c r="AC31" i="8"/>
  <c r="AR6" i="8"/>
  <c r="AR7" i="8"/>
  <c r="AQ8" i="8"/>
  <c r="AB39" i="8"/>
  <c r="AB33" i="8"/>
  <c r="AB20" i="8"/>
  <c r="AV6" i="8"/>
  <c r="AV7" i="8"/>
  <c r="AU8" i="8"/>
  <c r="AC33" i="8"/>
  <c r="AC34" i="8"/>
  <c r="AC35" i="8"/>
  <c r="AB34" i="8"/>
  <c r="AB31" i="8"/>
  <c r="AB36" i="8"/>
  <c r="AB32" i="8"/>
  <c r="AB25" i="8"/>
  <c r="AB23" i="8"/>
  <c r="AB22" i="8"/>
  <c r="AB21" i="8"/>
  <c r="AB19" i="8"/>
  <c r="AB26" i="8"/>
  <c r="AE24" i="8"/>
  <c r="AE25" i="8"/>
  <c r="AU43" i="8"/>
  <c r="AI39" i="8"/>
  <c r="AT43" i="8"/>
  <c r="AH39" i="8"/>
  <c r="AR44" i="8"/>
  <c r="AT42" i="8"/>
  <c r="AW42" i="8"/>
  <c r="AE26" i="8"/>
  <c r="AX44" i="8"/>
  <c r="AQ43" i="8"/>
  <c r="AW44" i="8"/>
  <c r="AP43" i="8"/>
  <c r="AW43" i="8"/>
  <c r="AP42" i="8"/>
  <c r="AT44" i="8"/>
  <c r="AV42" i="8"/>
  <c r="AH38" i="8"/>
  <c r="AS44" i="8"/>
  <c r="AU42" i="8"/>
  <c r="AS43" i="8"/>
  <c r="AI34" i="8"/>
  <c r="AP44" i="8"/>
  <c r="AR42" i="8"/>
  <c r="AX43" i="8"/>
  <c r="AQ42" i="8"/>
  <c r="AV44" i="8"/>
  <c r="AX42" i="8"/>
  <c r="AU44" i="8"/>
  <c r="AH37" i="8"/>
  <c r="AH33" i="8"/>
  <c r="AI35" i="8"/>
  <c r="AV43" i="8"/>
  <c r="AI36" i="8"/>
  <c r="AI32" i="8"/>
  <c r="AI37" i="8"/>
  <c r="AE23" i="8"/>
  <c r="AE22" i="8"/>
  <c r="AE21" i="8"/>
  <c r="AE19" i="8"/>
  <c r="AQ44" i="8"/>
  <c r="AH31" i="8"/>
  <c r="AI33" i="8"/>
  <c r="AH36" i="8"/>
  <c r="AS42" i="8"/>
  <c r="AH34" i="8"/>
  <c r="AI31" i="8"/>
  <c r="AI38" i="8"/>
  <c r="AH35" i="8"/>
  <c r="AR43" i="8"/>
  <c r="AH32" i="8"/>
  <c r="AE27" i="8"/>
  <c r="AE20" i="8"/>
  <c r="AR46" i="8"/>
  <c r="AT47" i="8"/>
  <c r="AV45" i="8"/>
  <c r="AX46" i="8"/>
  <c r="AQ45" i="8"/>
  <c r="AP45" i="8"/>
  <c r="AU47" i="8"/>
  <c r="AW45" i="8"/>
  <c r="AP47" i="8"/>
  <c r="AR45" i="8"/>
  <c r="AT46" i="8"/>
  <c r="AW46" i="8"/>
  <c r="AS46" i="8"/>
  <c r="AQ47" i="8"/>
  <c r="AS45" i="8"/>
  <c r="AU46" i="8"/>
  <c r="AW47" i="8"/>
  <c r="AP46" i="8"/>
  <c r="AX45" i="8"/>
  <c r="AV47" i="8"/>
  <c r="AV46" i="8"/>
  <c r="AX47" i="8"/>
  <c r="AQ46" i="8"/>
  <c r="AS47" i="8"/>
  <c r="AU45" i="8"/>
  <c r="AT45" i="8"/>
  <c r="AR47" i="8"/>
  <c r="AS41" i="8"/>
  <c r="AU39" i="8"/>
  <c r="AS40" i="8"/>
  <c r="AV40" i="8"/>
  <c r="AU40" i="8"/>
  <c r="AV39" i="8"/>
  <c r="AX40" i="8"/>
  <c r="AQ39" i="8"/>
  <c r="AV41" i="8"/>
  <c r="AX39" i="8"/>
  <c r="AR40" i="8"/>
  <c r="AT40" i="8"/>
  <c r="AR41" i="8"/>
  <c r="AT39" i="8"/>
  <c r="AU41" i="8"/>
  <c r="AW39" i="8"/>
  <c r="AX41" i="8"/>
  <c r="AP41" i="8"/>
  <c r="AW41" i="8"/>
  <c r="AP40" i="8"/>
  <c r="AW40" i="8"/>
  <c r="AP39" i="8"/>
  <c r="AQ41" i="8"/>
  <c r="AS39" i="8"/>
  <c r="AQ40" i="8"/>
  <c r="AT41" i="8"/>
  <c r="AR39" i="8"/>
  <c r="AR54" i="8"/>
  <c r="AQ54" i="8"/>
  <c r="AX54" i="8"/>
  <c r="AT54" i="8"/>
  <c r="AW54" i="8"/>
  <c r="AP54" i="8"/>
  <c r="AS54" i="8"/>
  <c r="AV54" i="8"/>
  <c r="AU54" i="8"/>
  <c r="AF7" i="5"/>
  <c r="AF6" i="5"/>
  <c r="AH7" i="5"/>
  <c r="AG5" i="5"/>
  <c r="AG4" i="5"/>
  <c r="AG3" i="5"/>
  <c r="AF4" i="5"/>
  <c r="AF3" i="5"/>
  <c r="AH6" i="5"/>
  <c r="AG7" i="5"/>
  <c r="AF5" i="5"/>
  <c r="AG6" i="5"/>
  <c r="AH3" i="5"/>
  <c r="AH5" i="5"/>
  <c r="AH4" i="5"/>
  <c r="W47" i="5" l="1"/>
  <c r="W20" i="5"/>
  <c r="W11" i="5"/>
  <c r="W28" i="5"/>
  <c r="W29" i="5"/>
  <c r="W49" i="5"/>
  <c r="W6" i="5"/>
  <c r="W30" i="5"/>
  <c r="W18" i="5"/>
  <c r="W42" i="5"/>
  <c r="W27" i="5"/>
  <c r="W54" i="5"/>
  <c r="W13" i="5"/>
  <c r="W38" i="5"/>
  <c r="W9" i="5"/>
  <c r="W16" i="5"/>
  <c r="W2" i="5"/>
  <c r="W4" i="5"/>
  <c r="W41" i="5"/>
  <c r="W15" i="5"/>
  <c r="W50" i="5"/>
  <c r="W10" i="5"/>
  <c r="W31" i="5"/>
  <c r="W26" i="5"/>
  <c r="W36" i="5"/>
  <c r="W17" i="5"/>
  <c r="W23" i="5"/>
  <c r="W12" i="5"/>
  <c r="W32" i="5"/>
  <c r="W14" i="5"/>
  <c r="W21" i="5"/>
  <c r="W33" i="5"/>
  <c r="W45" i="5"/>
  <c r="W19" i="5"/>
  <c r="W8" i="5"/>
  <c r="W34" i="5"/>
  <c r="W40" i="5"/>
  <c r="W5" i="5"/>
  <c r="W52" i="5"/>
  <c r="W51" i="5"/>
  <c r="W46" i="5"/>
  <c r="W43" i="5"/>
  <c r="W22" i="5"/>
  <c r="W37" i="5"/>
  <c r="W35" i="5"/>
  <c r="W48" i="5"/>
  <c r="W39" i="5"/>
  <c r="W25" i="5"/>
  <c r="W53" i="5"/>
  <c r="W7" i="5"/>
  <c r="W44" i="5"/>
  <c r="W24" i="5"/>
  <c r="W3" i="5"/>
  <c r="AT53" i="5" l="1"/>
  <c r="AV51" i="5"/>
  <c r="AT52" i="5"/>
  <c r="AR53" i="5"/>
  <c r="AT51" i="5"/>
  <c r="AR52" i="5"/>
  <c r="AP53" i="5"/>
  <c r="AR51" i="5"/>
  <c r="AW53" i="5"/>
  <c r="AP52" i="5"/>
  <c r="AW52" i="5"/>
  <c r="AP51" i="5"/>
  <c r="AU53" i="5"/>
  <c r="AW51" i="5"/>
  <c r="AU52" i="5"/>
  <c r="AS53" i="5"/>
  <c r="AU51" i="5"/>
  <c r="AS52" i="5"/>
  <c r="AQ53" i="5"/>
  <c r="AS51" i="5"/>
  <c r="AX53" i="5"/>
  <c r="AQ52" i="5"/>
  <c r="AX52" i="5"/>
  <c r="AQ51" i="5"/>
  <c r="AV53" i="5"/>
  <c r="AX51" i="5"/>
  <c r="AV52" i="5"/>
  <c r="AT14" i="5"/>
  <c r="AS13" i="5"/>
  <c r="AX12" i="5"/>
  <c r="AP12" i="5"/>
  <c r="AS14" i="5"/>
  <c r="AX13" i="5"/>
  <c r="AP13" i="5"/>
  <c r="AW12" i="5"/>
  <c r="AX14" i="5"/>
  <c r="AP14" i="5"/>
  <c r="AW13" i="5"/>
  <c r="AT12" i="5"/>
  <c r="AW14" i="5"/>
  <c r="AT13" i="5"/>
  <c r="AS12" i="5"/>
  <c r="AU13" i="5"/>
  <c r="AV13" i="5"/>
  <c r="AQ12" i="5"/>
  <c r="AQ14" i="5"/>
  <c r="AR12" i="5"/>
  <c r="AR14" i="5"/>
  <c r="AU12" i="5"/>
  <c r="AU14" i="5"/>
  <c r="AV12" i="5"/>
  <c r="AV14" i="5"/>
  <c r="AQ13" i="5"/>
  <c r="AR13" i="5"/>
  <c r="AR25" i="5"/>
  <c r="AP26" i="5"/>
  <c r="AS26" i="5"/>
  <c r="AX24" i="5"/>
  <c r="AQ25" i="5"/>
  <c r="AQ24" i="5"/>
  <c r="AS24" i="5"/>
  <c r="AX26" i="5"/>
  <c r="AR26" i="5"/>
  <c r="AV24" i="5"/>
  <c r="AU26" i="5"/>
  <c r="AU24" i="5"/>
  <c r="AT26" i="5"/>
  <c r="AX25" i="5"/>
  <c r="AR24" i="5"/>
  <c r="AQ26" i="5"/>
  <c r="AV25" i="5"/>
  <c r="AW26" i="5"/>
  <c r="AT24" i="5"/>
  <c r="AT25" i="5"/>
  <c r="AW25" i="5"/>
  <c r="AP24" i="5"/>
  <c r="AU25" i="5"/>
  <c r="AV26" i="5"/>
  <c r="AP25" i="5"/>
  <c r="AS25" i="5"/>
  <c r="AW24" i="5"/>
  <c r="AW50" i="5"/>
  <c r="AP49" i="5"/>
  <c r="AW49" i="5"/>
  <c r="AP48" i="5"/>
  <c r="AQ50" i="5"/>
  <c r="AS48" i="5"/>
  <c r="AX50" i="5"/>
  <c r="AQ49" i="5"/>
  <c r="AS50" i="5"/>
  <c r="AU48" i="5"/>
  <c r="AS49" i="5"/>
  <c r="AV49" i="5"/>
  <c r="AT50" i="5"/>
  <c r="AV48" i="5"/>
  <c r="AX49" i="5"/>
  <c r="AQ48" i="5"/>
  <c r="AV50" i="5"/>
  <c r="AX48" i="5"/>
  <c r="AR49" i="5"/>
  <c r="AP50" i="5"/>
  <c r="AR48" i="5"/>
  <c r="AT49" i="5"/>
  <c r="AR50" i="5"/>
  <c r="AT48" i="5"/>
  <c r="AU50" i="5"/>
  <c r="AW48" i="5"/>
  <c r="AU49" i="5"/>
  <c r="AS39" i="5"/>
  <c r="AP41" i="5"/>
  <c r="AR39" i="5"/>
  <c r="AW41" i="5"/>
  <c r="AP40" i="5"/>
  <c r="AW40" i="5"/>
  <c r="AP39" i="5"/>
  <c r="AV40" i="5"/>
  <c r="AU40" i="5"/>
  <c r="AS41" i="5"/>
  <c r="AU39" i="5"/>
  <c r="AS40" i="5"/>
  <c r="AX41" i="5"/>
  <c r="AQ40" i="5"/>
  <c r="AX40" i="5"/>
  <c r="AQ39" i="5"/>
  <c r="AV41" i="5"/>
  <c r="AX39" i="5"/>
  <c r="AQ41" i="5"/>
  <c r="AT41" i="5"/>
  <c r="AV39" i="5"/>
  <c r="AT40" i="5"/>
  <c r="AR41" i="5"/>
  <c r="AT39" i="5"/>
  <c r="AR40" i="5"/>
  <c r="AU41" i="5"/>
  <c r="AW39" i="5"/>
  <c r="AF22" i="5"/>
  <c r="AJ34" i="5"/>
  <c r="AJ36" i="5"/>
  <c r="AK38" i="5"/>
  <c r="AK32" i="5"/>
  <c r="AK36" i="5"/>
  <c r="AJ32" i="5"/>
  <c r="AF19" i="5"/>
  <c r="AK37" i="5"/>
  <c r="AJ31" i="5"/>
  <c r="AF25" i="5"/>
  <c r="AK34" i="5"/>
  <c r="AF20" i="5"/>
  <c r="AJ38" i="5"/>
  <c r="AF27" i="5"/>
  <c r="AJ33" i="5"/>
  <c r="AF23" i="5"/>
  <c r="AK35" i="5"/>
  <c r="AJ39" i="5"/>
  <c r="AJ37" i="5"/>
  <c r="AK39" i="5"/>
  <c r="AJ35" i="5"/>
  <c r="AK33" i="5"/>
  <c r="AF26" i="5"/>
  <c r="AK31" i="5"/>
  <c r="AF21" i="5"/>
  <c r="AF24" i="5"/>
  <c r="AT23" i="5"/>
  <c r="AW22" i="5"/>
  <c r="AX21" i="5"/>
  <c r="AP21" i="5"/>
  <c r="AR22" i="5"/>
  <c r="AU23" i="5"/>
  <c r="AU21" i="5"/>
  <c r="AS21" i="5"/>
  <c r="AP22" i="5"/>
  <c r="AW23" i="5"/>
  <c r="AV23" i="5"/>
  <c r="AV21" i="5"/>
  <c r="AQ23" i="5"/>
  <c r="AQ21" i="5"/>
  <c r="AX22" i="5"/>
  <c r="AP23" i="5"/>
  <c r="AR23" i="5"/>
  <c r="AR21" i="5"/>
  <c r="AU22" i="5"/>
  <c r="AT21" i="5"/>
  <c r="AS22" i="5"/>
  <c r="AX23" i="5"/>
  <c r="AV22" i="5"/>
  <c r="AQ22" i="5"/>
  <c r="AT22" i="5"/>
  <c r="AS23" i="5"/>
  <c r="AW21" i="5"/>
  <c r="AS46" i="5"/>
  <c r="AU47" i="5"/>
  <c r="AW45" i="5"/>
  <c r="AP47" i="5"/>
  <c r="AR45" i="5"/>
  <c r="AT46" i="5"/>
  <c r="AV47" i="5"/>
  <c r="AX45" i="5"/>
  <c r="AQ47" i="5"/>
  <c r="AS45" i="5"/>
  <c r="AU46" i="5"/>
  <c r="AW47" i="5"/>
  <c r="AP46" i="5"/>
  <c r="AU45" i="5"/>
  <c r="AQ45" i="5"/>
  <c r="AR47" i="5"/>
  <c r="AT45" i="5"/>
  <c r="AV46" i="5"/>
  <c r="AX47" i="5"/>
  <c r="AQ46" i="5"/>
  <c r="AS47" i="5"/>
  <c r="AW46" i="5"/>
  <c r="AP45" i="5"/>
  <c r="AR46" i="5"/>
  <c r="AT47" i="5"/>
  <c r="AV45" i="5"/>
  <c r="AX46" i="5"/>
  <c r="AU37" i="5"/>
  <c r="AX36" i="5"/>
  <c r="AS36" i="5"/>
  <c r="AQ38" i="5"/>
  <c r="AW37" i="5"/>
  <c r="AR37" i="5"/>
  <c r="AQ37" i="5"/>
  <c r="AQ36" i="5"/>
  <c r="AV38" i="5"/>
  <c r="AX37" i="5"/>
  <c r="AX38" i="5"/>
  <c r="AS37" i="5"/>
  <c r="AW38" i="5"/>
  <c r="AU36" i="5"/>
  <c r="AW36" i="5"/>
  <c r="AT37" i="5"/>
  <c r="AT38" i="5"/>
  <c r="AV36" i="5"/>
  <c r="AS38" i="5"/>
  <c r="AP36" i="5"/>
  <c r="AP37" i="5"/>
  <c r="AU38" i="5"/>
  <c r="AP38" i="5"/>
  <c r="AR36" i="5"/>
  <c r="AV37" i="5"/>
  <c r="AR38" i="5"/>
  <c r="AT36" i="5"/>
  <c r="BB10" i="5"/>
  <c r="BA7" i="5"/>
  <c r="BA6" i="5"/>
  <c r="BB11" i="5"/>
  <c r="BA10" i="5"/>
  <c r="BB9" i="5"/>
  <c r="BB5" i="5"/>
  <c r="BB4" i="5"/>
  <c r="BB3" i="5"/>
  <c r="AR8" i="5"/>
  <c r="BA9" i="5"/>
  <c r="BB6" i="5"/>
  <c r="BA5" i="5"/>
  <c r="BA4" i="5"/>
  <c r="BA3" i="5"/>
  <c r="BB8" i="5"/>
  <c r="AW6" i="5"/>
  <c r="AB38" i="5"/>
  <c r="AB20" i="5"/>
  <c r="AQ8" i="5"/>
  <c r="BA11" i="5"/>
  <c r="AS7" i="5"/>
  <c r="BA8" i="5"/>
  <c r="AV6" i="5"/>
  <c r="BB7" i="5"/>
  <c r="AR7" i="5"/>
  <c r="AV7" i="5"/>
  <c r="AX8" i="5"/>
  <c r="AC31" i="5"/>
  <c r="AB34" i="5"/>
  <c r="AC39" i="5"/>
  <c r="AB22" i="5"/>
  <c r="AB39" i="5"/>
  <c r="AB37" i="5"/>
  <c r="AB35" i="5"/>
  <c r="AC33" i="5"/>
  <c r="AB24" i="5"/>
  <c r="AT8" i="5"/>
  <c r="AU7" i="5"/>
  <c r="AU6" i="5"/>
  <c r="AR6" i="5"/>
  <c r="AU8" i="5"/>
  <c r="AC38" i="5"/>
  <c r="AC36" i="5"/>
  <c r="AC32" i="5"/>
  <c r="AB36" i="5"/>
  <c r="AB32" i="5"/>
  <c r="AB25" i="5"/>
  <c r="AP8" i="5"/>
  <c r="AQ7" i="5"/>
  <c r="AQ6" i="5"/>
  <c r="AB21" i="5"/>
  <c r="AC37" i="5"/>
  <c r="AB31" i="5"/>
  <c r="AB27" i="5"/>
  <c r="AS8" i="5"/>
  <c r="AX7" i="5"/>
  <c r="AP6" i="5"/>
  <c r="AB19" i="5"/>
  <c r="AC35" i="5"/>
  <c r="AT7" i="5"/>
  <c r="AV8" i="5"/>
  <c r="AB23" i="5"/>
  <c r="AB33" i="5"/>
  <c r="AP7" i="5"/>
  <c r="AX6" i="5"/>
  <c r="AS6" i="5"/>
  <c r="AW7" i="5"/>
  <c r="AB26" i="5"/>
  <c r="AC34" i="5"/>
  <c r="AW8" i="5"/>
  <c r="AT6" i="5"/>
  <c r="AP11" i="5"/>
  <c r="AX11" i="5"/>
  <c r="AQ9" i="5"/>
  <c r="AT10" i="5"/>
  <c r="AS11" i="5"/>
  <c r="AS9" i="5"/>
  <c r="AU10" i="5"/>
  <c r="AP10" i="5"/>
  <c r="AV10" i="5"/>
  <c r="AQ10" i="5"/>
  <c r="AW10" i="5"/>
  <c r="AU9" i="5"/>
  <c r="AX10" i="5"/>
  <c r="AR10" i="5"/>
  <c r="AV11" i="5"/>
  <c r="AV9" i="5"/>
  <c r="AT9" i="5"/>
  <c r="AW11" i="5"/>
  <c r="AW9" i="5"/>
  <c r="AR11" i="5"/>
  <c r="AR9" i="5"/>
  <c r="AQ11" i="5"/>
  <c r="AT11" i="5"/>
  <c r="AP9" i="5"/>
  <c r="AX9" i="5"/>
  <c r="AS10" i="5"/>
  <c r="AU11" i="5"/>
  <c r="AI33" i="5"/>
  <c r="AI32" i="5"/>
  <c r="AH36" i="5"/>
  <c r="AR43" i="5"/>
  <c r="AP44" i="5"/>
  <c r="AR42" i="5"/>
  <c r="AS44" i="5"/>
  <c r="AU42" i="5"/>
  <c r="AH33" i="5"/>
  <c r="AP42" i="5"/>
  <c r="AE25" i="5"/>
  <c r="AE23" i="5"/>
  <c r="AE22" i="5"/>
  <c r="AE21" i="5"/>
  <c r="AE19" i="5"/>
  <c r="AW43" i="5"/>
  <c r="AU44" i="5"/>
  <c r="AW42" i="5"/>
  <c r="AU43" i="5"/>
  <c r="AI39" i="5"/>
  <c r="AX43" i="5"/>
  <c r="AQ42" i="5"/>
  <c r="AR44" i="5"/>
  <c r="AE24" i="5"/>
  <c r="AH34" i="5"/>
  <c r="AI31" i="5"/>
  <c r="AH35" i="5"/>
  <c r="AH32" i="5"/>
  <c r="AX42" i="5"/>
  <c r="AS43" i="5"/>
  <c r="AQ44" i="5"/>
  <c r="AS42" i="5"/>
  <c r="AI38" i="5"/>
  <c r="AX44" i="5"/>
  <c r="AQ43" i="5"/>
  <c r="AT43" i="5"/>
  <c r="AH39" i="5"/>
  <c r="AT42" i="5"/>
  <c r="AI34" i="5"/>
  <c r="AE27" i="5"/>
  <c r="AE20" i="5"/>
  <c r="AH31" i="5"/>
  <c r="AV43" i="5"/>
  <c r="AT44" i="5"/>
  <c r="AV42" i="5"/>
  <c r="AH38" i="5"/>
  <c r="AW44" i="5"/>
  <c r="AP43" i="5"/>
  <c r="AE26" i="5"/>
  <c r="AI35" i="5"/>
  <c r="AH37" i="5"/>
  <c r="AV44" i="5"/>
  <c r="AI36" i="5"/>
  <c r="AI37" i="5"/>
  <c r="AU34" i="5"/>
  <c r="AP33" i="5"/>
  <c r="AX34" i="5"/>
  <c r="AS33" i="5"/>
  <c r="AQ33" i="5"/>
  <c r="AV34" i="5"/>
  <c r="AQ34" i="5"/>
  <c r="AT34" i="5"/>
  <c r="AS35" i="5"/>
  <c r="AR33" i="5"/>
  <c r="AP35" i="5"/>
  <c r="AX35" i="5"/>
  <c r="AV35" i="5"/>
  <c r="AX33" i="5"/>
  <c r="AU35" i="5"/>
  <c r="AP34" i="5"/>
  <c r="AT35" i="5"/>
  <c r="AR34" i="5"/>
  <c r="AR35" i="5"/>
  <c r="AT33" i="5"/>
  <c r="AQ35" i="5"/>
  <c r="AW33" i="5"/>
  <c r="AS34" i="5"/>
  <c r="AV33" i="5"/>
  <c r="AU33" i="5"/>
  <c r="AW35" i="5"/>
  <c r="AW34" i="5"/>
  <c r="AS54" i="5"/>
  <c r="AV54" i="5"/>
  <c r="AP54" i="5"/>
  <c r="AR54" i="5"/>
  <c r="AU54" i="5"/>
  <c r="AQ54" i="5"/>
  <c r="AX54" i="5"/>
  <c r="AW54" i="5"/>
  <c r="AT54" i="5"/>
  <c r="AG31" i="5"/>
  <c r="AR30" i="5"/>
  <c r="AX32" i="5"/>
  <c r="AF39" i="5"/>
  <c r="AF37" i="5"/>
  <c r="AF35" i="5"/>
  <c r="AR31" i="5"/>
  <c r="AU30" i="5"/>
  <c r="AG33" i="5"/>
  <c r="AQ31" i="5"/>
  <c r="AT30" i="5"/>
  <c r="AD26" i="5"/>
  <c r="AT32" i="5"/>
  <c r="AG35" i="5"/>
  <c r="AQ32" i="5"/>
  <c r="AD25" i="5"/>
  <c r="AD23" i="5"/>
  <c r="AD22" i="5"/>
  <c r="AD21" i="5"/>
  <c r="AD19" i="5"/>
  <c r="AS31" i="5"/>
  <c r="AG38" i="5"/>
  <c r="AG36" i="5"/>
  <c r="AG32" i="5"/>
  <c r="AQ30" i="5"/>
  <c r="AG39" i="5"/>
  <c r="AF36" i="5"/>
  <c r="AF32" i="5"/>
  <c r="AP30" i="5"/>
  <c r="AW30" i="5"/>
  <c r="AF34" i="5"/>
  <c r="AS30" i="5"/>
  <c r="AP32" i="5"/>
  <c r="AG37" i="5"/>
  <c r="AW32" i="5"/>
  <c r="AF31" i="5"/>
  <c r="AV32" i="5"/>
  <c r="AG34" i="5"/>
  <c r="AX31" i="5"/>
  <c r="AF38" i="5"/>
  <c r="AW31" i="5"/>
  <c r="AD27" i="5"/>
  <c r="AS32" i="5"/>
  <c r="AV31" i="5"/>
  <c r="AR32" i="5"/>
  <c r="AU31" i="5"/>
  <c r="AX30" i="5"/>
  <c r="AP31" i="5"/>
  <c r="AD20" i="5"/>
  <c r="AD24" i="5"/>
  <c r="AT31" i="5"/>
  <c r="AF33" i="5"/>
  <c r="AV30" i="5"/>
  <c r="AU32" i="5"/>
  <c r="AT19" i="5"/>
  <c r="AD32" i="5"/>
  <c r="AC19" i="5"/>
  <c r="AE36" i="5"/>
  <c r="AD35" i="5"/>
  <c r="AC23" i="5"/>
  <c r="AS20" i="5"/>
  <c r="AW18" i="5"/>
  <c r="AC20" i="5"/>
  <c r="AS18" i="5"/>
  <c r="AX19" i="5"/>
  <c r="AC24" i="5"/>
  <c r="AD38" i="5"/>
  <c r="AE37" i="5"/>
  <c r="AC25" i="5"/>
  <c r="AE35" i="5"/>
  <c r="AD36" i="5"/>
  <c r="AD31" i="5"/>
  <c r="AV20" i="5"/>
  <c r="AV18" i="5"/>
  <c r="AU20" i="5"/>
  <c r="AU18" i="5"/>
  <c r="AT20" i="5"/>
  <c r="AC21" i="5"/>
  <c r="AD33" i="5"/>
  <c r="AR20" i="5"/>
  <c r="AR18" i="5"/>
  <c r="AP18" i="5"/>
  <c r="AW19" i="5"/>
  <c r="AE39" i="5"/>
  <c r="AC27" i="5"/>
  <c r="AD34" i="5"/>
  <c r="AE31" i="5"/>
  <c r="AV19" i="5"/>
  <c r="AX18" i="5"/>
  <c r="AP19" i="5"/>
  <c r="AW20" i="5"/>
  <c r="AE38" i="5"/>
  <c r="AD39" i="5"/>
  <c r="AE34" i="5"/>
  <c r="AD37" i="5"/>
  <c r="AE33" i="5"/>
  <c r="AR19" i="5"/>
  <c r="AU19" i="5"/>
  <c r="AX20" i="5"/>
  <c r="AQ19" i="5"/>
  <c r="AQ18" i="5"/>
  <c r="AT18" i="5"/>
  <c r="AS19" i="5"/>
  <c r="AC22" i="5"/>
  <c r="AC26" i="5"/>
  <c r="AE32" i="5"/>
  <c r="AQ20" i="5"/>
  <c r="AP2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<sst xmlns="http://schemas.openxmlformats.org/spreadsheetml/2006/main" count="495" uniqueCount="125">
  <si>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</si>
  <si>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</si>
  <si>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</si>
  <si>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</si>
  <si>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</si>
  <si>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</si>
  <si>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</si>
  <si>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</si>
  <si>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</si>
  <si>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</si>
  <si>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</si>
  <si>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</si>
  <si>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</si>
  <si>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</si>
  <si>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</si>
  <si>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</si>
  <si>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</si>
  <si>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</si>
  <si>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</si>
  <si>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</si>
  <si>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</si>
  <si>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</si>
  <si>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</si>
  <si>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</si>
  <si>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</si>
  <si>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</si>
  <si>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</si>
  <si>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</si>
  <si>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</si>
  <si>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</si>
  <si>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</si>
  <si>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</si>
  <si>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</si>
  <si>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</si>
  <si>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</si>
  <si>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</si>
  <si>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</si>
  <si>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</si>
  <si>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</si>
  <si>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</si>
  <si>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</si>
  <si>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</si>
  <si>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</si>
  <si>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</si>
  <si>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</si>
  <si>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</si>
  <si>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</si>
  <si>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</si>
  <si>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</si>
  <si>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</si>
  <si>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</si>
  <si>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</si>
  <si>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</si>
  <si>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</si>
  <si>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</si>
  <si>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</si>
  <si>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</si>
  <si>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</si>
  <si>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</si>
  <si>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</si>
  <si>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</si>
  <si>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</si>
  <si>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</si>
  <si>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</si>
  <si>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</si>
  <si>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</si>
  <si>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</si>
  <si>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</si>
  <si>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</si>
  <si>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</si>
  <si>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</si>
  <si>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</si>
  <si>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</si>
  <si>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</si>
  <si>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</si>
  <si>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</si>
  <si>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</si>
  <si>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</si>
  <si>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</si>
  <si>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</si>
  <si>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</si>
  <si>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</si>
  <si>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</si>
  <si>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</si>
  <si>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</si>
  <si>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</si>
  <si>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</si>
  <si>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</si>
  <si>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</si>
  <si>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</si>
  <si>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</si>
  <si>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</si>
  <si>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</si>
  <si>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</si>
  <si>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</si>
  <si>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</si>
  <si>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</si>
  <si>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</si>
  <si>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</si>
  <si>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</si>
  <si>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</si>
  <si>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</si>
  <si>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</si>
  <si>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</si>
  <si>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</si>
  <si>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 xml:space="preserve">        학과
학점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</si>
  <si>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</si>
  <si>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</si>
  <si>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</si>
  <si>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</si>
  <si>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데이터1</t>
    <phoneticPr fontId="18" type="noConversion"/>
  </si>
  <si>
    <t>데이터2</t>
    <phoneticPr fontId="18" type="noConversion"/>
  </si>
  <si>
    <t>사과</t>
    <phoneticPr fontId="18" type="noConversion"/>
  </si>
  <si>
    <t>포도</t>
    <phoneticPr fontId="18" type="noConversion"/>
  </si>
  <si>
    <t>딸기</t>
    <phoneticPr fontId="18" type="noConversion"/>
  </si>
  <si>
    <t>수박</t>
    <phoneticPr fontId="18" type="noConversion"/>
  </si>
  <si>
    <t>오렌지</t>
    <phoneticPr fontId="18" type="noConversion"/>
  </si>
  <si>
    <t>토마토</t>
    <phoneticPr fontId="18" type="noConversion"/>
  </si>
  <si>
    <t>배</t>
    <phoneticPr fontId="18" type="noConversion"/>
  </si>
  <si>
    <t>복숭아</t>
    <phoneticPr fontId="18" type="noConversion"/>
  </si>
  <si>
    <t>자두</t>
    <phoneticPr fontId="18" type="noConversion"/>
  </si>
  <si>
    <t>입학연도</t>
    <phoneticPr fontId="18" type="noConversion"/>
  </si>
  <si>
    <t>최고 점수</t>
    <phoneticPr fontId="18" type="noConversion"/>
  </si>
  <si>
    <t>최저 점수</t>
    <phoneticPr fontId="18" type="noConversion"/>
  </si>
  <si>
    <t>중간 점수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</si>
</sst>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1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 diagonalUp="1" diagonalDown="1">
      <left style="thick">
        <color indexed="64"/>
      </left>
      <right/>
      <top style="thick">
        <color indexed="64"/>
      </top>
      <bottom/>
      <diagonal style="thick">
        <color indexed="64"/>
      </diagonal>
    </border>
    <border diagonalUp="1" diagonalDown="1">
      <left/>
      <right/>
      <top style="thick">
        <color indexed="64"/>
      </top>
      <bottom/>
      <diagonal style="thick">
        <color indexed="64"/>
      </diagonal>
    </border>
    <border diagonalUp="1" diagonalDown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 diagonalUp="1" diagonalDown="1">
      <left style="thick">
        <color indexed="64"/>
      </left>
      <right/>
      <top/>
      <bottom/>
      <diagonal style="thick">
        <color indexed="64"/>
      </diagonal>
    </border>
    <border diagonalUp="1" diagonalDown="1">
      <left/>
      <right/>
      <top/>
      <bottom/>
      <diagonal style="thick">
        <color indexed="64"/>
      </diagonal>
    </border>
    <border diagonalUp="1" diagonalDown="1">
      <left/>
      <right style="thick">
        <color indexed="64"/>
      </right>
      <top/>
      <bottom/>
      <diagonal style="thick">
        <color indexed="64"/>
      </diagonal>
    </border>
    <border diagonalUp="1" diagonalDown="1">
      <left style="thick">
        <color indexed="64"/>
      </left>
      <right/>
      <top/>
      <bottom style="thick">
        <color indexed="64"/>
      </bottom>
      <diagonal style="thick">
        <color indexed="64"/>
      </diagonal>
    </border>
    <border diagonalUp="1" diagonalDown="1">
      <left/>
      <right/>
      <top/>
      <bottom style="thick">
        <color indexed="64"/>
      </bottom>
      <diagonal style="thick">
        <color indexed="64"/>
      </diagonal>
    </border>
    <border diagonalUp="1" diagonalDown="1">
      <left/>
      <right style="thick">
        <color indexed="64"/>
      </right>
      <top/>
      <bottom style="thick">
        <color indexed="64"/>
      </bottom>
      <diagonal style="thick">
        <color indexed="64"/>
      </diagonal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1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3" fillId="33" borderId="27" xfId="0" applyFont="1" applyFill="1" applyBorder="1" applyAlignment="1">
      <alignment horizontal="center" vertical="center"/>
    </xf>
    <xf numFmtId="0" fontId="23" fillId="33" borderId="30" xfId="0" applyFont="1" applyFill="1" applyBorder="1" applyAlignment="1">
      <alignment horizontal="center" vertical="center"/>
    </xf>
    <xf numFmtId="49" fontId="23" fillId="33" borderId="31" xfId="0" applyNumberFormat="1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27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26" xfId="0" applyFont="1" applyFill="1" applyBorder="1" applyAlignment="1">
      <alignment horizontal="center" vertical="center"/>
    </xf>
    <xf numFmtId="0" fontId="20" fillId="35" borderId="26" xfId="0" applyFont="1" applyFill="1" applyBorder="1" applyAlignment="1">
      <alignment horizontal="center" vertical="center"/>
    </xf>
    <xf numFmtId="0" fontId="23" fillId="35" borderId="29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28" xfId="0" applyFont="1" applyFill="1" applyBorder="1" applyAlignment="1">
      <alignment horizontal="center" vertical="center"/>
    </xf>
    <xf numFmtId="0" fontId="23" fillId="35" borderId="53" xfId="0" applyFont="1" applyFill="1" applyBorder="1" applyAlignment="1">
      <alignment horizontal="center" vertical="center"/>
    </xf>
    <xf numFmtId="0" fontId="23" fillId="35" borderId="54" xfId="0" applyFont="1" applyFill="1" applyBorder="1" applyAlignment="1">
      <alignment horizontal="center" vertical="center"/>
    </xf>
    <xf numFmtId="0" fontId="23" fillId="35" borderId="52" xfId="0" applyFont="1" applyFill="1" applyBorder="1" applyAlignment="1">
      <alignment horizontal="center" vertical="center"/>
    </xf>
    <xf numFmtId="0" fontId="23" fillId="35" borderId="27" xfId="0" applyFont="1" applyFill="1" applyBorder="1" applyAlignment="1">
      <alignment horizontal="center" vertical="center"/>
    </xf>
    <xf numFmtId="0" fontId="23" fillId="35" borderId="35" xfId="0" applyFont="1" applyFill="1" applyBorder="1" applyAlignment="1">
      <alignment horizontal="center" vertical="center"/>
    </xf>
    <xf numFmtId="0" fontId="23" fillId="35" borderId="55" xfId="0" applyFont="1" applyFill="1" applyBorder="1" applyAlignment="1">
      <alignment horizontal="center" vertical="center"/>
    </xf>
    <xf numFmtId="0" fontId="23" fillId="35" borderId="56" xfId="0" applyFont="1" applyFill="1" applyBorder="1" applyAlignment="1">
      <alignment horizontal="center" vertical="center"/>
    </xf>
    <xf numFmtId="0" fontId="23" fillId="35" borderId="43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30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/>
    </xf>
    <xf numFmtId="0" fontId="23" fillId="35" borderId="65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/>
    </xf>
    <xf numFmtId="0" fontId="20" fillId="36" borderId="27" xfId="0" applyFont="1" applyFill="1" applyBorder="1" applyAlignment="1">
      <alignment horizontal="center" vertical="center"/>
    </xf>
    <xf numFmtId="0" fontId="20" fillId="36" borderId="66" xfId="0" applyFont="1" applyFill="1" applyBorder="1" applyAlignment="1">
      <alignment horizontal="center" vertical="center"/>
    </xf>
    <xf numFmtId="0" fontId="20" fillId="36" borderId="67" xfId="0" applyFont="1" applyFill="1" applyBorder="1" applyAlignment="1">
      <alignment horizontal="center" vertical="center"/>
    </xf>
    <xf numFmtId="0" fontId="20" fillId="36" borderId="36" xfId="0" applyFont="1" applyFill="1" applyBorder="1" applyAlignment="1">
      <alignment horizontal="center" vertical="center"/>
    </xf>
    <xf numFmtId="0" fontId="20" fillId="36" borderId="37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5" borderId="101" xfId="0" applyFont="1" applyFill="1" applyBorder="1" applyAlignment="1">
      <alignment horizontal="center" vertical="center"/>
    </xf>
    <xf numFmtId="0" fontId="20" fillId="35" borderId="102" xfId="0" applyFont="1" applyFill="1" applyBorder="1" applyAlignment="1">
      <alignment horizontal="center" vertical="center"/>
    </xf>
    <xf numFmtId="0" fontId="20" fillId="35" borderId="103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0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0" fontId="20" fillId="35" borderId="25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21" xfId="0" applyNumberFormat="1" applyFont="1" applyFill="1" applyBorder="1" applyAlignment="1">
      <alignment horizontal="center" vertical="center" wrapText="1"/>
    </xf>
    <xf numFmtId="0" fontId="20" fillId="0" borderId="17" xfId="0" applyNumberFormat="1" applyFont="1" applyFill="1" applyBorder="1" applyAlignment="1">
      <alignment horizontal="center" vertical="center" wrapText="1"/>
    </xf>
    <xf numFmtId="49" fontId="20" fillId="0" borderId="17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NumberFormat="1" applyFont="1" applyFill="1" applyBorder="1" applyAlignment="1">
      <alignment horizontal="center" vertical="center"/>
    </xf>
    <xf numFmtId="0" fontId="20" fillId="0" borderId="22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0" borderId="122" xfId="0" applyNumberFormat="1" applyFont="1" applyFill="1" applyBorder="1" applyAlignment="1">
      <alignment horizontal="center" vertical="center" wrapText="1"/>
    </xf>
    <xf numFmtId="0" fontId="20" fillId="0" borderId="123" xfId="0" applyFont="1" applyFill="1" applyBorder="1" applyAlignment="1">
      <alignment horizontal="center" vertical="center"/>
    </xf>
    <xf numFmtId="0" fontId="20" fillId="0" borderId="123" xfId="0" applyNumberFormat="1" applyFont="1" applyFill="1" applyBorder="1" applyAlignment="1">
      <alignment horizontal="center" vertical="center"/>
    </xf>
    <xf numFmtId="0" fontId="20" fillId="0" borderId="123" xfId="0" applyNumberFormat="1" applyFont="1" applyFill="1" applyBorder="1" applyAlignment="1">
      <alignment horizontal="center" vertical="center" wrapText="1"/>
    </xf>
    <xf numFmtId="0" fontId="20" fillId="0" borderId="124" xfId="0" applyFont="1" applyFill="1" applyBorder="1" applyAlignment="1">
      <alignment horizontal="center" vertical="center"/>
    </xf>
    <xf numFmtId="0" fontId="20" fillId="0" borderId="121" xfId="0" applyFont="1" applyFill="1" applyBorder="1" applyAlignment="1">
      <alignment horizontal="center" vertical="center"/>
    </xf>
    <xf numFmtId="0" fontId="20" fillId="0" borderId="121" xfId="0" applyNumberFormat="1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0" borderId="126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25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25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0" fillId="0" borderId="17" xfId="0" applyNumberFormat="1" applyFont="1" applyFill="1" applyBorder="1" applyAlignment="1">
      <alignment horizontal="center" vertical="center"/>
    </xf>
    <xf numFmtId="0" fontId="20" fillId="36" borderId="68" xfId="0" applyFont="1" applyFill="1" applyBorder="1" applyAlignment="1">
      <alignment horizontal="center" vertical="center"/>
    </xf>
    <xf numFmtId="0" fontId="20" fillId="36" borderId="55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3" fillId="35" borderId="57" xfId="0" applyFont="1" applyFill="1" applyBorder="1" applyAlignment="1">
      <alignment horizontal="left" vertical="center" wrapText="1"/>
    </xf>
    <xf numFmtId="0" fontId="23" fillId="35" borderId="58" xfId="0" applyFont="1" applyFill="1" applyBorder="1" applyAlignment="1">
      <alignment horizontal="left" vertical="center" wrapText="1"/>
    </xf>
    <xf numFmtId="0" fontId="23" fillId="35" borderId="2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0" fillId="35" borderId="31" xfId="0" applyFont="1" applyFill="1" applyBorder="1" applyAlignment="1">
      <alignment horizontal="center" vertical="center"/>
    </xf>
    <xf numFmtId="0" fontId="20" fillId="35" borderId="59" xfId="0" applyFont="1" applyFill="1" applyBorder="1" applyAlignment="1">
      <alignment horizontal="center" vertical="center"/>
    </xf>
    <xf numFmtId="0" fontId="20" fillId="35" borderId="61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68" xfId="0" applyFont="1" applyFill="1" applyBorder="1" applyAlignment="1">
      <alignment horizontal="center" vertical="center"/>
    </xf>
    <xf numFmtId="0" fontId="20" fillId="35" borderId="74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left" vertical="center" wrapText="1"/>
    </xf>
    <xf numFmtId="0" fontId="23" fillId="35" borderId="48" xfId="0" applyFont="1" applyFill="1" applyBorder="1" applyAlignment="1">
      <alignment horizontal="left" vertical="center" wrapText="1"/>
    </xf>
    <xf numFmtId="0" fontId="20" fillId="35" borderId="55" xfId="0" applyFont="1" applyFill="1" applyBorder="1" applyAlignment="1">
      <alignment horizontal="center" vertical="center"/>
    </xf>
    <xf numFmtId="0" fontId="23" fillId="33" borderId="50" xfId="0" applyFont="1" applyFill="1" applyBorder="1" applyAlignment="1">
      <alignment horizontal="center" vertical="center" wrapText="1"/>
    </xf>
    <xf numFmtId="0" fontId="23" fillId="33" borderId="51" xfId="0" applyFont="1" applyFill="1" applyBorder="1" applyAlignment="1">
      <alignment horizontal="center" vertical="center" wrapText="1"/>
    </xf>
    <xf numFmtId="0" fontId="23" fillId="33" borderId="49" xfId="0" applyFont="1" applyFill="1" applyBorder="1" applyAlignment="1">
      <alignment horizontal="center" vertical="center"/>
    </xf>
    <xf numFmtId="0" fontId="23" fillId="33" borderId="31" xfId="0" applyFont="1" applyFill="1" applyBorder="1" applyAlignment="1">
      <alignment horizontal="center" vertical="center"/>
    </xf>
    <xf numFmtId="0" fontId="23" fillId="33" borderId="5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35" borderId="69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49" fontId="20" fillId="0" borderId="14" xfId="0" applyNumberFormat="1" applyFont="1" applyBorder="1" applyAlignment="1">
      <alignment horizontal="center" vertical="center" wrapText="1"/>
    </xf>
    <xf numFmtId="49" fontId="20" fillId="0" borderId="15" xfId="0" applyNumberFormat="1" applyFont="1" applyBorder="1" applyAlignment="1">
      <alignment horizontal="center" vertical="center" wrapText="1"/>
    </xf>
    <xf numFmtId="49" fontId="20" fillId="0" borderId="16" xfId="0" applyNumberFormat="1" applyFont="1" applyBorder="1" applyAlignment="1">
      <alignment horizontal="center" vertical="center" wrapText="1"/>
    </xf>
    <xf numFmtId="49" fontId="20" fillId="0" borderId="125" xfId="0" applyNumberFormat="1" applyFont="1" applyBorder="1" applyAlignment="1">
      <alignment horizontal="center" vertical="center" wrapText="1"/>
    </xf>
    <xf numFmtId="0" fontId="20" fillId="0" borderId="127" xfId="0" applyFont="1" applyBorder="1" applyAlignment="1">
      <alignment horizontal="center" vertical="center"/>
    </xf>
    <xf numFmtId="0" fontId="20" fillId="0" borderId="128" xfId="0" applyFont="1" applyBorder="1" applyAlignment="1">
      <alignment horizontal="center" vertical="center"/>
    </xf>
    <xf numFmtId="0" fontId="0" fillId="0" borderId="128" xfId="0" applyBorder="1" applyAlignment="1">
      <alignment horizontal="center" vertical="center"/>
    </xf>
    <xf numFmtId="0" fontId="0" fillId="0" borderId="129" xfId="0" applyBorder="1" applyAlignment="1">
      <alignment horizontal="center" vertical="center"/>
    </xf>
    <xf numFmtId="0" fontId="20" fillId="0" borderId="132" xfId="0" applyFont="1" applyBorder="1" applyAlignment="1">
      <alignment horizontal="center" vertical="center"/>
    </xf>
    <xf numFmtId="0" fontId="20" fillId="0" borderId="133" xfId="0" applyFont="1" applyBorder="1" applyAlignment="1">
      <alignment horizontal="center" vertical="center"/>
    </xf>
    <xf numFmtId="0" fontId="0" fillId="0" borderId="133" xfId="0" applyBorder="1" applyAlignment="1">
      <alignment horizontal="center" vertical="center"/>
    </xf>
    <xf numFmtId="0" fontId="0" fillId="0" borderId="134" xfId="0" applyBorder="1" applyAlignment="1">
      <alignment horizontal="center" vertical="center"/>
    </xf>
    <xf numFmtId="0" fontId="20" fillId="0" borderId="135" xfId="0" applyFont="1" applyBorder="1" applyAlignment="1">
      <alignment horizontal="center" vertical="center"/>
    </xf>
    <xf numFmtId="0" fontId="20" fillId="0" borderId="136" xfId="0" applyFont="1" applyBorder="1" applyAlignment="1">
      <alignment horizontal="center" vertical="center"/>
    </xf>
    <xf numFmtId="0" fontId="0" fillId="0" borderId="136" xfId="0" applyBorder="1" applyAlignment="1">
      <alignment horizontal="center" vertical="center"/>
    </xf>
    <xf numFmtId="0" fontId="0" fillId="0" borderId="137" xfId="0" applyBorder="1" applyAlignment="1">
      <alignment horizontal="center" vertical="center"/>
    </xf>
    <xf numFmtId="49" fontId="20" fillId="0" borderId="20" xfId="0" applyNumberFormat="1" applyFont="1" applyBorder="1" applyAlignment="1">
      <alignment horizontal="center" vertical="center" wrapText="1"/>
    </xf>
    <xf numFmtId="49" fontId="20" fillId="0" borderId="130" xfId="0" applyNumberFormat="1" applyFont="1" applyBorder="1" applyAlignment="1">
      <alignment horizontal="center" vertical="center" wrapText="1"/>
    </xf>
    <xf numFmtId="49" fontId="20" fillId="0" borderId="131" xfId="0" applyNumberFormat="1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25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5"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EA1EE-D98B-4756-9AC3-4B7D94552924}">
  <dimension ref="A1:BR60"/>
  <sheetViews>
    <sheetView tabSelected="1" zoomScaleNormal="100" workbookViewId="0">
      <pane xSplit="5" ySplit="1" topLeftCell="G8" activePane="bottomRight" state="frozen"/>
      <selection pane="topRight" activeCell="F1" sqref="F1"/>
      <selection pane="bottomLeft" activeCell="A2" sqref="A2"/>
      <selection pane="bottomRight" activeCell="O8" sqref="O8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6" width="8.625" style="6" hidden="1" customWidth="1"/>
    <col min="7" max="7" width="8.625" style="6" customWidth="1"/>
    <col min="8" max="8" width="8.625" style="6" hidden="1" customWidth="1"/>
    <col min="9" max="10" width="8.625" style="6" customWidth="1"/>
    <col min="11" max="11" width="8.625" style="6" hidden="1" customWidth="1"/>
    <col min="12" max="16" width="8.625" style="6" customWidth="1"/>
    <col min="17" max="17" width="9" style="6" hidden="1" customWidth="1"/>
    <col min="18" max="18" width="9" style="5" customWidth="1"/>
    <col min="19" max="19" width="8.625" style="6" customWidth="1"/>
    <col min="20" max="20" width="8.625" style="14" customWidth="1"/>
    <col min="21" max="22" width="8.625" style="6" hidden="1" customWidth="1"/>
    <col min="23" max="25" width="9" style="6" customWidth="1"/>
    <col min="26" max="26" width="3.75" style="6" hidden="1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27" t="s">
        <v>72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28" t="s">
        <v>68</v>
      </c>
      <c r="Q1" s="7" t="s">
        <v>69</v>
      </c>
      <c r="R1" s="7" t="s">
        <v>70</v>
      </c>
      <c r="S1" s="7" t="s">
        <v>121</v>
      </c>
      <c r="T1" s="129" t="s">
        <v>5</v>
      </c>
      <c r="U1" s="130" t="s">
        <v>73</v>
      </c>
      <c r="V1" s="130" t="s">
        <v>86</v>
      </c>
      <c r="W1" s="7" t="s">
        <v>96</v>
      </c>
    </row>
    <row r="2" spans="1:70" ht="20.100000000000001" customHeight="1" thickTop="1" thickBot="1" x14ac:dyDescent="0.35">
      <c r="A2" s="131">
        <v>36</v>
      </c>
      <c r="B2" s="134">
        <v>2</v>
      </c>
      <c r="C2" s="177">
        <v>201710339</v>
      </c>
      <c r="D2" s="132" t="str">
        <f t="shared" ref="D2:D33" si="0">VLOOKUP(VALUE(T2),$AA$4:$AB$8,2,FALSE)&amp;"학과"</f>
        <v>전자학과</v>
      </c>
      <c r="E2" s="134" t="s">
        <v>46</v>
      </c>
      <c r="F2" s="134">
        <v>16</v>
      </c>
      <c r="G2" s="134">
        <f t="shared" ref="G2:G33" si="1">ROUND((F2*100)/200,2)</f>
        <v>8</v>
      </c>
      <c r="H2" s="134">
        <v>20</v>
      </c>
      <c r="I2" s="134">
        <f t="shared" ref="I2:I33" si="2">ROUND((H2*100)/110,2)</f>
        <v>18.18</v>
      </c>
      <c r="J2" s="134">
        <v>88.89</v>
      </c>
      <c r="K2" s="134">
        <v>20</v>
      </c>
      <c r="L2" s="134">
        <f t="shared" ref="L2:L33" si="3">ROUND((K2*100)/110,2)</f>
        <v>18.18</v>
      </c>
      <c r="M2" s="134">
        <v>21</v>
      </c>
      <c r="N2" s="135">
        <v>100</v>
      </c>
      <c r="O2" s="8">
        <f t="shared" ref="O2:O33" si="4">ROUND(G2*0.3+I2*0.35+J2*0.1+L2*0.1+M2*0.1+N2*0.05,2)</f>
        <v>26.57</v>
      </c>
      <c r="P2" s="136">
        <f t="shared" ref="P2:P33" si="5">_xlfn.RANK.EQ(O2,$O$2:$O$54,0)</f>
        <v>53</v>
      </c>
      <c r="Q2" s="8">
        <f t="shared" ref="Q2:Q33" si="6">_xlfn.RANK.AVG(O2,$O$2:$O$54,0)</f>
        <v>53</v>
      </c>
      <c r="R2" s="8"/>
      <c r="S2" s="8" t="str">
        <f t="shared" ref="S2:S33" si="7">LEFT(C2,4)</f>
        <v>2017</v>
      </c>
      <c r="T2" s="137" t="str">
        <f t="shared" ref="T2:T33" si="8">MID(C2,5,3)</f>
        <v>103</v>
      </c>
      <c r="U2" s="8" t="b">
        <f t="shared" ref="U2:U33" si="9">OR(R2="", S2&lt;="2015")</f>
        <v>1</v>
      </c>
      <c r="V2" s="8" t="str">
        <f t="shared" ref="V2:V33" si="10">IF(P2&lt;=$AB$11*0.3, "A", IF(P2&lt;=$AB$11*0.6, "B", IF(P2&lt;=$AB$11*0.8, "C", IF(P2&lt;=$AB$11*0.9, "D","F"))))</f>
        <v>F</v>
      </c>
      <c r="W2" s="8" t="str">
        <f t="shared" ref="W2:W33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213" t="s">
        <v>80</v>
      </c>
      <c r="AB2" s="213"/>
      <c r="AC2" s="12"/>
      <c r="AD2" s="5"/>
      <c r="AE2" s="20" t="s">
        <v>87</v>
      </c>
      <c r="AF2" s="21" t="s">
        <v>88</v>
      </c>
      <c r="AG2" s="29" t="s">
        <v>89</v>
      </c>
      <c r="AH2" s="22" t="s">
        <v>95</v>
      </c>
      <c r="AI2" s="5"/>
      <c r="AM2" s="64"/>
      <c r="AN2" s="65"/>
      <c r="AO2" s="66"/>
      <c r="AP2" s="67" t="s">
        <v>97</v>
      </c>
      <c r="AQ2" s="65" t="s">
        <v>98</v>
      </c>
      <c r="AR2" s="65" t="s">
        <v>99</v>
      </c>
      <c r="AS2" s="65" t="s">
        <v>100</v>
      </c>
      <c r="AT2" s="65" t="s">
        <v>101</v>
      </c>
      <c r="AU2" s="65" t="s">
        <v>102</v>
      </c>
      <c r="AV2" s="65" t="s">
        <v>103</v>
      </c>
      <c r="AW2" s="65" t="s">
        <v>104</v>
      </c>
      <c r="AX2" s="66" t="s">
        <v>94</v>
      </c>
      <c r="AZ2" s="92"/>
      <c r="BA2" s="93" t="s">
        <v>106</v>
      </c>
      <c r="BB2" s="94" t="s">
        <v>109</v>
      </c>
      <c r="BD2" s="108"/>
      <c r="BE2" s="107"/>
      <c r="BF2" s="93" t="s">
        <v>106</v>
      </c>
      <c r="BG2" s="94" t="s">
        <v>109</v>
      </c>
      <c r="BI2" s="110"/>
      <c r="BJ2" s="111"/>
      <c r="BK2" s="214">
        <v>2018</v>
      </c>
      <c r="BL2" s="215"/>
      <c r="BM2" s="216">
        <v>2017</v>
      </c>
      <c r="BN2" s="216"/>
      <c r="BO2" s="214">
        <v>2016</v>
      </c>
      <c r="BP2" s="215"/>
      <c r="BQ2" s="216">
        <v>2015</v>
      </c>
      <c r="BR2" s="215"/>
    </row>
    <row r="3" spans="1:70" ht="20.100000000000001" customHeight="1" thickTop="1" thickBot="1" x14ac:dyDescent="0.35">
      <c r="A3" s="138">
        <v>14</v>
      </c>
      <c r="B3" s="139">
        <v>1</v>
      </c>
      <c r="C3" s="139">
        <v>201710504</v>
      </c>
      <c r="D3" s="132" t="str">
        <f t="shared" si="0"/>
        <v>통신학과</v>
      </c>
      <c r="E3" s="140" t="s">
        <v>24</v>
      </c>
      <c r="F3" s="141">
        <v>71</v>
      </c>
      <c r="G3" s="134">
        <f t="shared" si="1"/>
        <v>35.5</v>
      </c>
      <c r="H3" s="141">
        <v>0</v>
      </c>
      <c r="I3" s="134">
        <f t="shared" si="2"/>
        <v>0</v>
      </c>
      <c r="J3" s="141">
        <v>93.33</v>
      </c>
      <c r="K3" s="141">
        <v>26</v>
      </c>
      <c r="L3" s="134">
        <f t="shared" si="3"/>
        <v>23.64</v>
      </c>
      <c r="M3" s="141">
        <v>29</v>
      </c>
      <c r="N3" s="142">
        <v>60</v>
      </c>
      <c r="O3" s="8">
        <f t="shared" si="4"/>
        <v>28.25</v>
      </c>
      <c r="P3" s="136">
        <f t="shared" si="5"/>
        <v>52</v>
      </c>
      <c r="Q3" s="8">
        <f t="shared" si="6"/>
        <v>52</v>
      </c>
      <c r="R3" s="9"/>
      <c r="S3" s="8" t="str">
        <f t="shared" si="7"/>
        <v>2017</v>
      </c>
      <c r="T3" s="137" t="str">
        <f t="shared" si="8"/>
        <v>105</v>
      </c>
      <c r="U3" s="8" t="b">
        <f t="shared" si="9"/>
        <v>1</v>
      </c>
      <c r="V3" s="8" t="str">
        <f t="shared" si="10"/>
        <v>F</v>
      </c>
      <c r="W3" s="8" t="str">
        <f t="shared" si="11"/>
        <v>F</v>
      </c>
      <c r="AA3" s="15" t="s">
        <v>5</v>
      </c>
      <c r="AB3" s="15" t="s">
        <v>74</v>
      </c>
      <c r="AE3" s="23" t="s">
        <v>90</v>
      </c>
      <c r="AF3" s="24">
        <f>SUMIF($V$2:$V$54, "="&amp;AE3, $O$2:$O$54)</f>
        <v>1178.3400000000001</v>
      </c>
      <c r="AG3" s="30">
        <f>ROUND(AVERAGEIF($V$2:$V$54, "="&amp;AE3, $O$2:$O$54),2)</f>
        <v>78.56</v>
      </c>
      <c r="AH3" s="32">
        <f>COUNTIF($V$2:$V$54, "="&amp;AE3)</f>
        <v>15</v>
      </c>
      <c r="AM3" s="210">
        <v>101</v>
      </c>
      <c r="AN3" s="211">
        <v>1</v>
      </c>
      <c r="AO3" s="63" t="s">
        <v>95</v>
      </c>
      <c r="AP3" s="84">
        <f>COUNTIFS($B$2:$B$54,"="&amp;$AN3,$T$2:$T$54,"="&amp;$AM$3,$W$2:$W$54,"="&amp;AP$2)</f>
        <v>0</v>
      </c>
      <c r="AQ3" s="69">
        <f t="shared" ref="AQ3:AX3" si="12">COUNTIFS($B$2:$B$54,"="&amp;$AN3,$T$2:$T$54,"="&amp;$AM$3,$W$2:$W$54,"="&amp;AQ$2)</f>
        <v>0</v>
      </c>
      <c r="AR3" s="69">
        <f t="shared" si="12"/>
        <v>0</v>
      </c>
      <c r="AS3" s="69">
        <f t="shared" si="12"/>
        <v>0</v>
      </c>
      <c r="AT3" s="69">
        <f t="shared" si="12"/>
        <v>0</v>
      </c>
      <c r="AU3" s="69">
        <f t="shared" si="12"/>
        <v>0</v>
      </c>
      <c r="AV3" s="69">
        <f t="shared" si="12"/>
        <v>0</v>
      </c>
      <c r="AW3" s="69">
        <f t="shared" si="12"/>
        <v>0</v>
      </c>
      <c r="AX3" s="68">
        <f t="shared" si="12"/>
        <v>0</v>
      </c>
      <c r="AZ3" s="95" t="s">
        <v>97</v>
      </c>
      <c r="BA3" s="114">
        <f>_xlfn.MAXIFS($O$2:$O$54,$W$2:$W$54,"="&amp;$AZ3)</f>
        <v>89.82</v>
      </c>
      <c r="BB3" s="155">
        <f>_xlfn.MINIFS($O$2:$O$54,$W$2:$W$54,"="&amp;$AZ3)</f>
        <v>81.27</v>
      </c>
      <c r="BD3" s="212">
        <v>101</v>
      </c>
      <c r="BE3" s="97">
        <v>1</v>
      </c>
      <c r="BF3" s="114">
        <f>_xlfn.MAXIFS($O$2:$O$54,$T$2:$T$54,"="&amp;$BD$3,$B$2:$B$54,"="&amp;$BE3)</f>
        <v>0</v>
      </c>
      <c r="BG3" s="155">
        <f>_xlfn.MINIFS($O$2:$O$54,$T$2:$T$54,"="&amp;$BD$3,$B$2:$B$54,"="&amp;$BE3)</f>
        <v>0</v>
      </c>
      <c r="BI3" s="112"/>
      <c r="BJ3" s="113"/>
      <c r="BK3" s="102" t="s">
        <v>106</v>
      </c>
      <c r="BL3" s="39" t="s">
        <v>109</v>
      </c>
      <c r="BM3" s="101" t="s">
        <v>106</v>
      </c>
      <c r="BN3" s="109" t="s">
        <v>109</v>
      </c>
      <c r="BO3" s="102" t="s">
        <v>106</v>
      </c>
      <c r="BP3" s="39" t="s">
        <v>109</v>
      </c>
      <c r="BQ3" s="101" t="s">
        <v>106</v>
      </c>
      <c r="BR3" s="39" t="s">
        <v>109</v>
      </c>
    </row>
    <row r="4" spans="1:70" ht="20.100000000000001" customHeight="1" thickTop="1" x14ac:dyDescent="0.3">
      <c r="A4" s="138">
        <v>13</v>
      </c>
      <c r="B4" s="139">
        <v>2</v>
      </c>
      <c r="C4" s="139">
        <v>201810402</v>
      </c>
      <c r="D4" s="132" t="str">
        <f t="shared" si="0"/>
        <v>게임학과</v>
      </c>
      <c r="E4" s="140" t="s">
        <v>23</v>
      </c>
      <c r="F4" s="141">
        <v>65</v>
      </c>
      <c r="G4" s="134">
        <f t="shared" si="1"/>
        <v>32.5</v>
      </c>
      <c r="H4" s="141">
        <v>18</v>
      </c>
      <c r="I4" s="134">
        <f t="shared" si="2"/>
        <v>16.36</v>
      </c>
      <c r="J4" s="141">
        <v>87.78</v>
      </c>
      <c r="K4" s="141">
        <v>15</v>
      </c>
      <c r="L4" s="134">
        <f t="shared" si="3"/>
        <v>13.64</v>
      </c>
      <c r="M4" s="141">
        <v>14</v>
      </c>
      <c r="N4" s="142">
        <v>60</v>
      </c>
      <c r="O4" s="8">
        <f t="shared" si="4"/>
        <v>30.02</v>
      </c>
      <c r="P4" s="136">
        <f t="shared" si="5"/>
        <v>51</v>
      </c>
      <c r="Q4" s="8">
        <f t="shared" si="6"/>
        <v>51</v>
      </c>
      <c r="R4" s="9"/>
      <c r="S4" s="8" t="str">
        <f t="shared" si="7"/>
        <v>2018</v>
      </c>
      <c r="T4" s="137" t="str">
        <f t="shared" si="8"/>
        <v>104</v>
      </c>
      <c r="U4" s="8" t="b">
        <f t="shared" si="9"/>
        <v>1</v>
      </c>
      <c r="V4" s="8" t="str">
        <f t="shared" si="10"/>
        <v>F</v>
      </c>
      <c r="W4" s="8" t="str">
        <f t="shared" si="11"/>
        <v>F</v>
      </c>
      <c r="AA4" s="16">
        <v>101</v>
      </c>
      <c r="AB4" s="15" t="s">
        <v>75</v>
      </c>
      <c r="AE4" s="26" t="s">
        <v>91</v>
      </c>
      <c r="AF4" s="24">
        <f t="shared" ref="AF4:AF7" si="13">SUMIF($V$2:$V$54, "="&amp;AE4, $O$2:$O$54)</f>
        <v>1092.4499999999998</v>
      </c>
      <c r="AG4" s="30">
        <f t="shared" ref="AG4:AG7" si="14">ROUND(AVERAGEIF($V$2:$V$54, "="&amp;AE4, $O$2:$O$54),2)</f>
        <v>68.28</v>
      </c>
      <c r="AH4" s="25">
        <f t="shared" ref="AH4:AH7" si="15">COUNTIF($V$2:$V$54, "="&amp;AE4)</f>
        <v>16</v>
      </c>
      <c r="AM4" s="178"/>
      <c r="AN4" s="180"/>
      <c r="AO4" s="78" t="s">
        <v>88</v>
      </c>
      <c r="AP4" s="85">
        <f>SUMIFS($O$2:$O$54,$B$2:$B$54,"="&amp;$AN3,$T$2:$T$54,"="&amp;$AM$3,$W$2:$W$54,"="&amp;AP$2)</f>
        <v>0</v>
      </c>
      <c r="AQ4" s="71">
        <f t="shared" ref="AQ4:AX4" si="16">SUMIFS($O$2:$O$54,$B$2:$B$54,"="&amp;$AN3,$T$2:$T$54,"="&amp;$AM$3,$W$2:$W$54,"="&amp;AQ$2)</f>
        <v>0</v>
      </c>
      <c r="AR4" s="71">
        <f t="shared" si="16"/>
        <v>0</v>
      </c>
      <c r="AS4" s="71">
        <f t="shared" si="16"/>
        <v>0</v>
      </c>
      <c r="AT4" s="71">
        <f t="shared" si="16"/>
        <v>0</v>
      </c>
      <c r="AU4" s="71">
        <f t="shared" si="16"/>
        <v>0</v>
      </c>
      <c r="AV4" s="71">
        <f t="shared" si="16"/>
        <v>0</v>
      </c>
      <c r="AW4" s="71">
        <f t="shared" si="16"/>
        <v>0</v>
      </c>
      <c r="AX4" s="70">
        <f t="shared" si="16"/>
        <v>0</v>
      </c>
      <c r="AZ4" s="98" t="s">
        <v>98</v>
      </c>
      <c r="BA4" s="115">
        <f t="shared" ref="BA4:BA11" si="17">_xlfn.MAXIFS($O$2:$O$54,$W$2:$W$54,"="&amp;$AZ4)</f>
        <v>78.84</v>
      </c>
      <c r="BB4" s="97">
        <f t="shared" ref="BB4:BB11" si="18">_xlfn.MINIFS($O$2:$O$54,$W$2:$W$54,"="&amp;$AZ4)</f>
        <v>72.69</v>
      </c>
      <c r="BD4" s="199"/>
      <c r="BE4" s="99">
        <v>2</v>
      </c>
      <c r="BF4" s="119">
        <f t="shared" ref="BF4:BF6" si="19">_xlfn.MAXIFS($O$2:$O$54,$T$2:$T$54,"="&amp;$BD$3,$B$2:$B$54,"="&amp;$BE4)</f>
        <v>89.82</v>
      </c>
      <c r="BG4" s="99">
        <f t="shared" ref="BG4:BG6" si="20">_xlfn.MINIFS($O$2:$O$54,$T$2:$T$54,"="&amp;$BD$3,$B$2:$B$54,"="&amp;$BE4)</f>
        <v>30.39</v>
      </c>
      <c r="BI4" s="199">
        <v>101</v>
      </c>
      <c r="BJ4" s="97">
        <v>1</v>
      </c>
      <c r="BK4" s="96">
        <f>_xlfn.MAXIFS($O$2:$O$54,$T$2:$T$54,"="&amp;$BI$4,$B$2:$B$54,"="&amp;$BJ4,$S$2:$S$54,"="&amp;BK$2)</f>
        <v>0</v>
      </c>
      <c r="BL4" s="97">
        <f>_xlfn.MINIFS($O$2:$O$54,$T$2:$T$54,"="&amp;$BI$4,$B$2:$B$54,"="&amp;$BJ4,$S$2:$S$54,"="&amp;BK$2)</f>
        <v>0</v>
      </c>
      <c r="BM4" s="96">
        <f t="shared" ref="BM4:BM7" si="21">_xlfn.MAXIFS($O$2:$O$54,$T$2:$T$54,"="&amp;$BI$4,$B$2:$B$54,"="&amp;$BJ4,$S$2:$S$54,"="&amp;BM$2)</f>
        <v>0</v>
      </c>
      <c r="BN4" s="97">
        <f t="shared" ref="BN4:BN7" si="22">_xlfn.MINIFS($O$2:$O$54,$T$2:$T$54,"="&amp;$BI$4,$B$2:$B$54,"="&amp;$BJ4,$S$2:$S$54,"="&amp;BM$2)</f>
        <v>0</v>
      </c>
      <c r="BO4" s="96">
        <f t="shared" ref="BO4:BO7" si="23">_xlfn.MAXIFS($O$2:$O$54,$T$2:$T$54,"="&amp;$BI$4,$B$2:$B$54,"="&amp;$BJ4,$S$2:$S$54,"="&amp;BO$2)</f>
        <v>0</v>
      </c>
      <c r="BP4" s="97">
        <f t="shared" ref="BP4:BP7" si="24">_xlfn.MINIFS($O$2:$O$54,$T$2:$T$54,"="&amp;$BI$4,$B$2:$B$54,"="&amp;$BJ4,$S$2:$S$54,"="&amp;BO$2)</f>
        <v>0</v>
      </c>
      <c r="BQ4" s="96">
        <f t="shared" ref="BQ4:BQ7" si="25">_xlfn.MAXIFS($O$2:$O$54,$T$2:$T$54,"="&amp;$BI$4,$B$2:$B$54,"="&amp;$BJ4,$S$2:$S$54,"="&amp;BQ$2)</f>
        <v>0</v>
      </c>
      <c r="BR4" s="9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38">
        <v>1</v>
      </c>
      <c r="B5" s="139">
        <v>2</v>
      </c>
      <c r="C5" s="139">
        <v>201810187</v>
      </c>
      <c r="D5" s="132" t="str">
        <f t="shared" si="0"/>
        <v>컴퓨터학과</v>
      </c>
      <c r="E5" s="140" t="s">
        <v>11</v>
      </c>
      <c r="F5" s="141">
        <v>41</v>
      </c>
      <c r="G5" s="134">
        <f t="shared" si="1"/>
        <v>20.5</v>
      </c>
      <c r="H5" s="141">
        <v>22</v>
      </c>
      <c r="I5" s="134">
        <f t="shared" si="2"/>
        <v>20</v>
      </c>
      <c r="J5" s="141">
        <v>92.22</v>
      </c>
      <c r="K5" s="141">
        <v>9</v>
      </c>
      <c r="L5" s="134">
        <f t="shared" si="3"/>
        <v>8.18</v>
      </c>
      <c r="M5" s="141">
        <v>22</v>
      </c>
      <c r="N5" s="142">
        <v>100</v>
      </c>
      <c r="O5" s="8">
        <f t="shared" si="4"/>
        <v>30.39</v>
      </c>
      <c r="P5" s="136">
        <f t="shared" si="5"/>
        <v>50</v>
      </c>
      <c r="Q5" s="8">
        <f t="shared" si="6"/>
        <v>50</v>
      </c>
      <c r="R5" s="9"/>
      <c r="S5" s="8" t="str">
        <f t="shared" si="7"/>
        <v>2018</v>
      </c>
      <c r="T5" s="137" t="str">
        <f t="shared" si="8"/>
        <v>101</v>
      </c>
      <c r="U5" s="8" t="b">
        <f t="shared" si="9"/>
        <v>1</v>
      </c>
      <c r="V5" s="8" t="str">
        <f t="shared" si="10"/>
        <v>F</v>
      </c>
      <c r="W5" s="8" t="str">
        <f t="shared" si="11"/>
        <v>F</v>
      </c>
      <c r="AA5" s="16">
        <v>102</v>
      </c>
      <c r="AB5" s="15" t="s">
        <v>76</v>
      </c>
      <c r="AE5" s="26" t="s">
        <v>92</v>
      </c>
      <c r="AF5" s="24">
        <f t="shared" si="13"/>
        <v>603.79000000000008</v>
      </c>
      <c r="AG5" s="30">
        <f t="shared" si="14"/>
        <v>54.89</v>
      </c>
      <c r="AH5" s="25">
        <f t="shared" si="15"/>
        <v>11</v>
      </c>
      <c r="AM5" s="178"/>
      <c r="AN5" s="181"/>
      <c r="AO5" s="72" t="s">
        <v>89</v>
      </c>
      <c r="AP5" s="87" t="str">
        <f>IFERROR(ROUND(AVERAGEIFS($O$2:$O$54,$B$2:$B$54,"="&amp;$AN3,$T$2:$T$54,"="&amp;$AM$3,$W$2:$W$54,"="&amp;AP$2),2),"-")</f>
        <v>-</v>
      </c>
      <c r="AQ5" s="75" t="str">
        <f t="shared" ref="AQ5:AX5" si="27">IFERROR(ROUND(AVERAGEIFS($O$2:$O$54,$B$2:$B$54,"="&amp;$AN3,$T$2:$T$54,"="&amp;$AM$3,$W$2:$W$54,"="&amp;AQ$2),2),"-")</f>
        <v>-</v>
      </c>
      <c r="AR5" s="75" t="str">
        <f t="shared" si="27"/>
        <v>-</v>
      </c>
      <c r="AS5" s="75" t="str">
        <f t="shared" si="27"/>
        <v>-</v>
      </c>
      <c r="AT5" s="75" t="str">
        <f t="shared" si="27"/>
        <v>-</v>
      </c>
      <c r="AU5" s="75" t="str">
        <f t="shared" si="27"/>
        <v>-</v>
      </c>
      <c r="AV5" s="75" t="str">
        <f t="shared" si="27"/>
        <v>-</v>
      </c>
      <c r="AW5" s="75" t="str">
        <f t="shared" si="27"/>
        <v>-</v>
      </c>
      <c r="AX5" s="74" t="str">
        <f t="shared" si="27"/>
        <v>-</v>
      </c>
      <c r="AZ5" s="98" t="s">
        <v>99</v>
      </c>
      <c r="BA5" s="115">
        <f t="shared" si="17"/>
        <v>82.26</v>
      </c>
      <c r="BB5" s="97">
        <f t="shared" si="18"/>
        <v>68.739999999999995</v>
      </c>
      <c r="BD5" s="199"/>
      <c r="BE5" s="99">
        <v>3</v>
      </c>
      <c r="BF5" s="119">
        <f t="shared" si="19"/>
        <v>78.84</v>
      </c>
      <c r="BG5" s="99">
        <f t="shared" si="20"/>
        <v>56.46</v>
      </c>
      <c r="BI5" s="199"/>
      <c r="BJ5" s="99">
        <v>2</v>
      </c>
      <c r="BK5" s="96">
        <f t="shared" ref="BK5:BK7" si="28">_xlfn.MAXIFS($O$2:$O$54,$T$2:$T$54,"="&amp;$BI$4,$B$2:$B$54,"="&amp;$BJ5,$S$2:$S$54,"="&amp;BK$2)</f>
        <v>77.989999999999995</v>
      </c>
      <c r="BL5" s="97">
        <f t="shared" ref="BL5:BL7" si="29">_xlfn.MINIFS($O$2:$O$54,$T$2:$T$54,"="&amp;$BI$4,$B$2:$B$54,"="&amp;$BJ5,$S$2:$S$54,"="&amp;BK$2)</f>
        <v>30.39</v>
      </c>
      <c r="BM5" s="96">
        <f t="shared" si="21"/>
        <v>89.82</v>
      </c>
      <c r="BN5" s="97">
        <f t="shared" si="22"/>
        <v>30.68</v>
      </c>
      <c r="BO5" s="96">
        <f t="shared" si="23"/>
        <v>77.72</v>
      </c>
      <c r="BP5" s="97">
        <f t="shared" si="24"/>
        <v>72.3</v>
      </c>
      <c r="BQ5" s="96">
        <f t="shared" si="25"/>
        <v>0</v>
      </c>
      <c r="BR5" s="97">
        <f t="shared" si="26"/>
        <v>0</v>
      </c>
    </row>
    <row r="6" spans="1:70" ht="20.100000000000001" customHeight="1" thickBot="1" x14ac:dyDescent="0.35">
      <c r="A6" s="138">
        <v>24</v>
      </c>
      <c r="B6" s="139">
        <v>2</v>
      </c>
      <c r="C6" s="139">
        <v>201710128</v>
      </c>
      <c r="D6" s="132" t="str">
        <f t="shared" si="0"/>
        <v>컴퓨터학과</v>
      </c>
      <c r="E6" s="140" t="s">
        <v>33</v>
      </c>
      <c r="F6" s="141">
        <v>130</v>
      </c>
      <c r="G6" s="134">
        <f t="shared" si="1"/>
        <v>65</v>
      </c>
      <c r="H6" s="141">
        <v>0</v>
      </c>
      <c r="I6" s="134">
        <f t="shared" si="2"/>
        <v>0</v>
      </c>
      <c r="J6" s="141">
        <v>60</v>
      </c>
      <c r="K6" s="141">
        <v>57</v>
      </c>
      <c r="L6" s="134">
        <f t="shared" si="3"/>
        <v>51.82</v>
      </c>
      <c r="M6" s="141">
        <v>0</v>
      </c>
      <c r="N6" s="142">
        <v>0</v>
      </c>
      <c r="O6" s="8">
        <f t="shared" si="4"/>
        <v>30.68</v>
      </c>
      <c r="P6" s="136">
        <f t="shared" si="5"/>
        <v>49</v>
      </c>
      <c r="Q6" s="8">
        <f t="shared" si="6"/>
        <v>49</v>
      </c>
      <c r="R6" s="9"/>
      <c r="S6" s="8" t="str">
        <f t="shared" si="7"/>
        <v>2017</v>
      </c>
      <c r="T6" s="137" t="str">
        <f t="shared" si="8"/>
        <v>101</v>
      </c>
      <c r="U6" s="8" t="b">
        <f t="shared" si="9"/>
        <v>1</v>
      </c>
      <c r="V6" s="8" t="str">
        <f t="shared" si="10"/>
        <v>F</v>
      </c>
      <c r="W6" s="8" t="str">
        <f t="shared" si="11"/>
        <v>F</v>
      </c>
      <c r="AA6" s="16">
        <v>103</v>
      </c>
      <c r="AB6" s="15" t="s">
        <v>77</v>
      </c>
      <c r="AE6" s="26" t="s">
        <v>93</v>
      </c>
      <c r="AF6" s="24">
        <f t="shared" si="13"/>
        <v>210.53</v>
      </c>
      <c r="AG6" s="30">
        <f t="shared" si="14"/>
        <v>42.11</v>
      </c>
      <c r="AH6" s="25">
        <f t="shared" si="15"/>
        <v>5</v>
      </c>
      <c r="AM6" s="178"/>
      <c r="AN6" s="182">
        <v>2</v>
      </c>
      <c r="AO6" s="78" t="s">
        <v>95</v>
      </c>
      <c r="AP6" s="88">
        <f t="shared" ref="AP6:AX12" si="30">COUNTIFS($B$2:$B$54,"="&amp;$AN6,$T$2:$T$54,"="&amp;$AM$3,$W$2:$W$54,"="&amp;AP$2)</f>
        <v>1</v>
      </c>
      <c r="AQ6" s="77">
        <f t="shared" si="30"/>
        <v>2</v>
      </c>
      <c r="AR6" s="77">
        <f t="shared" si="30"/>
        <v>1</v>
      </c>
      <c r="AS6" s="77">
        <f t="shared" si="30"/>
        <v>0</v>
      </c>
      <c r="AT6" s="77">
        <f t="shared" si="30"/>
        <v>1</v>
      </c>
      <c r="AU6" s="77">
        <f t="shared" si="30"/>
        <v>0</v>
      </c>
      <c r="AV6" s="77">
        <f t="shared" si="30"/>
        <v>0</v>
      </c>
      <c r="AW6" s="77">
        <f t="shared" si="30"/>
        <v>0</v>
      </c>
      <c r="AX6" s="76">
        <f t="shared" si="30"/>
        <v>3</v>
      </c>
      <c r="AZ6" s="98" t="s">
        <v>100</v>
      </c>
      <c r="BA6" s="115">
        <f t="shared" si="17"/>
        <v>68.150000000000006</v>
      </c>
      <c r="BB6" s="97">
        <f t="shared" si="18"/>
        <v>62.86</v>
      </c>
      <c r="BD6" s="199"/>
      <c r="BE6" s="103">
        <v>4</v>
      </c>
      <c r="BF6" s="120">
        <f t="shared" si="19"/>
        <v>77.959999999999994</v>
      </c>
      <c r="BG6" s="103">
        <f t="shared" si="20"/>
        <v>38.93</v>
      </c>
      <c r="BI6" s="199"/>
      <c r="BJ6" s="99">
        <v>3</v>
      </c>
      <c r="BK6" s="96">
        <f t="shared" si="28"/>
        <v>0</v>
      </c>
      <c r="BL6" s="97">
        <f t="shared" si="29"/>
        <v>0</v>
      </c>
      <c r="BM6" s="96">
        <f t="shared" si="21"/>
        <v>0</v>
      </c>
      <c r="BN6" s="97">
        <f t="shared" si="22"/>
        <v>0</v>
      </c>
      <c r="BO6" s="96">
        <f t="shared" si="23"/>
        <v>56.46</v>
      </c>
      <c r="BP6" s="97">
        <f t="shared" si="24"/>
        <v>56.46</v>
      </c>
      <c r="BQ6" s="96">
        <f t="shared" si="25"/>
        <v>78.84</v>
      </c>
      <c r="BR6" s="97">
        <f t="shared" si="26"/>
        <v>78.84</v>
      </c>
    </row>
    <row r="7" spans="1:70" ht="20.100000000000001" customHeight="1" thickTop="1" thickBot="1" x14ac:dyDescent="0.35">
      <c r="A7" s="138">
        <v>28</v>
      </c>
      <c r="B7" s="139">
        <v>2</v>
      </c>
      <c r="C7" s="139">
        <v>201810139</v>
      </c>
      <c r="D7" s="132" t="str">
        <f t="shared" si="0"/>
        <v>컴퓨터학과</v>
      </c>
      <c r="E7" s="140" t="s">
        <v>37</v>
      </c>
      <c r="F7" s="141">
        <v>86</v>
      </c>
      <c r="G7" s="134">
        <f t="shared" si="1"/>
        <v>43</v>
      </c>
      <c r="H7" s="141">
        <v>21</v>
      </c>
      <c r="I7" s="134">
        <f t="shared" si="2"/>
        <v>19.09</v>
      </c>
      <c r="J7" s="141">
        <v>78.89</v>
      </c>
      <c r="K7" s="141">
        <v>56</v>
      </c>
      <c r="L7" s="134">
        <f t="shared" si="3"/>
        <v>50.91</v>
      </c>
      <c r="M7" s="141">
        <v>13</v>
      </c>
      <c r="N7" s="142">
        <v>40</v>
      </c>
      <c r="O7" s="8">
        <f t="shared" si="4"/>
        <v>35.86</v>
      </c>
      <c r="P7" s="136">
        <f t="shared" si="5"/>
        <v>48</v>
      </c>
      <c r="Q7" s="8">
        <f t="shared" si="6"/>
        <v>48</v>
      </c>
      <c r="R7" s="9"/>
      <c r="S7" s="8" t="str">
        <f t="shared" si="7"/>
        <v>2018</v>
      </c>
      <c r="T7" s="137" t="str">
        <f t="shared" si="8"/>
        <v>101</v>
      </c>
      <c r="U7" s="8" t="b">
        <f t="shared" si="9"/>
        <v>1</v>
      </c>
      <c r="V7" s="8" t="str">
        <f t="shared" si="10"/>
        <v>F</v>
      </c>
      <c r="W7" s="8" t="str">
        <f t="shared" si="11"/>
        <v>F</v>
      </c>
      <c r="AA7" s="16">
        <v>104</v>
      </c>
      <c r="AB7" s="15" t="s">
        <v>78</v>
      </c>
      <c r="AE7" s="27" t="s">
        <v>94</v>
      </c>
      <c r="AF7" s="28">
        <f t="shared" si="13"/>
        <v>181.76999999999998</v>
      </c>
      <c r="AG7" s="31">
        <f t="shared" si="14"/>
        <v>30.3</v>
      </c>
      <c r="AH7" s="33">
        <f t="shared" si="15"/>
        <v>6</v>
      </c>
      <c r="AM7" s="178"/>
      <c r="AN7" s="180"/>
      <c r="AO7" s="70" t="s">
        <v>88</v>
      </c>
      <c r="AP7" s="85">
        <f t="shared" ref="AP7:AX7" si="31">SUMIFS($O$2:$O$54,$B$2:$B$54,"="&amp;$AN6,$T$2:$T$54,"="&amp;$AM$3,$W$2:$W$54,"="&amp;AP$2)</f>
        <v>89.82</v>
      </c>
      <c r="AQ7" s="71">
        <f t="shared" si="31"/>
        <v>155.70999999999998</v>
      </c>
      <c r="AR7" s="71">
        <f t="shared" si="31"/>
        <v>72.3</v>
      </c>
      <c r="AS7" s="71">
        <f t="shared" si="31"/>
        <v>0</v>
      </c>
      <c r="AT7" s="71">
        <f t="shared" si="31"/>
        <v>60.7</v>
      </c>
      <c r="AU7" s="71">
        <f t="shared" si="31"/>
        <v>0</v>
      </c>
      <c r="AV7" s="71">
        <f t="shared" si="31"/>
        <v>0</v>
      </c>
      <c r="AW7" s="71">
        <f t="shared" si="31"/>
        <v>0</v>
      </c>
      <c r="AX7" s="70">
        <f t="shared" si="31"/>
        <v>96.93</v>
      </c>
      <c r="AZ7" s="98" t="s">
        <v>101</v>
      </c>
      <c r="BA7" s="115">
        <f t="shared" si="17"/>
        <v>60.7</v>
      </c>
      <c r="BB7" s="97">
        <f t="shared" si="18"/>
        <v>55.31</v>
      </c>
      <c r="BD7" s="198">
        <v>102</v>
      </c>
      <c r="BE7" s="104">
        <v>1</v>
      </c>
      <c r="BF7" s="118">
        <f>_xlfn.MAXIFS($O$2:$O$54,$T$2:$T$54,"="&amp;$BD$7,$B$2:$B$54,"="&amp;$BE7)</f>
        <v>0</v>
      </c>
      <c r="BG7" s="104">
        <f>_xlfn.MINIFS($O$2:$O$54,$T$2:$T$54,"="&amp;$BD$7,$B$2:$B$54,"="&amp;$BE7)</f>
        <v>0</v>
      </c>
      <c r="BI7" s="199"/>
      <c r="BJ7" s="103">
        <v>4</v>
      </c>
      <c r="BK7" s="123">
        <f t="shared" si="28"/>
        <v>0</v>
      </c>
      <c r="BL7" s="124">
        <f t="shared" si="29"/>
        <v>0</v>
      </c>
      <c r="BM7" s="123">
        <f t="shared" si="21"/>
        <v>0</v>
      </c>
      <c r="BN7" s="124">
        <f t="shared" si="22"/>
        <v>0</v>
      </c>
      <c r="BO7" s="123">
        <f t="shared" si="23"/>
        <v>77.959999999999994</v>
      </c>
      <c r="BP7" s="124">
        <f t="shared" si="24"/>
        <v>38.93</v>
      </c>
      <c r="BQ7" s="123">
        <f t="shared" si="25"/>
        <v>0</v>
      </c>
      <c r="BR7" s="124">
        <f t="shared" si="26"/>
        <v>0</v>
      </c>
    </row>
    <row r="8" spans="1:70" ht="20.100000000000001" customHeight="1" thickTop="1" x14ac:dyDescent="0.3">
      <c r="A8" s="138">
        <v>33</v>
      </c>
      <c r="B8" s="141">
        <v>4</v>
      </c>
      <c r="C8" s="143">
        <v>201610102</v>
      </c>
      <c r="D8" s="132" t="str">
        <f t="shared" si="0"/>
        <v>컴퓨터학과</v>
      </c>
      <c r="E8" s="141" t="s">
        <v>43</v>
      </c>
      <c r="F8" s="141">
        <v>46</v>
      </c>
      <c r="G8" s="134">
        <f t="shared" si="1"/>
        <v>23</v>
      </c>
      <c r="H8" s="141">
        <v>58</v>
      </c>
      <c r="I8" s="134">
        <f t="shared" si="2"/>
        <v>52.73</v>
      </c>
      <c r="J8" s="141">
        <v>86.67</v>
      </c>
      <c r="K8" s="141">
        <v>10</v>
      </c>
      <c r="L8" s="134">
        <f t="shared" si="3"/>
        <v>9.09</v>
      </c>
      <c r="M8" s="141">
        <v>10</v>
      </c>
      <c r="N8" s="142">
        <v>60</v>
      </c>
      <c r="O8" s="8">
        <f t="shared" si="4"/>
        <v>38.93</v>
      </c>
      <c r="P8" s="136">
        <f t="shared" si="5"/>
        <v>47</v>
      </c>
      <c r="Q8" s="8">
        <f t="shared" si="6"/>
        <v>47</v>
      </c>
      <c r="R8" s="9"/>
      <c r="S8" s="8" t="str">
        <f t="shared" si="7"/>
        <v>2016</v>
      </c>
      <c r="T8" s="137" t="str">
        <f t="shared" si="8"/>
        <v>101</v>
      </c>
      <c r="U8" s="8" t="b">
        <f t="shared" si="9"/>
        <v>1</v>
      </c>
      <c r="V8" s="8" t="str">
        <f t="shared" si="10"/>
        <v>D</v>
      </c>
      <c r="W8" s="8" t="str">
        <f t="shared" si="11"/>
        <v>D0</v>
      </c>
      <c r="AA8" s="16">
        <v>105</v>
      </c>
      <c r="AB8" s="15" t="s">
        <v>79</v>
      </c>
      <c r="AM8" s="178"/>
      <c r="AN8" s="181"/>
      <c r="AO8" s="72" t="s">
        <v>89</v>
      </c>
      <c r="AP8" s="86">
        <f t="shared" ref="AP8:AX8" si="32">IFERROR(ROUND(AVERAGEIFS($O$2:$O$54,$B$2:$B$54,"="&amp;$AN6,$T$2:$T$54,"="&amp;$AM$3,$W$2:$W$54,"="&amp;AP$2),2),"-")</f>
        <v>89.82</v>
      </c>
      <c r="AQ8" s="73">
        <f t="shared" si="32"/>
        <v>77.86</v>
      </c>
      <c r="AR8" s="73">
        <f t="shared" si="32"/>
        <v>72.3</v>
      </c>
      <c r="AS8" s="73" t="str">
        <f t="shared" si="32"/>
        <v>-</v>
      </c>
      <c r="AT8" s="73">
        <f t="shared" si="32"/>
        <v>60.7</v>
      </c>
      <c r="AU8" s="73" t="str">
        <f t="shared" si="32"/>
        <v>-</v>
      </c>
      <c r="AV8" s="73" t="str">
        <f t="shared" si="32"/>
        <v>-</v>
      </c>
      <c r="AW8" s="73" t="str">
        <f t="shared" si="32"/>
        <v>-</v>
      </c>
      <c r="AX8" s="72">
        <f t="shared" si="32"/>
        <v>32.31</v>
      </c>
      <c r="AZ8" s="98" t="s">
        <v>102</v>
      </c>
      <c r="BA8" s="115">
        <f t="shared" si="17"/>
        <v>54.35</v>
      </c>
      <c r="BB8" s="97">
        <f t="shared" si="18"/>
        <v>45.71</v>
      </c>
      <c r="BD8" s="199"/>
      <c r="BE8" s="99">
        <v>2</v>
      </c>
      <c r="BF8" s="119">
        <f t="shared" ref="BF8:BF10" si="33">_xlfn.MAXIFS($O$2:$O$54,$T$2:$T$54,"="&amp;$BD$7,$B$2:$B$54,"="&amp;$BE8)</f>
        <v>76.010000000000005</v>
      </c>
      <c r="BG8" s="99">
        <f t="shared" ref="BG8:BG10" si="34">_xlfn.MINIFS($O$2:$O$54,$T$2:$T$54,"="&amp;$BD$7,$B$2:$B$54,"="&amp;$BE8)</f>
        <v>39.770000000000003</v>
      </c>
      <c r="BI8" s="198">
        <v>102</v>
      </c>
      <c r="BJ8" s="104">
        <v>1</v>
      </c>
      <c r="BK8" s="105">
        <f>_xlfn.MAXIFS($O$2:$O$54,$T$2:$T$54,"="&amp;$BI$8,$B$2:$B$54,"="&amp;$BJ8,$S$2:$S$54,"="&amp;BK$2)</f>
        <v>0</v>
      </c>
      <c r="BL8" s="104">
        <f>_xlfn.MINIFS($O$2:$O$54,$T$2:$T$54,"="&amp;$BI$8,$B$2:$B$54,"="&amp;$BJ8,$S$2:$S$54,"="&amp;BK$2)</f>
        <v>0</v>
      </c>
      <c r="BM8" s="105">
        <f t="shared" ref="BM8:BM11" si="35">_xlfn.MAXIFS($O$2:$O$54,$T$2:$T$54,"="&amp;$BI$8,$B$2:$B$54,"="&amp;$BJ8,$S$2:$S$54,"="&amp;BM$2)</f>
        <v>0</v>
      </c>
      <c r="BN8" s="104">
        <f t="shared" ref="BN8:BN11" si="36">_xlfn.MINIFS($O$2:$O$54,$T$2:$T$54,"="&amp;$BI$8,$B$2:$B$54,"="&amp;$BJ8,$S$2:$S$54,"="&amp;BM$2)</f>
        <v>0</v>
      </c>
      <c r="BO8" s="105">
        <f t="shared" ref="BO8:BO11" si="37">_xlfn.MAXIFS($O$2:$O$54,$T$2:$T$54,"="&amp;$BI$8,$B$2:$B$54,"="&amp;$BJ8,$S$2:$S$54,"="&amp;BO$2)</f>
        <v>0</v>
      </c>
      <c r="BP8" s="104">
        <f t="shared" ref="BP8:BP11" si="38">_xlfn.MINIFS($O$2:$O$54,$T$2:$T$54,"="&amp;$BI$8,$B$2:$B$54,"="&amp;$BJ8,$S$2:$S$54,"="&amp;BO$2)</f>
        <v>0</v>
      </c>
      <c r="BQ8" s="105">
        <f t="shared" ref="BQ8:BQ11" si="39">_xlfn.MAXIFS($O$2:$O$54,$T$2:$T$54,"="&amp;$BI$8,$B$2:$B$54,"="&amp;$BJ8,$S$2:$S$54,"="&amp;BQ$2)</f>
        <v>0</v>
      </c>
      <c r="BR8" s="104">
        <f t="shared" ref="BR8:BR11" si="40">_xlfn.MINIFS($O$2:$O$54,$T$2:$T$54,"="&amp;$BI$8,$B$2:$B$54,"="&amp;$BJ8,$S$2:$S$54,"="&amp;BQ$2)</f>
        <v>0</v>
      </c>
    </row>
    <row r="9" spans="1:70" ht="20.100000000000001" customHeight="1" thickBot="1" x14ac:dyDescent="0.35">
      <c r="A9" s="138">
        <v>35</v>
      </c>
      <c r="B9" s="141">
        <v>2</v>
      </c>
      <c r="C9" s="143">
        <v>201710223</v>
      </c>
      <c r="D9" s="132" t="str">
        <f t="shared" si="0"/>
        <v>보안학과</v>
      </c>
      <c r="E9" s="141" t="s">
        <v>45</v>
      </c>
      <c r="F9" s="141">
        <v>52</v>
      </c>
      <c r="G9" s="134">
        <f t="shared" si="1"/>
        <v>26</v>
      </c>
      <c r="H9" s="141">
        <v>56</v>
      </c>
      <c r="I9" s="134">
        <f t="shared" si="2"/>
        <v>50.91</v>
      </c>
      <c r="J9" s="141">
        <v>83.33</v>
      </c>
      <c r="K9" s="141">
        <v>31</v>
      </c>
      <c r="L9" s="134">
        <f t="shared" si="3"/>
        <v>28.18</v>
      </c>
      <c r="M9" s="141">
        <v>0</v>
      </c>
      <c r="N9" s="142">
        <v>60</v>
      </c>
      <c r="O9" s="8">
        <f t="shared" si="4"/>
        <v>39.770000000000003</v>
      </c>
      <c r="P9" s="136">
        <f t="shared" si="5"/>
        <v>46</v>
      </c>
      <c r="Q9" s="8">
        <f t="shared" si="6"/>
        <v>46</v>
      </c>
      <c r="R9" s="9" t="s">
        <v>71</v>
      </c>
      <c r="S9" s="8" t="str">
        <f t="shared" si="7"/>
        <v>2017</v>
      </c>
      <c r="T9" s="137" t="str">
        <f t="shared" si="8"/>
        <v>102</v>
      </c>
      <c r="U9" s="8" t="b">
        <f t="shared" si="9"/>
        <v>0</v>
      </c>
      <c r="V9" s="8" t="str">
        <f t="shared" si="10"/>
        <v>D</v>
      </c>
      <c r="W9" s="8" t="str">
        <f t="shared" si="11"/>
        <v>D0</v>
      </c>
      <c r="AM9" s="178"/>
      <c r="AN9" s="182">
        <v>3</v>
      </c>
      <c r="AO9" s="76" t="s">
        <v>95</v>
      </c>
      <c r="AP9" s="88">
        <f t="shared" ref="AP9" si="41">COUNTIFS($B$2:$B$54,"="&amp;$AN9,$T$2:$T$54,"="&amp;$AM$3,$W$2:$W$54,"="&amp;AP$2)</f>
        <v>0</v>
      </c>
      <c r="AQ9" s="77">
        <f t="shared" si="30"/>
        <v>1</v>
      </c>
      <c r="AR9" s="77">
        <f t="shared" si="30"/>
        <v>0</v>
      </c>
      <c r="AS9" s="77">
        <f t="shared" si="30"/>
        <v>0</v>
      </c>
      <c r="AT9" s="77">
        <f t="shared" si="30"/>
        <v>1</v>
      </c>
      <c r="AU9" s="77">
        <f t="shared" si="30"/>
        <v>0</v>
      </c>
      <c r="AV9" s="77">
        <f t="shared" si="30"/>
        <v>0</v>
      </c>
      <c r="AW9" s="77">
        <f t="shared" si="30"/>
        <v>0</v>
      </c>
      <c r="AX9" s="76">
        <f t="shared" si="30"/>
        <v>0</v>
      </c>
      <c r="AZ9" s="98" t="s">
        <v>103</v>
      </c>
      <c r="BA9" s="115">
        <f t="shared" si="17"/>
        <v>44.88</v>
      </c>
      <c r="BB9" s="97">
        <f t="shared" si="18"/>
        <v>43.09</v>
      </c>
      <c r="BD9" s="199"/>
      <c r="BE9" s="99">
        <v>3</v>
      </c>
      <c r="BF9" s="119">
        <f t="shared" si="33"/>
        <v>72.459999999999994</v>
      </c>
      <c r="BG9" s="99">
        <f t="shared" si="34"/>
        <v>60.36</v>
      </c>
      <c r="BI9" s="199"/>
      <c r="BJ9" s="99">
        <v>2</v>
      </c>
      <c r="BK9" s="96">
        <f t="shared" ref="BK9:BK11" si="42">_xlfn.MAXIFS($O$2:$O$54,$T$2:$T$54,"="&amp;$BI$8,$B$2:$B$54,"="&amp;$BJ9,$S$2:$S$54,"="&amp;BK$2)</f>
        <v>73.41</v>
      </c>
      <c r="BL9" s="97">
        <f t="shared" ref="BL9:BL11" si="43">_xlfn.MINIFS($O$2:$O$54,$T$2:$T$54,"="&amp;$BI$8,$B$2:$B$54,"="&amp;$BJ9,$S$2:$S$54,"="&amp;BK$2)</f>
        <v>65.81</v>
      </c>
      <c r="BM9" s="96">
        <f t="shared" si="35"/>
        <v>67.62</v>
      </c>
      <c r="BN9" s="97">
        <f t="shared" si="36"/>
        <v>39.770000000000003</v>
      </c>
      <c r="BO9" s="96">
        <f t="shared" si="37"/>
        <v>76.010000000000005</v>
      </c>
      <c r="BP9" s="97">
        <f t="shared" si="38"/>
        <v>76.010000000000005</v>
      </c>
      <c r="BQ9" s="96">
        <f t="shared" si="39"/>
        <v>0</v>
      </c>
      <c r="BR9" s="97">
        <f t="shared" si="40"/>
        <v>0</v>
      </c>
    </row>
    <row r="10" spans="1:70" ht="20.100000000000001" customHeight="1" thickTop="1" thickBot="1" x14ac:dyDescent="0.35">
      <c r="A10" s="138">
        <v>2</v>
      </c>
      <c r="B10" s="139">
        <v>2</v>
      </c>
      <c r="C10" s="139">
        <v>201810488</v>
      </c>
      <c r="D10" s="132" t="str">
        <f t="shared" si="0"/>
        <v>게임학과</v>
      </c>
      <c r="E10" s="140" t="s">
        <v>12</v>
      </c>
      <c r="F10" s="141">
        <v>55</v>
      </c>
      <c r="G10" s="134">
        <f t="shared" si="1"/>
        <v>27.5</v>
      </c>
      <c r="H10" s="141">
        <v>47</v>
      </c>
      <c r="I10" s="134">
        <f t="shared" si="2"/>
        <v>42.73</v>
      </c>
      <c r="J10" s="141">
        <v>81.11</v>
      </c>
      <c r="K10" s="141">
        <v>47</v>
      </c>
      <c r="L10" s="134">
        <f t="shared" si="3"/>
        <v>42.73</v>
      </c>
      <c r="M10" s="141">
        <v>25</v>
      </c>
      <c r="N10" s="142">
        <v>100</v>
      </c>
      <c r="O10" s="8">
        <f t="shared" si="4"/>
        <v>43.09</v>
      </c>
      <c r="P10" s="136">
        <f t="shared" si="5"/>
        <v>45</v>
      </c>
      <c r="Q10" s="8">
        <f t="shared" si="6"/>
        <v>45</v>
      </c>
      <c r="R10" s="9"/>
      <c r="S10" s="8" t="str">
        <f t="shared" si="7"/>
        <v>2018</v>
      </c>
      <c r="T10" s="137" t="str">
        <f t="shared" si="8"/>
        <v>104</v>
      </c>
      <c r="U10" s="8" t="b">
        <f t="shared" si="9"/>
        <v>1</v>
      </c>
      <c r="V10" s="8" t="str">
        <f t="shared" si="10"/>
        <v>D</v>
      </c>
      <c r="W10" s="8" t="str">
        <f t="shared" si="11"/>
        <v>D+</v>
      </c>
      <c r="AA10" s="204" t="s">
        <v>81</v>
      </c>
      <c r="AB10" s="19" t="s">
        <v>82</v>
      </c>
      <c r="AC10" s="17" t="s">
        <v>83</v>
      </c>
      <c r="AM10" s="178"/>
      <c r="AN10" s="180"/>
      <c r="AO10" s="70" t="s">
        <v>88</v>
      </c>
      <c r="AP10" s="85">
        <f t="shared" ref="AP10:AX10" si="44">SUMIFS($O$2:$O$54,$B$2:$B$54,"="&amp;$AN9,$T$2:$T$54,"="&amp;$AM$3,$W$2:$W$54,"="&amp;AP$2)</f>
        <v>0</v>
      </c>
      <c r="AQ10" s="71">
        <f t="shared" si="44"/>
        <v>78.84</v>
      </c>
      <c r="AR10" s="71">
        <f t="shared" si="44"/>
        <v>0</v>
      </c>
      <c r="AS10" s="71">
        <f t="shared" si="44"/>
        <v>0</v>
      </c>
      <c r="AT10" s="71">
        <f t="shared" si="44"/>
        <v>56.46</v>
      </c>
      <c r="AU10" s="71">
        <f t="shared" si="44"/>
        <v>0</v>
      </c>
      <c r="AV10" s="71">
        <f t="shared" si="44"/>
        <v>0</v>
      </c>
      <c r="AW10" s="71">
        <f t="shared" si="44"/>
        <v>0</v>
      </c>
      <c r="AX10" s="70">
        <f t="shared" si="44"/>
        <v>0</v>
      </c>
      <c r="AZ10" s="98" t="s">
        <v>104</v>
      </c>
      <c r="BA10" s="115">
        <f t="shared" si="17"/>
        <v>39.770000000000003</v>
      </c>
      <c r="BB10" s="97">
        <f t="shared" si="18"/>
        <v>38.93</v>
      </c>
      <c r="BD10" s="200"/>
      <c r="BE10" s="106">
        <v>4</v>
      </c>
      <c r="BF10" s="121">
        <f t="shared" si="33"/>
        <v>68.88</v>
      </c>
      <c r="BG10" s="106">
        <f t="shared" si="34"/>
        <v>44.88</v>
      </c>
      <c r="BI10" s="199"/>
      <c r="BJ10" s="99">
        <v>3</v>
      </c>
      <c r="BK10" s="96">
        <f t="shared" si="42"/>
        <v>0</v>
      </c>
      <c r="BL10" s="97">
        <f t="shared" si="43"/>
        <v>0</v>
      </c>
      <c r="BM10" s="96">
        <f t="shared" si="35"/>
        <v>72.459999999999994</v>
      </c>
      <c r="BN10" s="97">
        <f t="shared" si="36"/>
        <v>69.819999999999993</v>
      </c>
      <c r="BO10" s="96">
        <f t="shared" si="37"/>
        <v>60.36</v>
      </c>
      <c r="BP10" s="97">
        <f t="shared" si="38"/>
        <v>60.36</v>
      </c>
      <c r="BQ10" s="96">
        <f t="shared" si="39"/>
        <v>0</v>
      </c>
      <c r="BR10" s="97">
        <f t="shared" si="40"/>
        <v>0</v>
      </c>
    </row>
    <row r="11" spans="1:70" ht="20.100000000000001" customHeight="1" thickTop="1" thickBot="1" x14ac:dyDescent="0.35">
      <c r="A11" s="138">
        <v>53</v>
      </c>
      <c r="B11" s="141">
        <v>2</v>
      </c>
      <c r="C11" s="143">
        <v>201810585</v>
      </c>
      <c r="D11" s="132" t="str">
        <f t="shared" si="0"/>
        <v>통신학과</v>
      </c>
      <c r="E11" s="141" t="s">
        <v>63</v>
      </c>
      <c r="F11" s="141">
        <v>75</v>
      </c>
      <c r="G11" s="134">
        <f t="shared" si="1"/>
        <v>37.5</v>
      </c>
      <c r="H11" s="141">
        <v>42</v>
      </c>
      <c r="I11" s="134">
        <f t="shared" si="2"/>
        <v>38.18</v>
      </c>
      <c r="J11" s="141">
        <v>97.78</v>
      </c>
      <c r="K11" s="141">
        <v>37</v>
      </c>
      <c r="L11" s="134">
        <f t="shared" si="3"/>
        <v>33.64</v>
      </c>
      <c r="M11" s="141">
        <v>11</v>
      </c>
      <c r="N11" s="142">
        <v>100</v>
      </c>
      <c r="O11" s="8">
        <f t="shared" si="4"/>
        <v>43.86</v>
      </c>
      <c r="P11" s="136">
        <f t="shared" si="5"/>
        <v>44</v>
      </c>
      <c r="Q11" s="8">
        <f t="shared" si="6"/>
        <v>44</v>
      </c>
      <c r="R11" s="9"/>
      <c r="S11" s="8" t="str">
        <f t="shared" si="7"/>
        <v>2018</v>
      </c>
      <c r="T11" s="137" t="str">
        <f t="shared" si="8"/>
        <v>105</v>
      </c>
      <c r="U11" s="8" t="b">
        <f t="shared" si="9"/>
        <v>1</v>
      </c>
      <c r="V11" s="8" t="str">
        <f t="shared" si="10"/>
        <v>D</v>
      </c>
      <c r="W11" s="8" t="str">
        <f t="shared" si="11"/>
        <v>D+</v>
      </c>
      <c r="AA11" s="205"/>
      <c r="AB11" s="156">
        <f>COUNT(B2:B54)</f>
        <v>53</v>
      </c>
      <c r="AC11" s="18">
        <f>COUNTA(E2:E54)</f>
        <v>53</v>
      </c>
      <c r="AM11" s="178"/>
      <c r="AN11" s="181"/>
      <c r="AO11" s="72" t="s">
        <v>89</v>
      </c>
      <c r="AP11" s="86" t="str">
        <f t="shared" ref="AP11:AX11" si="45">IFERROR(ROUND(AVERAGEIFS($O$2:$O$54,$B$2:$B$54,"="&amp;$AN9,$T$2:$T$54,"="&amp;$AM$3,$W$2:$W$54,"="&amp;AP$2),2),"-")</f>
        <v>-</v>
      </c>
      <c r="AQ11" s="73">
        <f t="shared" si="45"/>
        <v>78.84</v>
      </c>
      <c r="AR11" s="73" t="str">
        <f t="shared" si="45"/>
        <v>-</v>
      </c>
      <c r="AS11" s="73" t="str">
        <f t="shared" si="45"/>
        <v>-</v>
      </c>
      <c r="AT11" s="73">
        <f t="shared" si="45"/>
        <v>56.46</v>
      </c>
      <c r="AU11" s="73" t="str">
        <f t="shared" si="45"/>
        <v>-</v>
      </c>
      <c r="AV11" s="73" t="str">
        <f t="shared" si="45"/>
        <v>-</v>
      </c>
      <c r="AW11" s="73" t="str">
        <f t="shared" si="45"/>
        <v>-</v>
      </c>
      <c r="AX11" s="72" t="str">
        <f t="shared" si="45"/>
        <v>-</v>
      </c>
      <c r="AZ11" s="100" t="s">
        <v>94</v>
      </c>
      <c r="BA11" s="152">
        <f t="shared" si="17"/>
        <v>35.86</v>
      </c>
      <c r="BB11" s="116">
        <f t="shared" si="18"/>
        <v>26.57</v>
      </c>
      <c r="BD11" s="199">
        <v>103</v>
      </c>
      <c r="BE11" s="97">
        <v>1</v>
      </c>
      <c r="BF11" s="115">
        <f>_xlfn.MAXIFS($O$2:$O$54,$T$2:$T$54,"="&amp;$BD$11,$B$2:$B$54,"="&amp;$BE11)</f>
        <v>0</v>
      </c>
      <c r="BG11" s="97">
        <f>_xlfn.MINIFS($O$2:$O$54,$T$2:$T$54,"="&amp;$BD$11,$B$2:$B$54,"="&amp;$BE11)</f>
        <v>0</v>
      </c>
      <c r="BI11" s="200"/>
      <c r="BJ11" s="106">
        <v>4</v>
      </c>
      <c r="BK11" s="125">
        <f t="shared" si="42"/>
        <v>0</v>
      </c>
      <c r="BL11" s="126">
        <f t="shared" si="43"/>
        <v>0</v>
      </c>
      <c r="BM11" s="125">
        <f t="shared" si="35"/>
        <v>0</v>
      </c>
      <c r="BN11" s="126">
        <f t="shared" si="36"/>
        <v>0</v>
      </c>
      <c r="BO11" s="125">
        <f t="shared" si="37"/>
        <v>68.88</v>
      </c>
      <c r="BP11" s="126">
        <f t="shared" si="38"/>
        <v>44.88</v>
      </c>
      <c r="BQ11" s="125">
        <f t="shared" si="39"/>
        <v>0</v>
      </c>
      <c r="BR11" s="126">
        <f t="shared" si="40"/>
        <v>0</v>
      </c>
    </row>
    <row r="12" spans="1:70" ht="20.100000000000001" customHeight="1" thickTop="1" thickBot="1" x14ac:dyDescent="0.35">
      <c r="A12" s="138">
        <v>31</v>
      </c>
      <c r="B12" s="141">
        <v>4</v>
      </c>
      <c r="C12" s="143">
        <v>201610256</v>
      </c>
      <c r="D12" s="132" t="str">
        <f t="shared" si="0"/>
        <v>보안학과</v>
      </c>
      <c r="E12" s="141" t="s">
        <v>41</v>
      </c>
      <c r="F12" s="141">
        <v>57</v>
      </c>
      <c r="G12" s="134">
        <f t="shared" si="1"/>
        <v>28.5</v>
      </c>
      <c r="H12" s="141">
        <v>47</v>
      </c>
      <c r="I12" s="134">
        <f t="shared" si="2"/>
        <v>42.73</v>
      </c>
      <c r="J12" s="141">
        <v>90</v>
      </c>
      <c r="K12" s="141">
        <v>58</v>
      </c>
      <c r="L12" s="134">
        <f t="shared" si="3"/>
        <v>52.73</v>
      </c>
      <c r="M12" s="141">
        <v>21</v>
      </c>
      <c r="N12" s="142">
        <v>100</v>
      </c>
      <c r="O12" s="8">
        <f t="shared" si="4"/>
        <v>44.88</v>
      </c>
      <c r="P12" s="136">
        <f t="shared" si="5"/>
        <v>43</v>
      </c>
      <c r="Q12" s="8">
        <f t="shared" si="6"/>
        <v>43</v>
      </c>
      <c r="R12" s="9" t="s">
        <v>71</v>
      </c>
      <c r="S12" s="8" t="str">
        <f t="shared" si="7"/>
        <v>2016</v>
      </c>
      <c r="T12" s="137" t="str">
        <f t="shared" si="8"/>
        <v>102</v>
      </c>
      <c r="U12" s="8" t="b">
        <f t="shared" si="9"/>
        <v>0</v>
      </c>
      <c r="V12" s="8" t="str">
        <f t="shared" si="10"/>
        <v>D</v>
      </c>
      <c r="W12" s="8" t="str">
        <f t="shared" si="11"/>
        <v>D+</v>
      </c>
      <c r="AM12" s="178"/>
      <c r="AN12" s="182">
        <v>4</v>
      </c>
      <c r="AO12" s="76" t="s">
        <v>95</v>
      </c>
      <c r="AP12" s="89">
        <f t="shared" ref="AP12" si="46">COUNTIFS($B$2:$B$54,"="&amp;$AN12,$T$2:$T$54,"="&amp;$AM$3,$W$2:$W$54,"="&amp;AP$2)</f>
        <v>0</v>
      </c>
      <c r="AQ12" s="79">
        <f t="shared" si="30"/>
        <v>1</v>
      </c>
      <c r="AR12" s="79">
        <f t="shared" si="30"/>
        <v>1</v>
      </c>
      <c r="AS12" s="79">
        <f t="shared" si="30"/>
        <v>0</v>
      </c>
      <c r="AT12" s="79">
        <f t="shared" si="30"/>
        <v>1</v>
      </c>
      <c r="AU12" s="79">
        <f t="shared" si="30"/>
        <v>2</v>
      </c>
      <c r="AV12" s="79">
        <f t="shared" si="30"/>
        <v>0</v>
      </c>
      <c r="AW12" s="79">
        <f t="shared" si="30"/>
        <v>1</v>
      </c>
      <c r="AX12" s="78">
        <f t="shared" si="30"/>
        <v>0</v>
      </c>
      <c r="BD12" s="199"/>
      <c r="BE12" s="99">
        <v>2</v>
      </c>
      <c r="BF12" s="119">
        <f t="shared" ref="BF12:BF14" si="47">_xlfn.MAXIFS($O$2:$O$54,$T$2:$T$54,"="&amp;$BD$11,$B$2:$B$54,"="&amp;$BE12)</f>
        <v>72.14</v>
      </c>
      <c r="BG12" s="99">
        <f t="shared" ref="BG12:BG14" si="48">_xlfn.MINIFS($O$2:$O$54,$T$2:$T$54,"="&amp;$BD$11,$B$2:$B$54,"="&amp;$BE12)</f>
        <v>26.57</v>
      </c>
      <c r="BI12" s="199">
        <v>103</v>
      </c>
      <c r="BJ12" s="97">
        <v>1</v>
      </c>
      <c r="BK12" s="96">
        <f>_xlfn.MAXIFS($O$2:$O$54,$T$2:$T$54,"="&amp;$BI$12,$B$2:$B$54,"="&amp;$BJ12,$S$2:$S$54,"="&amp;BK$2)</f>
        <v>0</v>
      </c>
      <c r="BL12" s="97">
        <f>_xlfn.MINIFS($O$2:$O$54,$T$2:$T$54,"="&amp;$BI$12,$B$2:$B$54,"="&amp;$BJ12,$S$2:$S$54,"="&amp;BK$2)</f>
        <v>0</v>
      </c>
      <c r="BM12" s="96">
        <f t="shared" ref="BM12:BM15" si="49">_xlfn.MAXIFS($O$2:$O$54,$T$2:$T$54,"="&amp;$BI$12,$B$2:$B$54,"="&amp;$BJ12,$S$2:$S$54,"="&amp;BM$2)</f>
        <v>0</v>
      </c>
      <c r="BN12" s="97">
        <f t="shared" ref="BN12:BN15" si="50">_xlfn.MINIFS($O$2:$O$54,$T$2:$T$54,"="&amp;$BI$12,$B$2:$B$54,"="&amp;$BJ12,$S$2:$S$54,"="&amp;BM$2)</f>
        <v>0</v>
      </c>
      <c r="BO12" s="96">
        <f t="shared" ref="BO12:BO15" si="51">_xlfn.MAXIFS($O$2:$O$54,$T$2:$T$54,"="&amp;$BI$12,$B$2:$B$54,"="&amp;$BJ12,$S$2:$S$54,"="&amp;BO$2)</f>
        <v>0</v>
      </c>
      <c r="BP12" s="97">
        <f t="shared" ref="BP12:BP15" si="52">_xlfn.MINIFS($O$2:$O$54,$T$2:$T$54,"="&amp;$BI$12,$B$2:$B$54,"="&amp;$BJ12,$S$2:$S$54,"="&amp;BO$2)</f>
        <v>0</v>
      </c>
      <c r="BQ12" s="96">
        <f t="shared" ref="BQ12:BQ15" si="53">_xlfn.MAXIFS($O$2:$O$54,$T$2:$T$54,"="&amp;$BI$12,$B$2:$B$54,"="&amp;$BJ12,$S$2:$S$54,"="&amp;BQ$2)</f>
        <v>0</v>
      </c>
      <c r="BR12" s="97">
        <f t="shared" ref="BR12:BR15" si="54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38">
        <v>3</v>
      </c>
      <c r="B13" s="139">
        <v>2</v>
      </c>
      <c r="C13" s="139">
        <v>201810390</v>
      </c>
      <c r="D13" s="132" t="str">
        <f t="shared" si="0"/>
        <v>전자학과</v>
      </c>
      <c r="E13" s="140" t="s">
        <v>13</v>
      </c>
      <c r="F13" s="141">
        <v>82</v>
      </c>
      <c r="G13" s="134">
        <f t="shared" si="1"/>
        <v>41</v>
      </c>
      <c r="H13" s="141">
        <v>34</v>
      </c>
      <c r="I13" s="134">
        <f t="shared" si="2"/>
        <v>30.91</v>
      </c>
      <c r="J13" s="141">
        <v>100</v>
      </c>
      <c r="K13" s="141">
        <v>34</v>
      </c>
      <c r="L13" s="134">
        <f t="shared" si="3"/>
        <v>30.91</v>
      </c>
      <c r="M13" s="141">
        <v>45</v>
      </c>
      <c r="N13" s="142">
        <v>100</v>
      </c>
      <c r="O13" s="8">
        <f t="shared" si="4"/>
        <v>45.71</v>
      </c>
      <c r="P13" s="136">
        <f t="shared" si="5"/>
        <v>42</v>
      </c>
      <c r="Q13" s="8">
        <f t="shared" si="6"/>
        <v>42</v>
      </c>
      <c r="R13" s="9"/>
      <c r="S13" s="8" t="str">
        <f t="shared" si="7"/>
        <v>2018</v>
      </c>
      <c r="T13" s="137" t="str">
        <f t="shared" si="8"/>
        <v>103</v>
      </c>
      <c r="U13" s="8" t="b">
        <f t="shared" si="9"/>
        <v>1</v>
      </c>
      <c r="V13" s="8" t="str">
        <f t="shared" si="10"/>
        <v>C</v>
      </c>
      <c r="W13" s="8" t="str">
        <f t="shared" si="11"/>
        <v>C0</v>
      </c>
      <c r="AA13" s="206" t="s">
        <v>84</v>
      </c>
      <c r="AB13" s="207"/>
      <c r="AC13" s="17">
        <f>COUNTA(R2:R54)</f>
        <v>11</v>
      </c>
      <c r="AM13" s="178"/>
      <c r="AN13" s="180"/>
      <c r="AO13" s="70" t="s">
        <v>88</v>
      </c>
      <c r="AP13" s="85">
        <f t="shared" ref="AP13:AX13" si="55">SUMIFS($O$2:$O$54,$B$2:$B$54,"="&amp;$AN12,$T$2:$T$54,"="&amp;$AM$3,$W$2:$W$54,"="&amp;AP$2)</f>
        <v>0</v>
      </c>
      <c r="AQ13" s="71">
        <f t="shared" si="55"/>
        <v>77.959999999999994</v>
      </c>
      <c r="AR13" s="71">
        <f t="shared" si="55"/>
        <v>69</v>
      </c>
      <c r="AS13" s="71">
        <f t="shared" si="55"/>
        <v>0</v>
      </c>
      <c r="AT13" s="71">
        <f t="shared" si="55"/>
        <v>55.31</v>
      </c>
      <c r="AU13" s="71">
        <f t="shared" si="55"/>
        <v>107.03999999999999</v>
      </c>
      <c r="AV13" s="71">
        <f t="shared" si="55"/>
        <v>0</v>
      </c>
      <c r="AW13" s="71">
        <f t="shared" si="55"/>
        <v>38.93</v>
      </c>
      <c r="AX13" s="70">
        <f t="shared" si="55"/>
        <v>0</v>
      </c>
      <c r="AZ13" s="92"/>
      <c r="BA13" s="93" t="s">
        <v>106</v>
      </c>
      <c r="BB13" s="94" t="s">
        <v>109</v>
      </c>
      <c r="BD13" s="199"/>
      <c r="BE13" s="99">
        <v>3</v>
      </c>
      <c r="BF13" s="119">
        <f t="shared" si="47"/>
        <v>81.27</v>
      </c>
      <c r="BG13" s="99">
        <f t="shared" si="48"/>
        <v>73.77</v>
      </c>
      <c r="BI13" s="199"/>
      <c r="BJ13" s="99">
        <v>2</v>
      </c>
      <c r="BK13" s="96">
        <f t="shared" ref="BK13:BK15" si="56">_xlfn.MAXIFS($O$2:$O$54,$T$2:$T$54,"="&amp;$BI$12,$B$2:$B$54,"="&amp;$BJ13,$S$2:$S$54,"="&amp;BK$2)</f>
        <v>59.99</v>
      </c>
      <c r="BL13" s="97">
        <f t="shared" ref="BL13:BL15" si="57">_xlfn.MINIFS($O$2:$O$54,$T$2:$T$54,"="&amp;$BI$12,$B$2:$B$54,"="&amp;$BJ13,$S$2:$S$54,"="&amp;BK$2)</f>
        <v>45.71</v>
      </c>
      <c r="BM13" s="96">
        <f t="shared" si="49"/>
        <v>72.14</v>
      </c>
      <c r="BN13" s="97">
        <f t="shared" si="50"/>
        <v>26.57</v>
      </c>
      <c r="BO13" s="96">
        <f t="shared" si="51"/>
        <v>0</v>
      </c>
      <c r="BP13" s="97">
        <f t="shared" si="52"/>
        <v>0</v>
      </c>
      <c r="BQ13" s="96">
        <f t="shared" si="53"/>
        <v>0</v>
      </c>
      <c r="BR13" s="97">
        <f t="shared" si="54"/>
        <v>0</v>
      </c>
    </row>
    <row r="14" spans="1:70" ht="20.100000000000001" customHeight="1" thickTop="1" thickBot="1" x14ac:dyDescent="0.35">
      <c r="A14" s="138">
        <v>21</v>
      </c>
      <c r="B14" s="139">
        <v>4</v>
      </c>
      <c r="C14" s="139">
        <v>201510420</v>
      </c>
      <c r="D14" s="132" t="str">
        <f t="shared" si="0"/>
        <v>게임학과</v>
      </c>
      <c r="E14" s="140" t="s">
        <v>30</v>
      </c>
      <c r="F14" s="141">
        <v>82</v>
      </c>
      <c r="G14" s="134">
        <f t="shared" si="1"/>
        <v>41</v>
      </c>
      <c r="H14" s="141">
        <v>50</v>
      </c>
      <c r="I14" s="134">
        <f t="shared" si="2"/>
        <v>45.45</v>
      </c>
      <c r="J14" s="141">
        <v>94.44</v>
      </c>
      <c r="K14" s="141">
        <v>54</v>
      </c>
      <c r="L14" s="134">
        <f t="shared" si="3"/>
        <v>49.09</v>
      </c>
      <c r="M14" s="141">
        <v>26</v>
      </c>
      <c r="N14" s="142">
        <v>60</v>
      </c>
      <c r="O14" s="8">
        <f t="shared" si="4"/>
        <v>48.16</v>
      </c>
      <c r="P14" s="136">
        <f t="shared" si="5"/>
        <v>41</v>
      </c>
      <c r="Q14" s="8">
        <f t="shared" si="6"/>
        <v>41</v>
      </c>
      <c r="R14" s="9" t="s">
        <v>71</v>
      </c>
      <c r="S14" s="8" t="str">
        <f t="shared" si="7"/>
        <v>2015</v>
      </c>
      <c r="T14" s="137" t="str">
        <f t="shared" si="8"/>
        <v>104</v>
      </c>
      <c r="U14" s="8" t="b">
        <f t="shared" si="9"/>
        <v>1</v>
      </c>
      <c r="V14" s="8" t="str">
        <f t="shared" si="10"/>
        <v>C</v>
      </c>
      <c r="W14" s="8" t="str">
        <f t="shared" si="11"/>
        <v>C0</v>
      </c>
      <c r="AA14" s="208" t="s">
        <v>85</v>
      </c>
      <c r="AB14" s="209"/>
      <c r="AC14" s="18">
        <f>COUNTBLANK(R2:R54)</f>
        <v>42</v>
      </c>
      <c r="AM14" s="178"/>
      <c r="AN14" s="180"/>
      <c r="AO14" s="74" t="s">
        <v>89</v>
      </c>
      <c r="AP14" s="87" t="str">
        <f t="shared" ref="AP14:AX14" si="58">IFERROR(ROUND(AVERAGEIFS($O$2:$O$54,$B$2:$B$54,"="&amp;$AN12,$T$2:$T$54,"="&amp;$AM$3,$W$2:$W$54,"="&amp;AP$2),2),"-")</f>
        <v>-</v>
      </c>
      <c r="AQ14" s="75">
        <f t="shared" si="58"/>
        <v>77.959999999999994</v>
      </c>
      <c r="AR14" s="75">
        <f t="shared" si="58"/>
        <v>69</v>
      </c>
      <c r="AS14" s="75" t="str">
        <f t="shared" si="58"/>
        <v>-</v>
      </c>
      <c r="AT14" s="75">
        <f t="shared" si="58"/>
        <v>55.31</v>
      </c>
      <c r="AU14" s="75">
        <f t="shared" si="58"/>
        <v>53.52</v>
      </c>
      <c r="AV14" s="75" t="str">
        <f t="shared" si="58"/>
        <v>-</v>
      </c>
      <c r="AW14" s="75">
        <f t="shared" si="58"/>
        <v>38.93</v>
      </c>
      <c r="AX14" s="74" t="str">
        <f t="shared" si="58"/>
        <v>-</v>
      </c>
      <c r="AZ14" s="95" t="s">
        <v>108</v>
      </c>
      <c r="BA14" s="96">
        <f>_xlfn.MAXIFS($O$2:$O$54,$R$2:$R$54,"=Y")</f>
        <v>82.26</v>
      </c>
      <c r="BB14" s="117">
        <f>_xlfn.MINIFS($O$2:$O$54,$R$2:$R$54,"=Y")</f>
        <v>39.770000000000003</v>
      </c>
      <c r="BD14" s="199"/>
      <c r="BE14" s="103">
        <v>4</v>
      </c>
      <c r="BF14" s="120">
        <f t="shared" si="47"/>
        <v>75.33</v>
      </c>
      <c r="BG14" s="103">
        <f t="shared" si="48"/>
        <v>62.86</v>
      </c>
      <c r="BI14" s="199"/>
      <c r="BJ14" s="99">
        <v>3</v>
      </c>
      <c r="BK14" s="96">
        <f t="shared" si="56"/>
        <v>0</v>
      </c>
      <c r="BL14" s="97">
        <f t="shared" si="57"/>
        <v>0</v>
      </c>
      <c r="BM14" s="96">
        <f t="shared" si="49"/>
        <v>73.77</v>
      </c>
      <c r="BN14" s="97">
        <f t="shared" si="50"/>
        <v>73.77</v>
      </c>
      <c r="BO14" s="96">
        <f t="shared" si="51"/>
        <v>0</v>
      </c>
      <c r="BP14" s="97">
        <f t="shared" si="52"/>
        <v>0</v>
      </c>
      <c r="BQ14" s="96">
        <f t="shared" si="53"/>
        <v>81.27</v>
      </c>
      <c r="BR14" s="97">
        <f t="shared" si="54"/>
        <v>81.27</v>
      </c>
    </row>
    <row r="15" spans="1:70" ht="20.100000000000001" customHeight="1" thickTop="1" thickBot="1" x14ac:dyDescent="0.35">
      <c r="A15" s="138">
        <v>52</v>
      </c>
      <c r="B15" s="141">
        <v>4</v>
      </c>
      <c r="C15" s="143">
        <v>201610177</v>
      </c>
      <c r="D15" s="132" t="str">
        <f t="shared" si="0"/>
        <v>컴퓨터학과</v>
      </c>
      <c r="E15" s="141" t="s">
        <v>62</v>
      </c>
      <c r="F15" s="141">
        <v>58</v>
      </c>
      <c r="G15" s="134">
        <f t="shared" si="1"/>
        <v>29</v>
      </c>
      <c r="H15" s="141">
        <v>62</v>
      </c>
      <c r="I15" s="134">
        <f t="shared" si="2"/>
        <v>56.36</v>
      </c>
      <c r="J15" s="141">
        <v>100</v>
      </c>
      <c r="K15" s="141">
        <v>48</v>
      </c>
      <c r="L15" s="134">
        <f t="shared" si="3"/>
        <v>43.64</v>
      </c>
      <c r="M15" s="141">
        <v>49</v>
      </c>
      <c r="N15" s="142">
        <v>100</v>
      </c>
      <c r="O15" s="8">
        <f t="shared" si="4"/>
        <v>52.69</v>
      </c>
      <c r="P15" s="136">
        <f t="shared" si="5"/>
        <v>40</v>
      </c>
      <c r="Q15" s="8">
        <f t="shared" si="6"/>
        <v>40</v>
      </c>
      <c r="R15" s="9"/>
      <c r="S15" s="8" t="str">
        <f t="shared" si="7"/>
        <v>2016</v>
      </c>
      <c r="T15" s="137" t="str">
        <f t="shared" si="8"/>
        <v>101</v>
      </c>
      <c r="U15" s="8" t="b">
        <f t="shared" si="9"/>
        <v>1</v>
      </c>
      <c r="V15" s="8" t="str">
        <f t="shared" si="10"/>
        <v>C</v>
      </c>
      <c r="W15" s="8" t="str">
        <f t="shared" si="11"/>
        <v>C0</v>
      </c>
      <c r="AM15" s="183">
        <v>102</v>
      </c>
      <c r="AN15" s="185">
        <v>1</v>
      </c>
      <c r="AO15" s="80" t="s">
        <v>95</v>
      </c>
      <c r="AP15" s="90">
        <f>COUNTIFS($B$2:$B$54,"="&amp;$AN15,$T$2:$T$54,"="&amp;$AM$15,$W$2:$W$54,"="&amp;AP$2)</f>
        <v>0</v>
      </c>
      <c r="AQ15" s="81">
        <f t="shared" ref="AQ15:AX15" si="59">COUNTIFS($B$2:$B$54,"="&amp;$AN15,$T$2:$T$54,"="&amp;$AM$15,$W$2:$W$54,"="&amp;AQ$2)</f>
        <v>0</v>
      </c>
      <c r="AR15" s="81">
        <f t="shared" si="59"/>
        <v>0</v>
      </c>
      <c r="AS15" s="81">
        <f t="shared" si="59"/>
        <v>0</v>
      </c>
      <c r="AT15" s="81">
        <f t="shared" si="59"/>
        <v>0</v>
      </c>
      <c r="AU15" s="81">
        <f t="shared" si="59"/>
        <v>0</v>
      </c>
      <c r="AV15" s="81">
        <f t="shared" si="59"/>
        <v>0</v>
      </c>
      <c r="AW15" s="81">
        <f t="shared" si="59"/>
        <v>0</v>
      </c>
      <c r="AX15" s="80">
        <f t="shared" si="59"/>
        <v>0</v>
      </c>
      <c r="AZ15" s="100" t="s">
        <v>107</v>
      </c>
      <c r="BA15" s="102">
        <f>_xlfn.MAXIFS($O$2:$O$54,$R$2:$R$54,"=")</f>
        <v>89.82</v>
      </c>
      <c r="BB15" s="39">
        <f>_xlfn.MINIFS($O$2:$O$54,$R$2:$R$54,"=")</f>
        <v>26.57</v>
      </c>
      <c r="BD15" s="198">
        <v>104</v>
      </c>
      <c r="BE15" s="104">
        <v>1</v>
      </c>
      <c r="BF15" s="118">
        <f>_xlfn.MAXIFS($O$2:$O$54,$T$2:$T$54,"="&amp;$BD$15,$B$2:$B$54,"="&amp;$BE15)</f>
        <v>53.09</v>
      </c>
      <c r="BG15" s="104">
        <f>_xlfn.MINIFS($O$2:$O$54,$T$2:$T$54,"="&amp;$BD$15,$B$2:$B$54,"="&amp;$BE15)</f>
        <v>53.09</v>
      </c>
      <c r="BI15" s="199"/>
      <c r="BJ15" s="103">
        <v>4</v>
      </c>
      <c r="BK15" s="123">
        <f t="shared" si="56"/>
        <v>0</v>
      </c>
      <c r="BL15" s="124">
        <f t="shared" si="57"/>
        <v>0</v>
      </c>
      <c r="BM15" s="123">
        <f t="shared" si="49"/>
        <v>0</v>
      </c>
      <c r="BN15" s="124">
        <f t="shared" si="50"/>
        <v>0</v>
      </c>
      <c r="BO15" s="123">
        <f t="shared" si="51"/>
        <v>0</v>
      </c>
      <c r="BP15" s="124">
        <f t="shared" si="52"/>
        <v>0</v>
      </c>
      <c r="BQ15" s="123">
        <f t="shared" si="53"/>
        <v>75.33</v>
      </c>
      <c r="BR15" s="124">
        <f t="shared" si="54"/>
        <v>62.86</v>
      </c>
    </row>
    <row r="16" spans="1:70" ht="20.100000000000001" customHeight="1" thickTop="1" thickBot="1" x14ac:dyDescent="0.35">
      <c r="A16" s="138">
        <v>34</v>
      </c>
      <c r="B16" s="141">
        <v>1</v>
      </c>
      <c r="C16" s="143">
        <v>201810418</v>
      </c>
      <c r="D16" s="132" t="str">
        <f t="shared" si="0"/>
        <v>게임학과</v>
      </c>
      <c r="E16" s="141" t="s">
        <v>44</v>
      </c>
      <c r="F16" s="141">
        <v>85</v>
      </c>
      <c r="G16" s="134">
        <f t="shared" si="1"/>
        <v>42.5</v>
      </c>
      <c r="H16" s="141">
        <v>58</v>
      </c>
      <c r="I16" s="134">
        <f t="shared" si="2"/>
        <v>52.73</v>
      </c>
      <c r="J16" s="141">
        <v>94.44</v>
      </c>
      <c r="K16" s="141">
        <v>40</v>
      </c>
      <c r="L16" s="134">
        <f t="shared" si="3"/>
        <v>36.36</v>
      </c>
      <c r="M16" s="141">
        <v>58</v>
      </c>
      <c r="N16" s="142">
        <v>60</v>
      </c>
      <c r="O16" s="8">
        <f t="shared" si="4"/>
        <v>53.09</v>
      </c>
      <c r="P16" s="136">
        <f t="shared" si="5"/>
        <v>39</v>
      </c>
      <c r="Q16" s="8">
        <f t="shared" si="6"/>
        <v>39</v>
      </c>
      <c r="R16" s="9"/>
      <c r="S16" s="8" t="str">
        <f t="shared" si="7"/>
        <v>2018</v>
      </c>
      <c r="T16" s="137" t="str">
        <f t="shared" si="8"/>
        <v>104</v>
      </c>
      <c r="U16" s="8" t="b">
        <f t="shared" si="9"/>
        <v>1</v>
      </c>
      <c r="V16" s="8" t="str">
        <f t="shared" si="10"/>
        <v>C</v>
      </c>
      <c r="W16" s="8" t="str">
        <f t="shared" si="11"/>
        <v>C0</v>
      </c>
      <c r="AA16" s="34"/>
      <c r="AM16" s="178"/>
      <c r="AN16" s="180"/>
      <c r="AO16" s="70" t="s">
        <v>88</v>
      </c>
      <c r="AP16" s="85">
        <f>SUMIFS($O$2:$O$54,$B$2:$B$54,"="&amp;$AN15,$T$2:$T$54,"="&amp;$AM$15,$W$2:$W$54,"="&amp;AP$2)</f>
        <v>0</v>
      </c>
      <c r="AQ16" s="71">
        <f t="shared" ref="AQ16:AX16" si="60">SUMIFS($O$2:$O$54,$B$2:$B$54,"="&amp;$AN15,$T$2:$T$54,"="&amp;$AM$15,$W$2:$W$54,"="&amp;AQ$2)</f>
        <v>0</v>
      </c>
      <c r="AR16" s="71">
        <f t="shared" si="60"/>
        <v>0</v>
      </c>
      <c r="AS16" s="71">
        <f t="shared" si="60"/>
        <v>0</v>
      </c>
      <c r="AT16" s="71">
        <f t="shared" si="60"/>
        <v>0</v>
      </c>
      <c r="AU16" s="71">
        <f t="shared" si="60"/>
        <v>0</v>
      </c>
      <c r="AV16" s="71">
        <f t="shared" si="60"/>
        <v>0</v>
      </c>
      <c r="AW16" s="71">
        <f t="shared" si="60"/>
        <v>0</v>
      </c>
      <c r="AX16" s="70">
        <f t="shared" si="60"/>
        <v>0</v>
      </c>
      <c r="BD16" s="199"/>
      <c r="BE16" s="99">
        <v>2</v>
      </c>
      <c r="BF16" s="119">
        <f t="shared" ref="BF16:BF18" si="61">_xlfn.MAXIFS($O$2:$O$54,$T$2:$T$54,"="&amp;$BD$15,$B$2:$B$54,"="&amp;$BE16)</f>
        <v>68.099999999999994</v>
      </c>
      <c r="BG16" s="99">
        <f t="shared" ref="BG16:BG18" si="62">_xlfn.MINIFS($O$2:$O$54,$T$2:$T$54,"="&amp;$BD$15,$B$2:$B$54,"="&amp;$BE16)</f>
        <v>30.02</v>
      </c>
      <c r="BI16" s="198">
        <v>104</v>
      </c>
      <c r="BJ16" s="104">
        <v>1</v>
      </c>
      <c r="BK16" s="105">
        <f>_xlfn.MAXIFS($O$2:$O$54,$T$2:$T$54,"="&amp;$BI$16,$B$2:$B$54,"="&amp;$BJ16,$S$2:$S$54,"="&amp;BK$2)</f>
        <v>53.09</v>
      </c>
      <c r="BL16" s="104">
        <f>_xlfn.MINIFS($O$2:$O$54,$T$2:$T$54,"="&amp;$BI$16,$B$2:$B$54,"="&amp;$BJ16,$S$2:$S$54,"="&amp;BK$2)</f>
        <v>53.09</v>
      </c>
      <c r="BM16" s="105">
        <f t="shared" ref="BM16:BM19" si="63">_xlfn.MAXIFS($O$2:$O$54,$T$2:$T$54,"="&amp;$BI$16,$B$2:$B$54,"="&amp;$BJ16,$S$2:$S$54,"="&amp;BM$2)</f>
        <v>0</v>
      </c>
      <c r="BN16" s="104">
        <f t="shared" ref="BN16:BN19" si="64">_xlfn.MINIFS($O$2:$O$54,$T$2:$T$54,"="&amp;$BI$16,$B$2:$B$54,"="&amp;$BJ16,$S$2:$S$54,"="&amp;BM$2)</f>
        <v>0</v>
      </c>
      <c r="BO16" s="105">
        <f t="shared" ref="BO16:BO19" si="65">_xlfn.MAXIFS($O$2:$O$54,$T$2:$T$54,"="&amp;$BI$16,$B$2:$B$54,"="&amp;$BJ16,$S$2:$S$54,"="&amp;BO$2)</f>
        <v>0</v>
      </c>
      <c r="BP16" s="104">
        <f t="shared" ref="BP16:BP19" si="66">_xlfn.MINIFS($O$2:$O$54,$T$2:$T$54,"="&amp;$BI$16,$B$2:$B$54,"="&amp;$BJ16,$S$2:$S$54,"="&amp;BO$2)</f>
        <v>0</v>
      </c>
      <c r="BQ16" s="105">
        <f t="shared" ref="BQ16:BQ19" si="67">_xlfn.MAXIFS($O$2:$O$54,$T$2:$T$54,"="&amp;$BI$16,$B$2:$B$54,"="&amp;$BJ16,$S$2:$S$54,"="&amp;BQ$2)</f>
        <v>0</v>
      </c>
      <c r="BR16" s="104">
        <f t="shared" ref="BR16:BR19" si="68">_xlfn.MINIFS($O$2:$O$54,$T$2:$T$54,"="&amp;$BI$16,$B$2:$B$54,"="&amp;$BJ16,$S$2:$S$54,"="&amp;BQ$2)</f>
        <v>0</v>
      </c>
    </row>
    <row r="17" spans="1:70" ht="20.100000000000001" customHeight="1" thickTop="1" x14ac:dyDescent="0.3">
      <c r="A17" s="138">
        <v>32</v>
      </c>
      <c r="B17" s="141">
        <v>4</v>
      </c>
      <c r="C17" s="143">
        <v>201610162</v>
      </c>
      <c r="D17" s="132" t="str">
        <f t="shared" si="0"/>
        <v>컴퓨터학과</v>
      </c>
      <c r="E17" s="141" t="s">
        <v>42</v>
      </c>
      <c r="F17" s="141">
        <v>111</v>
      </c>
      <c r="G17" s="134">
        <f t="shared" si="1"/>
        <v>55.5</v>
      </c>
      <c r="H17" s="141">
        <v>52</v>
      </c>
      <c r="I17" s="134">
        <f t="shared" si="2"/>
        <v>47.27</v>
      </c>
      <c r="J17" s="141">
        <v>96.67</v>
      </c>
      <c r="K17" s="141">
        <v>23</v>
      </c>
      <c r="L17" s="134">
        <f t="shared" si="3"/>
        <v>20.91</v>
      </c>
      <c r="M17" s="141">
        <v>59</v>
      </c>
      <c r="N17" s="142">
        <v>70</v>
      </c>
      <c r="O17" s="8">
        <f t="shared" si="4"/>
        <v>54.35</v>
      </c>
      <c r="P17" s="136">
        <f t="shared" si="5"/>
        <v>38</v>
      </c>
      <c r="Q17" s="8">
        <f t="shared" si="6"/>
        <v>38</v>
      </c>
      <c r="R17" s="9"/>
      <c r="S17" s="8" t="str">
        <f t="shared" si="7"/>
        <v>2016</v>
      </c>
      <c r="T17" s="137" t="str">
        <f t="shared" si="8"/>
        <v>101</v>
      </c>
      <c r="U17" s="8" t="b">
        <f t="shared" si="9"/>
        <v>1</v>
      </c>
      <c r="V17" s="8" t="str">
        <f t="shared" si="10"/>
        <v>C</v>
      </c>
      <c r="W17" s="8" t="str">
        <f t="shared" si="11"/>
        <v>C0</v>
      </c>
      <c r="AA17" s="201" t="s">
        <v>105</v>
      </c>
      <c r="AB17" s="35">
        <v>101</v>
      </c>
      <c r="AC17" s="35">
        <v>102</v>
      </c>
      <c r="AD17" s="36">
        <v>103</v>
      </c>
      <c r="AE17" s="36">
        <v>104</v>
      </c>
      <c r="AF17" s="155">
        <v>105</v>
      </c>
      <c r="AM17" s="178"/>
      <c r="AN17" s="181"/>
      <c r="AO17" s="72" t="s">
        <v>89</v>
      </c>
      <c r="AP17" s="87" t="str">
        <f>IFERROR(ROUND(AVERAGEIFS($O$2:$O$54,$B$2:$B$54,"="&amp;$AN15,$T$2:$T$54,"="&amp;$AM$15,$W$2:$W$54,"="&amp;AP$2),2),"-")</f>
        <v>-</v>
      </c>
      <c r="AQ17" s="75" t="str">
        <f t="shared" ref="AQ17:AX17" si="69">IFERROR(ROUND(AVERAGEIFS($O$2:$O$54,$B$2:$B$54,"="&amp;$AN15,$T$2:$T$54,"="&amp;$AM$15,$W$2:$W$54,"="&amp;AQ$2),2),"-")</f>
        <v>-</v>
      </c>
      <c r="AR17" s="75" t="str">
        <f t="shared" si="69"/>
        <v>-</v>
      </c>
      <c r="AS17" s="75" t="str">
        <f t="shared" si="69"/>
        <v>-</v>
      </c>
      <c r="AT17" s="75" t="str">
        <f t="shared" si="69"/>
        <v>-</v>
      </c>
      <c r="AU17" s="75" t="str">
        <f t="shared" si="69"/>
        <v>-</v>
      </c>
      <c r="AV17" s="75" t="str">
        <f t="shared" si="69"/>
        <v>-</v>
      </c>
      <c r="AW17" s="75" t="str">
        <f t="shared" si="69"/>
        <v>-</v>
      </c>
      <c r="AX17" s="74" t="str">
        <f t="shared" si="69"/>
        <v>-</v>
      </c>
      <c r="BD17" s="199"/>
      <c r="BE17" s="99">
        <v>3</v>
      </c>
      <c r="BF17" s="119">
        <f t="shared" si="61"/>
        <v>82.26</v>
      </c>
      <c r="BG17" s="99">
        <f t="shared" si="62"/>
        <v>82.26</v>
      </c>
      <c r="BI17" s="199"/>
      <c r="BJ17" s="99">
        <v>2</v>
      </c>
      <c r="BK17" s="96">
        <f t="shared" ref="BK17:BK19" si="70">_xlfn.MAXIFS($O$2:$O$54,$T$2:$T$54,"="&amp;$BI$16,$B$2:$B$54,"="&amp;$BJ17,$S$2:$S$54,"="&amp;BK$2)</f>
        <v>43.09</v>
      </c>
      <c r="BL17" s="97">
        <f t="shared" ref="BL17:BL19" si="71">_xlfn.MINIFS($O$2:$O$54,$T$2:$T$54,"="&amp;$BI$16,$B$2:$B$54,"="&amp;$BJ17,$S$2:$S$54,"="&amp;BK$2)</f>
        <v>30.02</v>
      </c>
      <c r="BM17" s="96">
        <f t="shared" si="63"/>
        <v>68.099999999999994</v>
      </c>
      <c r="BN17" s="97">
        <f t="shared" si="64"/>
        <v>68.099999999999994</v>
      </c>
      <c r="BO17" s="96">
        <f t="shared" si="65"/>
        <v>0</v>
      </c>
      <c r="BP17" s="97">
        <f t="shared" si="66"/>
        <v>0</v>
      </c>
      <c r="BQ17" s="96">
        <f t="shared" si="67"/>
        <v>0</v>
      </c>
      <c r="BR17" s="97">
        <f t="shared" si="68"/>
        <v>0</v>
      </c>
    </row>
    <row r="18" spans="1:70" ht="20.100000000000001" customHeight="1" thickBot="1" x14ac:dyDescent="0.35">
      <c r="A18" s="138">
        <v>7</v>
      </c>
      <c r="B18" s="139">
        <v>4</v>
      </c>
      <c r="C18" s="139">
        <v>201610179</v>
      </c>
      <c r="D18" s="132" t="str">
        <f t="shared" si="0"/>
        <v>컴퓨터학과</v>
      </c>
      <c r="E18" s="140" t="s">
        <v>17</v>
      </c>
      <c r="F18" s="141">
        <v>120</v>
      </c>
      <c r="G18" s="134">
        <f t="shared" si="1"/>
        <v>60</v>
      </c>
      <c r="H18" s="141">
        <v>47</v>
      </c>
      <c r="I18" s="134">
        <f t="shared" si="2"/>
        <v>42.73</v>
      </c>
      <c r="J18" s="141">
        <v>88.89</v>
      </c>
      <c r="K18" s="141">
        <v>59</v>
      </c>
      <c r="L18" s="134">
        <f t="shared" si="3"/>
        <v>53.64</v>
      </c>
      <c r="M18" s="141">
        <v>51</v>
      </c>
      <c r="N18" s="142">
        <v>60</v>
      </c>
      <c r="O18" s="8">
        <f t="shared" si="4"/>
        <v>55.31</v>
      </c>
      <c r="P18" s="136">
        <f t="shared" si="5"/>
        <v>37</v>
      </c>
      <c r="Q18" s="8">
        <f t="shared" si="6"/>
        <v>37</v>
      </c>
      <c r="R18" s="9"/>
      <c r="S18" s="8" t="str">
        <f t="shared" si="7"/>
        <v>2016</v>
      </c>
      <c r="T18" s="137" t="str">
        <f t="shared" si="8"/>
        <v>101</v>
      </c>
      <c r="U18" s="8" t="b">
        <f t="shared" si="9"/>
        <v>1</v>
      </c>
      <c r="V18" s="8" t="str">
        <f t="shared" si="10"/>
        <v>C</v>
      </c>
      <c r="W18" s="8" t="str">
        <f t="shared" si="11"/>
        <v>C+</v>
      </c>
      <c r="AA18" s="202"/>
      <c r="AB18" s="37" t="s">
        <v>75</v>
      </c>
      <c r="AC18" s="37" t="s">
        <v>76</v>
      </c>
      <c r="AD18" s="38" t="s">
        <v>77</v>
      </c>
      <c r="AE18" s="38" t="s">
        <v>78</v>
      </c>
      <c r="AF18" s="39" t="s">
        <v>79</v>
      </c>
      <c r="AM18" s="178"/>
      <c r="AN18" s="182">
        <v>2</v>
      </c>
      <c r="AO18" s="76" t="s">
        <v>95</v>
      </c>
      <c r="AP18" s="88">
        <f t="shared" ref="AP18:AX24" si="72">COUNTIFS($B$2:$B$54,"="&amp;$AN18,$T$2:$T$54,"="&amp;$AM$15,$W$2:$W$54,"="&amp;AP$2)</f>
        <v>0</v>
      </c>
      <c r="AQ18" s="77">
        <f t="shared" si="72"/>
        <v>2</v>
      </c>
      <c r="AR18" s="77">
        <f t="shared" si="72"/>
        <v>0</v>
      </c>
      <c r="AS18" s="77">
        <f t="shared" si="72"/>
        <v>2</v>
      </c>
      <c r="AT18" s="77">
        <f t="shared" si="72"/>
        <v>1</v>
      </c>
      <c r="AU18" s="77">
        <f t="shared" si="72"/>
        <v>0</v>
      </c>
      <c r="AV18" s="77">
        <f t="shared" si="72"/>
        <v>0</v>
      </c>
      <c r="AW18" s="77">
        <f t="shared" si="72"/>
        <v>1</v>
      </c>
      <c r="AX18" s="76">
        <f t="shared" si="72"/>
        <v>0</v>
      </c>
      <c r="BD18" s="200"/>
      <c r="BE18" s="106">
        <v>4</v>
      </c>
      <c r="BF18" s="121">
        <f t="shared" si="61"/>
        <v>64.66</v>
      </c>
      <c r="BG18" s="106">
        <f t="shared" si="62"/>
        <v>48.16</v>
      </c>
      <c r="BI18" s="199"/>
      <c r="BJ18" s="99">
        <v>3</v>
      </c>
      <c r="BK18" s="96">
        <f t="shared" si="70"/>
        <v>0</v>
      </c>
      <c r="BL18" s="97">
        <f t="shared" si="71"/>
        <v>0</v>
      </c>
      <c r="BM18" s="96">
        <f t="shared" si="63"/>
        <v>82.26</v>
      </c>
      <c r="BN18" s="97">
        <f t="shared" si="64"/>
        <v>82.26</v>
      </c>
      <c r="BO18" s="96">
        <f t="shared" si="65"/>
        <v>0</v>
      </c>
      <c r="BP18" s="97">
        <f t="shared" si="66"/>
        <v>0</v>
      </c>
      <c r="BQ18" s="96">
        <f t="shared" si="67"/>
        <v>0</v>
      </c>
      <c r="BR18" s="97">
        <f t="shared" si="68"/>
        <v>0</v>
      </c>
    </row>
    <row r="19" spans="1:70" ht="20.100000000000001" customHeight="1" thickTop="1" thickBot="1" x14ac:dyDescent="0.35">
      <c r="A19" s="138">
        <v>23</v>
      </c>
      <c r="B19" s="139">
        <v>3</v>
      </c>
      <c r="C19" s="139">
        <v>201610124</v>
      </c>
      <c r="D19" s="132" t="str">
        <f t="shared" si="0"/>
        <v>컴퓨터학과</v>
      </c>
      <c r="E19" s="140" t="s">
        <v>32</v>
      </c>
      <c r="F19" s="141">
        <v>111</v>
      </c>
      <c r="G19" s="134">
        <f t="shared" si="1"/>
        <v>55.5</v>
      </c>
      <c r="H19" s="141">
        <v>60</v>
      </c>
      <c r="I19" s="134">
        <f t="shared" si="2"/>
        <v>54.55</v>
      </c>
      <c r="J19" s="141">
        <v>94.44</v>
      </c>
      <c r="K19" s="141">
        <v>47</v>
      </c>
      <c r="L19" s="134">
        <f t="shared" si="3"/>
        <v>42.73</v>
      </c>
      <c r="M19" s="141">
        <v>30</v>
      </c>
      <c r="N19" s="142">
        <v>80</v>
      </c>
      <c r="O19" s="8">
        <f t="shared" si="4"/>
        <v>56.46</v>
      </c>
      <c r="P19" s="136">
        <f t="shared" si="5"/>
        <v>36</v>
      </c>
      <c r="Q19" s="8">
        <f t="shared" si="6"/>
        <v>36</v>
      </c>
      <c r="R19" s="9"/>
      <c r="S19" s="8" t="str">
        <f t="shared" si="7"/>
        <v>2016</v>
      </c>
      <c r="T19" s="137" t="str">
        <f t="shared" si="8"/>
        <v>101</v>
      </c>
      <c r="U19" s="8" t="b">
        <f t="shared" si="9"/>
        <v>1</v>
      </c>
      <c r="V19" s="8" t="str">
        <f t="shared" si="10"/>
        <v>C</v>
      </c>
      <c r="W19" s="8" t="str">
        <f t="shared" si="11"/>
        <v>C+</v>
      </c>
      <c r="AA19" s="44" t="s">
        <v>97</v>
      </c>
      <c r="AB19" s="157">
        <f>COUNTIFS($T$2:$T$54,"="&amp;AB$17, $W$2:$W$54,"="&amp;$AA19)</f>
        <v>1</v>
      </c>
      <c r="AC19" s="35">
        <f t="shared" ref="AC19:AF27" si="73">COUNTIFS($T$2:$T$54,"="&amp;AC$17, $W$2:$W$54,"="&amp;$AA19)</f>
        <v>0</v>
      </c>
      <c r="AD19" s="35">
        <f t="shared" si="73"/>
        <v>1</v>
      </c>
      <c r="AE19" s="35">
        <f t="shared" si="73"/>
        <v>0</v>
      </c>
      <c r="AF19" s="47">
        <f t="shared" si="73"/>
        <v>1</v>
      </c>
      <c r="AM19" s="178"/>
      <c r="AN19" s="180"/>
      <c r="AO19" s="70" t="s">
        <v>88</v>
      </c>
      <c r="AP19" s="85">
        <f t="shared" ref="AP19:AX19" si="74">SUMIFS($O$2:$O$54,$B$2:$B$54,"="&amp;$AN18,$T$2:$T$54,"="&amp;$AM$15,$W$2:$W$54,"="&amp;AP$2)</f>
        <v>0</v>
      </c>
      <c r="AQ19" s="71">
        <f t="shared" si="74"/>
        <v>149.42000000000002</v>
      </c>
      <c r="AR19" s="71">
        <f t="shared" si="74"/>
        <v>0</v>
      </c>
      <c r="AS19" s="71">
        <f t="shared" si="74"/>
        <v>133.43</v>
      </c>
      <c r="AT19" s="71">
        <f t="shared" si="74"/>
        <v>56.97</v>
      </c>
      <c r="AU19" s="71">
        <f t="shared" si="74"/>
        <v>0</v>
      </c>
      <c r="AV19" s="71">
        <f t="shared" si="74"/>
        <v>0</v>
      </c>
      <c r="AW19" s="71">
        <f t="shared" si="74"/>
        <v>39.770000000000003</v>
      </c>
      <c r="AX19" s="70">
        <f t="shared" si="74"/>
        <v>0</v>
      </c>
      <c r="BD19" s="199">
        <v>105</v>
      </c>
      <c r="BE19" s="97">
        <v>1</v>
      </c>
      <c r="BF19" s="115">
        <f>_xlfn.MAXIFS($O$2:$O$54,$T$2:$T$54,"="&amp;$BD$19,$B$2:$B$54,"="&amp;$BE19)</f>
        <v>72.69</v>
      </c>
      <c r="BG19" s="97">
        <f>_xlfn.MINIFS($O$2:$O$54,$T$2:$T$54,"="&amp;$BD$19,$B$2:$B$54,"="&amp;$BE19)</f>
        <v>28.25</v>
      </c>
      <c r="BI19" s="200"/>
      <c r="BJ19" s="106">
        <v>4</v>
      </c>
      <c r="BK19" s="125">
        <f t="shared" si="70"/>
        <v>0</v>
      </c>
      <c r="BL19" s="126">
        <f t="shared" si="71"/>
        <v>0</v>
      </c>
      <c r="BM19" s="125">
        <f t="shared" si="63"/>
        <v>0</v>
      </c>
      <c r="BN19" s="126">
        <f t="shared" si="64"/>
        <v>0</v>
      </c>
      <c r="BO19" s="125">
        <f t="shared" si="65"/>
        <v>0</v>
      </c>
      <c r="BP19" s="126">
        <f t="shared" si="66"/>
        <v>0</v>
      </c>
      <c r="BQ19" s="125">
        <f t="shared" si="67"/>
        <v>64.66</v>
      </c>
      <c r="BR19" s="126">
        <f t="shared" si="68"/>
        <v>48.16</v>
      </c>
    </row>
    <row r="20" spans="1:70" ht="20.100000000000001" customHeight="1" thickTop="1" x14ac:dyDescent="0.3">
      <c r="A20" s="138">
        <v>46</v>
      </c>
      <c r="B20" s="141">
        <v>2</v>
      </c>
      <c r="C20" s="143">
        <v>201710226</v>
      </c>
      <c r="D20" s="132" t="str">
        <f t="shared" si="0"/>
        <v>보안학과</v>
      </c>
      <c r="E20" s="141" t="s">
        <v>56</v>
      </c>
      <c r="F20" s="141">
        <v>105</v>
      </c>
      <c r="G20" s="134">
        <f t="shared" si="1"/>
        <v>52.5</v>
      </c>
      <c r="H20" s="141">
        <v>57</v>
      </c>
      <c r="I20" s="134">
        <f t="shared" si="2"/>
        <v>51.82</v>
      </c>
      <c r="J20" s="141">
        <v>97.78</v>
      </c>
      <c r="K20" s="141">
        <v>33</v>
      </c>
      <c r="L20" s="134">
        <f t="shared" si="3"/>
        <v>30</v>
      </c>
      <c r="M20" s="141">
        <v>53</v>
      </c>
      <c r="N20" s="142">
        <v>100</v>
      </c>
      <c r="O20" s="8">
        <f t="shared" si="4"/>
        <v>56.97</v>
      </c>
      <c r="P20" s="136">
        <f t="shared" si="5"/>
        <v>35</v>
      </c>
      <c r="Q20" s="8">
        <f t="shared" si="6"/>
        <v>35</v>
      </c>
      <c r="R20" s="9"/>
      <c r="S20" s="8" t="str">
        <f t="shared" si="7"/>
        <v>2017</v>
      </c>
      <c r="T20" s="137" t="str">
        <f t="shared" si="8"/>
        <v>102</v>
      </c>
      <c r="U20" s="8" t="b">
        <f t="shared" si="9"/>
        <v>1</v>
      </c>
      <c r="V20" s="8" t="str">
        <f t="shared" si="10"/>
        <v>C</v>
      </c>
      <c r="W20" s="8" t="str">
        <f t="shared" si="11"/>
        <v>C+</v>
      </c>
      <c r="AA20" s="45" t="s">
        <v>98</v>
      </c>
      <c r="AB20" s="40">
        <f t="shared" ref="AB20:AB27" si="75">COUNTIFS($T$2:$T$54,"="&amp;AB$17, $W$2:$W$54,"="&amp;$AA20)</f>
        <v>4</v>
      </c>
      <c r="AC20" s="41">
        <f t="shared" si="73"/>
        <v>2</v>
      </c>
      <c r="AD20" s="41">
        <f t="shared" si="73"/>
        <v>2</v>
      </c>
      <c r="AE20" s="41">
        <f t="shared" si="73"/>
        <v>0</v>
      </c>
      <c r="AF20" s="48">
        <f t="shared" si="73"/>
        <v>3</v>
      </c>
      <c r="AM20" s="178"/>
      <c r="AN20" s="181"/>
      <c r="AO20" s="72" t="s">
        <v>89</v>
      </c>
      <c r="AP20" s="86" t="str">
        <f t="shared" ref="AP20:AX20" si="76">IFERROR(ROUND(AVERAGEIFS($O$2:$O$54,$B$2:$B$54,"="&amp;$AN18,$T$2:$T$54,"="&amp;$AM$15,$W$2:$W$54,"="&amp;AP$2),2),"-")</f>
        <v>-</v>
      </c>
      <c r="AQ20" s="73">
        <f t="shared" si="76"/>
        <v>74.709999999999994</v>
      </c>
      <c r="AR20" s="73" t="str">
        <f t="shared" si="76"/>
        <v>-</v>
      </c>
      <c r="AS20" s="73">
        <f t="shared" si="76"/>
        <v>66.72</v>
      </c>
      <c r="AT20" s="73">
        <f t="shared" si="76"/>
        <v>56.97</v>
      </c>
      <c r="AU20" s="73" t="str">
        <f t="shared" si="76"/>
        <v>-</v>
      </c>
      <c r="AV20" s="73" t="str">
        <f t="shared" si="76"/>
        <v>-</v>
      </c>
      <c r="AW20" s="73">
        <f t="shared" si="76"/>
        <v>39.770000000000003</v>
      </c>
      <c r="AX20" s="72" t="str">
        <f t="shared" si="76"/>
        <v>-</v>
      </c>
      <c r="BD20" s="199"/>
      <c r="BE20" s="99">
        <v>2</v>
      </c>
      <c r="BF20" s="119">
        <f t="shared" ref="BF20:BF22" si="77">_xlfn.MAXIFS($O$2:$O$54,$T$2:$T$54,"="&amp;$BD$19,$B$2:$B$54,"="&amp;$BE20)</f>
        <v>87.02</v>
      </c>
      <c r="BG20" s="99">
        <f t="shared" ref="BG20:BG22" si="78">_xlfn.MINIFS($O$2:$O$54,$T$2:$T$54,"="&amp;$BD$19,$B$2:$B$54,"="&amp;$BE20)</f>
        <v>43.86</v>
      </c>
      <c r="BI20" s="199">
        <v>105</v>
      </c>
      <c r="BJ20" s="97">
        <v>1</v>
      </c>
      <c r="BK20" s="115">
        <f>_xlfn.MAXIFS($O$2:$O$54,$T$2:$T$54,"="&amp;$BI$20,$B$2:$B$54,"="&amp;$BJ20,$S$2:$S$54,"="&amp;BK$2)</f>
        <v>72.69</v>
      </c>
      <c r="BL20" s="97">
        <f>_xlfn.MINIFS($O$2:$O$54,$T$2:$T$54,"="&amp;$BI$20,$B$2:$B$54,"="&amp;$BJ20,$S$2:$S$54,"="&amp;BK$2)</f>
        <v>72.69</v>
      </c>
      <c r="BM20" s="96">
        <f t="shared" ref="BM20:BM23" si="79">_xlfn.MAXIFS($O$2:$O$54,$T$2:$T$54,"="&amp;$BI$20,$B$2:$B$54,"="&amp;$BJ20,$S$2:$S$54,"="&amp;BM$2)</f>
        <v>28.25</v>
      </c>
      <c r="BN20" s="97">
        <f t="shared" ref="BN20:BN23" si="80">_xlfn.MINIFS($O$2:$O$54,$T$2:$T$54,"="&amp;$BI$20,$B$2:$B$54,"="&amp;$BJ20,$S$2:$S$54,"="&amp;BM$2)</f>
        <v>28.25</v>
      </c>
      <c r="BO20" s="96">
        <f t="shared" ref="BO20:BO23" si="81">_xlfn.MAXIFS($O$2:$O$54,$T$2:$T$54,"="&amp;$BI$20,$B$2:$B$54,"="&amp;$BJ20,$S$2:$S$54,"="&amp;BO$2)</f>
        <v>0</v>
      </c>
      <c r="BP20" s="97">
        <f t="shared" ref="BP20:BP23" si="82">_xlfn.MINIFS($O$2:$O$54,$T$2:$T$54,"="&amp;$BI$20,$B$2:$B$54,"="&amp;$BJ20,$S$2:$S$54,"="&amp;BO$2)</f>
        <v>0</v>
      </c>
      <c r="BQ20" s="96">
        <f t="shared" ref="BQ20:BQ23" si="83">_xlfn.MAXIFS($O$2:$O$54,$T$2:$T$54,"="&amp;$BI$20,$B$2:$B$54,"="&amp;$BJ20,$S$2:$S$54,"="&amp;BQ$2)</f>
        <v>0</v>
      </c>
      <c r="BR20" s="97">
        <f t="shared" ref="BR20:BR23" si="84">_xlfn.MINIFS($O$2:$O$54,$T$2:$T$54,"="&amp;$BI$20,$B$2:$B$54,"="&amp;$BJ20,$S$2:$S$54,"="&amp;BQ$2)</f>
        <v>0</v>
      </c>
    </row>
    <row r="21" spans="1:70" ht="20.100000000000001" customHeight="1" x14ac:dyDescent="0.3">
      <c r="A21" s="138">
        <v>22</v>
      </c>
      <c r="B21" s="139">
        <v>2</v>
      </c>
      <c r="C21" s="139">
        <v>201810321</v>
      </c>
      <c r="D21" s="132" t="str">
        <f t="shared" si="0"/>
        <v>전자학과</v>
      </c>
      <c r="E21" s="140" t="s">
        <v>31</v>
      </c>
      <c r="F21" s="141">
        <v>131</v>
      </c>
      <c r="G21" s="134">
        <f t="shared" si="1"/>
        <v>65.5</v>
      </c>
      <c r="H21" s="141">
        <v>56</v>
      </c>
      <c r="I21" s="134">
        <f t="shared" si="2"/>
        <v>50.91</v>
      </c>
      <c r="J21" s="141">
        <v>94.44</v>
      </c>
      <c r="K21" s="141">
        <v>47</v>
      </c>
      <c r="L21" s="134">
        <f t="shared" si="3"/>
        <v>42.73</v>
      </c>
      <c r="M21" s="141">
        <v>48</v>
      </c>
      <c r="N21" s="142">
        <v>80</v>
      </c>
      <c r="O21" s="8">
        <f t="shared" si="4"/>
        <v>59.99</v>
      </c>
      <c r="P21" s="136">
        <f t="shared" si="5"/>
        <v>34</v>
      </c>
      <c r="Q21" s="8">
        <f t="shared" si="6"/>
        <v>34</v>
      </c>
      <c r="R21" s="9"/>
      <c r="S21" s="8" t="str">
        <f t="shared" si="7"/>
        <v>2018</v>
      </c>
      <c r="T21" s="137" t="str">
        <f t="shared" si="8"/>
        <v>103</v>
      </c>
      <c r="U21" s="8" t="b">
        <f t="shared" si="9"/>
        <v>1</v>
      </c>
      <c r="V21" s="8" t="str">
        <f t="shared" si="10"/>
        <v>C</v>
      </c>
      <c r="W21" s="8" t="str">
        <f t="shared" si="11"/>
        <v>C+</v>
      </c>
      <c r="AA21" s="45" t="s">
        <v>99</v>
      </c>
      <c r="AB21" s="40">
        <f t="shared" si="75"/>
        <v>2</v>
      </c>
      <c r="AC21" s="41">
        <f t="shared" si="73"/>
        <v>3</v>
      </c>
      <c r="AD21" s="41">
        <f t="shared" si="73"/>
        <v>1</v>
      </c>
      <c r="AE21" s="41">
        <f t="shared" si="73"/>
        <v>1</v>
      </c>
      <c r="AF21" s="48">
        <f t="shared" si="73"/>
        <v>2</v>
      </c>
      <c r="AM21" s="178"/>
      <c r="AN21" s="182">
        <v>3</v>
      </c>
      <c r="AO21" s="76" t="s">
        <v>95</v>
      </c>
      <c r="AP21" s="88">
        <f t="shared" ref="AP21" si="85">COUNTIFS($B$2:$B$54,"="&amp;$AN21,$T$2:$T$54,"="&amp;$AM$15,$W$2:$W$54,"="&amp;AP$2)</f>
        <v>0</v>
      </c>
      <c r="AQ21" s="77">
        <f t="shared" si="72"/>
        <v>0</v>
      </c>
      <c r="AR21" s="77">
        <f t="shared" si="72"/>
        <v>2</v>
      </c>
      <c r="AS21" s="77">
        <f t="shared" si="72"/>
        <v>0</v>
      </c>
      <c r="AT21" s="77">
        <f t="shared" si="72"/>
        <v>1</v>
      </c>
      <c r="AU21" s="77">
        <f t="shared" si="72"/>
        <v>0</v>
      </c>
      <c r="AV21" s="77">
        <f t="shared" si="72"/>
        <v>0</v>
      </c>
      <c r="AW21" s="77">
        <f t="shared" si="72"/>
        <v>0</v>
      </c>
      <c r="AX21" s="76">
        <f t="shared" si="72"/>
        <v>0</v>
      </c>
      <c r="BD21" s="199"/>
      <c r="BE21" s="99">
        <v>3</v>
      </c>
      <c r="BF21" s="119">
        <f t="shared" si="77"/>
        <v>68.150000000000006</v>
      </c>
      <c r="BG21" s="99">
        <f t="shared" si="78"/>
        <v>67.44</v>
      </c>
      <c r="BI21" s="199"/>
      <c r="BJ21" s="99">
        <v>2</v>
      </c>
      <c r="BK21" s="115">
        <f t="shared" ref="BK21:BK23" si="86">_xlfn.MAXIFS($O$2:$O$54,$T$2:$T$54,"="&amp;$BI$20,$B$2:$B$54,"="&amp;$BJ21,$S$2:$S$54,"="&amp;BK$2)</f>
        <v>87.02</v>
      </c>
      <c r="BL21" s="97">
        <f t="shared" ref="BL21:BL23" si="87">_xlfn.MINIFS($O$2:$O$54,$T$2:$T$54,"="&amp;$BI$20,$B$2:$B$54,"="&amp;$BJ21,$S$2:$S$54,"="&amp;BK$2)</f>
        <v>43.86</v>
      </c>
      <c r="BM21" s="96">
        <f t="shared" si="79"/>
        <v>0</v>
      </c>
      <c r="BN21" s="97">
        <f t="shared" si="80"/>
        <v>0</v>
      </c>
      <c r="BO21" s="96">
        <f t="shared" si="81"/>
        <v>70.52</v>
      </c>
      <c r="BP21" s="97">
        <f t="shared" si="82"/>
        <v>70.52</v>
      </c>
      <c r="BQ21" s="96">
        <f t="shared" si="83"/>
        <v>0</v>
      </c>
      <c r="BR21" s="97">
        <f t="shared" si="84"/>
        <v>0</v>
      </c>
    </row>
    <row r="22" spans="1:70" ht="20.100000000000001" customHeight="1" thickBot="1" x14ac:dyDescent="0.35">
      <c r="A22" s="138">
        <v>15</v>
      </c>
      <c r="B22" s="139">
        <v>3</v>
      </c>
      <c r="C22" s="139">
        <v>201610205</v>
      </c>
      <c r="D22" s="132" t="str">
        <f t="shared" si="0"/>
        <v>보안학과</v>
      </c>
      <c r="E22" s="140" t="s">
        <v>25</v>
      </c>
      <c r="F22" s="141">
        <v>108</v>
      </c>
      <c r="G22" s="134">
        <f t="shared" si="1"/>
        <v>54</v>
      </c>
      <c r="H22" s="141">
        <v>64</v>
      </c>
      <c r="I22" s="134">
        <f t="shared" si="2"/>
        <v>58.18</v>
      </c>
      <c r="J22" s="141">
        <v>100</v>
      </c>
      <c r="K22" s="141">
        <v>44</v>
      </c>
      <c r="L22" s="134">
        <f t="shared" si="3"/>
        <v>40</v>
      </c>
      <c r="M22" s="141">
        <v>48</v>
      </c>
      <c r="N22" s="142">
        <v>100</v>
      </c>
      <c r="O22" s="8">
        <f t="shared" si="4"/>
        <v>60.36</v>
      </c>
      <c r="P22" s="136">
        <f t="shared" si="5"/>
        <v>33</v>
      </c>
      <c r="Q22" s="8">
        <f t="shared" si="6"/>
        <v>33</v>
      </c>
      <c r="R22" s="9" t="s">
        <v>71</v>
      </c>
      <c r="S22" s="8" t="str">
        <f t="shared" si="7"/>
        <v>2016</v>
      </c>
      <c r="T22" s="137" t="str">
        <f t="shared" si="8"/>
        <v>102</v>
      </c>
      <c r="U22" s="8" t="b">
        <f t="shared" si="9"/>
        <v>0</v>
      </c>
      <c r="V22" s="8" t="str">
        <f t="shared" si="10"/>
        <v>C</v>
      </c>
      <c r="W22" s="8" t="str">
        <f t="shared" si="11"/>
        <v>C+</v>
      </c>
      <c r="AA22" s="45" t="s">
        <v>100</v>
      </c>
      <c r="AB22" s="40">
        <f t="shared" si="75"/>
        <v>0</v>
      </c>
      <c r="AC22" s="41">
        <f t="shared" si="73"/>
        <v>2</v>
      </c>
      <c r="AD22" s="41">
        <f t="shared" si="73"/>
        <v>2</v>
      </c>
      <c r="AE22" s="41">
        <f t="shared" si="73"/>
        <v>2</v>
      </c>
      <c r="AF22" s="48">
        <f t="shared" si="73"/>
        <v>2</v>
      </c>
      <c r="AM22" s="178"/>
      <c r="AN22" s="180"/>
      <c r="AO22" s="70" t="s">
        <v>88</v>
      </c>
      <c r="AP22" s="85">
        <f t="shared" ref="AP22:AX22" si="88">SUMIFS($O$2:$O$54,$B$2:$B$54,"="&amp;$AN21,$T$2:$T$54,"="&amp;$AM$15,$W$2:$W$54,"="&amp;AP$2)</f>
        <v>0</v>
      </c>
      <c r="AQ22" s="71">
        <f t="shared" si="88"/>
        <v>0</v>
      </c>
      <c r="AR22" s="71">
        <f t="shared" si="88"/>
        <v>142.27999999999997</v>
      </c>
      <c r="AS22" s="71">
        <f t="shared" si="88"/>
        <v>0</v>
      </c>
      <c r="AT22" s="71">
        <f t="shared" si="88"/>
        <v>60.36</v>
      </c>
      <c r="AU22" s="71">
        <f t="shared" si="88"/>
        <v>0</v>
      </c>
      <c r="AV22" s="71">
        <f t="shared" si="88"/>
        <v>0</v>
      </c>
      <c r="AW22" s="71">
        <f t="shared" si="88"/>
        <v>0</v>
      </c>
      <c r="AX22" s="70">
        <f t="shared" si="88"/>
        <v>0</v>
      </c>
      <c r="BD22" s="203"/>
      <c r="BE22" s="39">
        <v>4</v>
      </c>
      <c r="BF22" s="102">
        <f t="shared" si="77"/>
        <v>0</v>
      </c>
      <c r="BG22" s="39">
        <f t="shared" si="78"/>
        <v>0</v>
      </c>
      <c r="BI22" s="199"/>
      <c r="BJ22" s="99">
        <v>3</v>
      </c>
      <c r="BK22" s="115">
        <f t="shared" si="86"/>
        <v>0</v>
      </c>
      <c r="BL22" s="97">
        <f t="shared" si="87"/>
        <v>0</v>
      </c>
      <c r="BM22" s="96">
        <f t="shared" si="79"/>
        <v>0</v>
      </c>
      <c r="BN22" s="97">
        <f t="shared" si="80"/>
        <v>0</v>
      </c>
      <c r="BO22" s="96">
        <f t="shared" si="81"/>
        <v>0</v>
      </c>
      <c r="BP22" s="97">
        <f t="shared" si="82"/>
        <v>0</v>
      </c>
      <c r="BQ22" s="96">
        <f t="shared" si="83"/>
        <v>68.150000000000006</v>
      </c>
      <c r="BR22" s="97">
        <f t="shared" si="84"/>
        <v>67.44</v>
      </c>
    </row>
    <row r="23" spans="1:70" ht="20.100000000000001" customHeight="1" thickTop="1" thickBot="1" x14ac:dyDescent="0.35">
      <c r="A23" s="138">
        <v>11</v>
      </c>
      <c r="B23" s="139">
        <v>2</v>
      </c>
      <c r="C23" s="139">
        <v>201810189</v>
      </c>
      <c r="D23" s="132" t="str">
        <f t="shared" si="0"/>
        <v>컴퓨터학과</v>
      </c>
      <c r="E23" s="140" t="s">
        <v>21</v>
      </c>
      <c r="F23" s="141">
        <v>134</v>
      </c>
      <c r="G23" s="134">
        <f t="shared" si="1"/>
        <v>67</v>
      </c>
      <c r="H23" s="141">
        <v>62</v>
      </c>
      <c r="I23" s="134">
        <f t="shared" si="2"/>
        <v>56.36</v>
      </c>
      <c r="J23" s="141">
        <v>98.89</v>
      </c>
      <c r="K23" s="141">
        <v>46</v>
      </c>
      <c r="L23" s="134">
        <f t="shared" si="3"/>
        <v>41.82</v>
      </c>
      <c r="M23" s="141">
        <v>28</v>
      </c>
      <c r="N23" s="142">
        <v>80</v>
      </c>
      <c r="O23" s="8">
        <f t="shared" si="4"/>
        <v>60.7</v>
      </c>
      <c r="P23" s="136">
        <f t="shared" si="5"/>
        <v>32</v>
      </c>
      <c r="Q23" s="8">
        <f t="shared" si="6"/>
        <v>32</v>
      </c>
      <c r="R23" s="9"/>
      <c r="S23" s="8" t="str">
        <f t="shared" si="7"/>
        <v>2018</v>
      </c>
      <c r="T23" s="137" t="str">
        <f t="shared" si="8"/>
        <v>101</v>
      </c>
      <c r="U23" s="8" t="b">
        <f t="shared" si="9"/>
        <v>1</v>
      </c>
      <c r="V23" s="8" t="str">
        <f t="shared" si="10"/>
        <v>C</v>
      </c>
      <c r="W23" s="8" t="str">
        <f t="shared" si="11"/>
        <v>C+</v>
      </c>
      <c r="AA23" s="45" t="s">
        <v>101</v>
      </c>
      <c r="AB23" s="40">
        <f t="shared" si="75"/>
        <v>3</v>
      </c>
      <c r="AC23" s="41">
        <f t="shared" si="73"/>
        <v>2</v>
      </c>
      <c r="AD23" s="41">
        <f t="shared" si="73"/>
        <v>1</v>
      </c>
      <c r="AE23" s="41">
        <f t="shared" si="73"/>
        <v>0</v>
      </c>
      <c r="AF23" s="48">
        <f t="shared" si="73"/>
        <v>0</v>
      </c>
      <c r="AM23" s="178"/>
      <c r="AN23" s="181"/>
      <c r="AO23" s="72" t="s">
        <v>89</v>
      </c>
      <c r="AP23" s="86" t="str">
        <f t="shared" ref="AP23:AX23" si="89">IFERROR(ROUND(AVERAGEIFS($O$2:$O$54,$B$2:$B$54,"="&amp;$AN21,$T$2:$T$54,"="&amp;$AM$15,$W$2:$W$54,"="&amp;AP$2),2),"-")</f>
        <v>-</v>
      </c>
      <c r="AQ23" s="73" t="str">
        <f t="shared" si="89"/>
        <v>-</v>
      </c>
      <c r="AR23" s="73">
        <f t="shared" si="89"/>
        <v>71.14</v>
      </c>
      <c r="AS23" s="73" t="str">
        <f t="shared" si="89"/>
        <v>-</v>
      </c>
      <c r="AT23" s="73">
        <f t="shared" si="89"/>
        <v>60.36</v>
      </c>
      <c r="AU23" s="73" t="str">
        <f t="shared" si="89"/>
        <v>-</v>
      </c>
      <c r="AV23" s="73" t="str">
        <f t="shared" si="89"/>
        <v>-</v>
      </c>
      <c r="AW23" s="73" t="str">
        <f t="shared" si="89"/>
        <v>-</v>
      </c>
      <c r="AX23" s="72" t="str">
        <f t="shared" si="89"/>
        <v>-</v>
      </c>
      <c r="BI23" s="203"/>
      <c r="BJ23" s="39">
        <v>4</v>
      </c>
      <c r="BK23" s="152">
        <f t="shared" si="86"/>
        <v>0</v>
      </c>
      <c r="BL23" s="116">
        <f t="shared" si="87"/>
        <v>0</v>
      </c>
      <c r="BM23" s="122">
        <f t="shared" si="79"/>
        <v>0</v>
      </c>
      <c r="BN23" s="116">
        <f t="shared" si="80"/>
        <v>0</v>
      </c>
      <c r="BO23" s="122">
        <f t="shared" si="81"/>
        <v>0</v>
      </c>
      <c r="BP23" s="116">
        <f t="shared" si="82"/>
        <v>0</v>
      </c>
      <c r="BQ23" s="122">
        <f t="shared" si="83"/>
        <v>0</v>
      </c>
      <c r="BR23" s="116">
        <f t="shared" si="84"/>
        <v>0</v>
      </c>
    </row>
    <row r="24" spans="1:70" ht="20.100000000000001" customHeight="1" thickTop="1" x14ac:dyDescent="0.3">
      <c r="A24" s="138">
        <v>42</v>
      </c>
      <c r="B24" s="141">
        <v>4</v>
      </c>
      <c r="C24" s="143">
        <v>201510319</v>
      </c>
      <c r="D24" s="132" t="str">
        <f t="shared" si="0"/>
        <v>전자학과</v>
      </c>
      <c r="E24" s="141" t="s">
        <v>52</v>
      </c>
      <c r="F24" s="141">
        <v>86</v>
      </c>
      <c r="G24" s="134">
        <f t="shared" si="1"/>
        <v>43</v>
      </c>
      <c r="H24" s="141">
        <v>76</v>
      </c>
      <c r="I24" s="134">
        <f t="shared" si="2"/>
        <v>69.09</v>
      </c>
      <c r="J24" s="141">
        <v>98.89</v>
      </c>
      <c r="K24" s="141">
        <v>56</v>
      </c>
      <c r="L24" s="134">
        <f t="shared" si="3"/>
        <v>50.91</v>
      </c>
      <c r="M24" s="141">
        <v>58</v>
      </c>
      <c r="N24" s="142">
        <v>100</v>
      </c>
      <c r="O24" s="8">
        <f t="shared" si="4"/>
        <v>62.86</v>
      </c>
      <c r="P24" s="136">
        <f t="shared" si="5"/>
        <v>31</v>
      </c>
      <c r="Q24" s="8">
        <f t="shared" si="6"/>
        <v>31</v>
      </c>
      <c r="R24" s="9" t="s">
        <v>71</v>
      </c>
      <c r="S24" s="8" t="str">
        <f t="shared" si="7"/>
        <v>2015</v>
      </c>
      <c r="T24" s="137" t="str">
        <f t="shared" si="8"/>
        <v>103</v>
      </c>
      <c r="U24" s="8" t="b">
        <f t="shared" si="9"/>
        <v>1</v>
      </c>
      <c r="V24" s="8" t="str">
        <f t="shared" si="10"/>
        <v>B</v>
      </c>
      <c r="W24" s="8" t="str">
        <f t="shared" si="11"/>
        <v>B0</v>
      </c>
      <c r="AA24" s="45" t="s">
        <v>102</v>
      </c>
      <c r="AB24" s="40">
        <f t="shared" si="75"/>
        <v>2</v>
      </c>
      <c r="AC24" s="41">
        <f t="shared" si="73"/>
        <v>0</v>
      </c>
      <c r="AD24" s="41">
        <f t="shared" si="73"/>
        <v>1</v>
      </c>
      <c r="AE24" s="41">
        <f t="shared" si="73"/>
        <v>2</v>
      </c>
      <c r="AF24" s="48">
        <f t="shared" si="73"/>
        <v>0</v>
      </c>
      <c r="AM24" s="178"/>
      <c r="AN24" s="182">
        <v>4</v>
      </c>
      <c r="AO24" s="76" t="s">
        <v>95</v>
      </c>
      <c r="AP24" s="89">
        <f t="shared" ref="AP24" si="90">COUNTIFS($B$2:$B$54,"="&amp;$AN24,$T$2:$T$54,"="&amp;$AM$15,$W$2:$W$54,"="&amp;AP$2)</f>
        <v>0</v>
      </c>
      <c r="AQ24" s="79">
        <f t="shared" si="72"/>
        <v>0</v>
      </c>
      <c r="AR24" s="79">
        <f t="shared" si="72"/>
        <v>1</v>
      </c>
      <c r="AS24" s="79">
        <f t="shared" si="72"/>
        <v>0</v>
      </c>
      <c r="AT24" s="79">
        <f t="shared" si="72"/>
        <v>0</v>
      </c>
      <c r="AU24" s="79">
        <f t="shared" si="72"/>
        <v>0</v>
      </c>
      <c r="AV24" s="79">
        <f t="shared" si="72"/>
        <v>1</v>
      </c>
      <c r="AW24" s="79">
        <f t="shared" si="72"/>
        <v>0</v>
      </c>
      <c r="AX24" s="78">
        <f t="shared" si="72"/>
        <v>0</v>
      </c>
    </row>
    <row r="25" spans="1:70" ht="20.100000000000001" customHeight="1" x14ac:dyDescent="0.3">
      <c r="A25" s="138">
        <v>16</v>
      </c>
      <c r="B25" s="139">
        <v>2</v>
      </c>
      <c r="C25" s="139">
        <v>201710306</v>
      </c>
      <c r="D25" s="132" t="str">
        <f t="shared" si="0"/>
        <v>전자학과</v>
      </c>
      <c r="E25" s="140" t="s">
        <v>4</v>
      </c>
      <c r="F25" s="141">
        <v>134</v>
      </c>
      <c r="G25" s="134">
        <f t="shared" si="1"/>
        <v>67</v>
      </c>
      <c r="H25" s="141">
        <v>54</v>
      </c>
      <c r="I25" s="134">
        <f t="shared" si="2"/>
        <v>49.09</v>
      </c>
      <c r="J25" s="141">
        <v>100</v>
      </c>
      <c r="K25" s="141">
        <v>59</v>
      </c>
      <c r="L25" s="134">
        <f t="shared" si="3"/>
        <v>53.64</v>
      </c>
      <c r="M25" s="141">
        <v>63</v>
      </c>
      <c r="N25" s="142">
        <v>100</v>
      </c>
      <c r="O25" s="8">
        <f t="shared" si="4"/>
        <v>63.95</v>
      </c>
      <c r="P25" s="136">
        <f t="shared" si="5"/>
        <v>30</v>
      </c>
      <c r="Q25" s="8">
        <f t="shared" si="6"/>
        <v>30</v>
      </c>
      <c r="R25" s="9"/>
      <c r="S25" s="8" t="str">
        <f t="shared" si="7"/>
        <v>2017</v>
      </c>
      <c r="T25" s="137" t="str">
        <f t="shared" si="8"/>
        <v>103</v>
      </c>
      <c r="U25" s="8" t="b">
        <f t="shared" si="9"/>
        <v>1</v>
      </c>
      <c r="V25" s="8" t="str">
        <f t="shared" si="10"/>
        <v>B</v>
      </c>
      <c r="W25" s="8" t="str">
        <f t="shared" si="11"/>
        <v>B0</v>
      </c>
      <c r="AA25" s="45" t="s">
        <v>103</v>
      </c>
      <c r="AB25" s="40">
        <f t="shared" si="75"/>
        <v>0</v>
      </c>
      <c r="AC25" s="41">
        <f t="shared" si="73"/>
        <v>1</v>
      </c>
      <c r="AD25" s="41">
        <f t="shared" si="73"/>
        <v>0</v>
      </c>
      <c r="AE25" s="41">
        <f t="shared" si="73"/>
        <v>1</v>
      </c>
      <c r="AF25" s="48">
        <f t="shared" si="73"/>
        <v>1</v>
      </c>
      <c r="AM25" s="178"/>
      <c r="AN25" s="180"/>
      <c r="AO25" s="70" t="s">
        <v>88</v>
      </c>
      <c r="AP25" s="85">
        <f t="shared" ref="AP25:AX25" si="91">SUMIFS($O$2:$O$54,$B$2:$B$54,"="&amp;$AN24,$T$2:$T$54,"="&amp;$AM$15,$W$2:$W$54,"="&amp;AP$2)</f>
        <v>0</v>
      </c>
      <c r="AQ25" s="71">
        <f t="shared" si="91"/>
        <v>0</v>
      </c>
      <c r="AR25" s="71">
        <f t="shared" si="91"/>
        <v>68.88</v>
      </c>
      <c r="AS25" s="71">
        <f t="shared" si="91"/>
        <v>0</v>
      </c>
      <c r="AT25" s="71">
        <f t="shared" si="91"/>
        <v>0</v>
      </c>
      <c r="AU25" s="71">
        <f t="shared" si="91"/>
        <v>0</v>
      </c>
      <c r="AV25" s="71">
        <f t="shared" si="91"/>
        <v>44.88</v>
      </c>
      <c r="AW25" s="71">
        <f t="shared" si="91"/>
        <v>0</v>
      </c>
      <c r="AX25" s="70">
        <f t="shared" si="91"/>
        <v>0</v>
      </c>
    </row>
    <row r="26" spans="1:70" ht="20.100000000000001" customHeight="1" thickBot="1" x14ac:dyDescent="0.35">
      <c r="A26" s="138">
        <v>17</v>
      </c>
      <c r="B26" s="139">
        <v>4</v>
      </c>
      <c r="C26" s="139">
        <v>201510412</v>
      </c>
      <c r="D26" s="132" t="str">
        <f t="shared" si="0"/>
        <v>게임학과</v>
      </c>
      <c r="E26" s="140" t="s">
        <v>26</v>
      </c>
      <c r="F26" s="141">
        <v>141</v>
      </c>
      <c r="G26" s="134">
        <f t="shared" si="1"/>
        <v>70.5</v>
      </c>
      <c r="H26" s="141">
        <v>64</v>
      </c>
      <c r="I26" s="134">
        <f t="shared" si="2"/>
        <v>58.18</v>
      </c>
      <c r="J26" s="141">
        <v>100</v>
      </c>
      <c r="K26" s="141">
        <v>61</v>
      </c>
      <c r="L26" s="134">
        <f t="shared" si="3"/>
        <v>55.45</v>
      </c>
      <c r="M26" s="141">
        <v>26</v>
      </c>
      <c r="N26" s="142">
        <v>100</v>
      </c>
      <c r="O26" s="8">
        <f t="shared" si="4"/>
        <v>64.66</v>
      </c>
      <c r="P26" s="136">
        <f t="shared" si="5"/>
        <v>29</v>
      </c>
      <c r="Q26" s="8">
        <f t="shared" si="6"/>
        <v>29</v>
      </c>
      <c r="R26" s="9"/>
      <c r="S26" s="8" t="str">
        <f t="shared" si="7"/>
        <v>2015</v>
      </c>
      <c r="T26" s="137" t="str">
        <f t="shared" si="8"/>
        <v>104</v>
      </c>
      <c r="U26" s="8" t="b">
        <f t="shared" si="9"/>
        <v>1</v>
      </c>
      <c r="V26" s="8" t="str">
        <f t="shared" si="10"/>
        <v>B</v>
      </c>
      <c r="W26" s="8" t="str">
        <f t="shared" si="11"/>
        <v>B0</v>
      </c>
      <c r="AA26" s="45" t="s">
        <v>104</v>
      </c>
      <c r="AB26" s="40">
        <f t="shared" si="75"/>
        <v>1</v>
      </c>
      <c r="AC26" s="41">
        <f t="shared" si="73"/>
        <v>1</v>
      </c>
      <c r="AD26" s="41">
        <f t="shared" si="73"/>
        <v>0</v>
      </c>
      <c r="AE26" s="41">
        <f t="shared" si="73"/>
        <v>0</v>
      </c>
      <c r="AF26" s="48">
        <f t="shared" si="73"/>
        <v>0</v>
      </c>
      <c r="AM26" s="184"/>
      <c r="AN26" s="186"/>
      <c r="AO26" s="82" t="s">
        <v>89</v>
      </c>
      <c r="AP26" s="91" t="str">
        <f t="shared" ref="AP26:AX26" si="92">IFERROR(ROUND(AVERAGEIFS($O$2:$O$54,$B$2:$B$54,"="&amp;$AN24,$T$2:$T$54,"="&amp;$AM$15,$W$2:$W$54,"="&amp;AP$2),2),"-")</f>
        <v>-</v>
      </c>
      <c r="AQ26" s="83" t="str">
        <f t="shared" si="92"/>
        <v>-</v>
      </c>
      <c r="AR26" s="83">
        <f t="shared" si="92"/>
        <v>68.88</v>
      </c>
      <c r="AS26" s="83" t="str">
        <f t="shared" si="92"/>
        <v>-</v>
      </c>
      <c r="AT26" s="83" t="str">
        <f t="shared" si="92"/>
        <v>-</v>
      </c>
      <c r="AU26" s="83" t="str">
        <f t="shared" si="92"/>
        <v>-</v>
      </c>
      <c r="AV26" s="83">
        <f t="shared" si="92"/>
        <v>44.88</v>
      </c>
      <c r="AW26" s="83" t="str">
        <f t="shared" si="92"/>
        <v>-</v>
      </c>
      <c r="AX26" s="82" t="str">
        <f t="shared" si="92"/>
        <v>-</v>
      </c>
    </row>
    <row r="27" spans="1:70" ht="20.100000000000001" customHeight="1" thickTop="1" thickBot="1" x14ac:dyDescent="0.35">
      <c r="A27" s="138">
        <v>12</v>
      </c>
      <c r="B27" s="139">
        <v>2</v>
      </c>
      <c r="C27" s="139">
        <v>201810293</v>
      </c>
      <c r="D27" s="132" t="str">
        <f t="shared" si="0"/>
        <v>보안학과</v>
      </c>
      <c r="E27" s="140" t="s">
        <v>22</v>
      </c>
      <c r="F27" s="141">
        <v>106</v>
      </c>
      <c r="G27" s="134">
        <f t="shared" si="1"/>
        <v>53</v>
      </c>
      <c r="H27" s="141">
        <v>92</v>
      </c>
      <c r="I27" s="134">
        <f t="shared" si="2"/>
        <v>83.64</v>
      </c>
      <c r="J27" s="141">
        <v>98.89</v>
      </c>
      <c r="K27" s="141">
        <v>28</v>
      </c>
      <c r="L27" s="134">
        <f t="shared" si="3"/>
        <v>25.45</v>
      </c>
      <c r="M27" s="141">
        <v>42</v>
      </c>
      <c r="N27" s="142">
        <v>80</v>
      </c>
      <c r="O27" s="8">
        <f t="shared" si="4"/>
        <v>65.81</v>
      </c>
      <c r="P27" s="136">
        <f t="shared" si="5"/>
        <v>28</v>
      </c>
      <c r="Q27" s="8">
        <f t="shared" si="6"/>
        <v>28</v>
      </c>
      <c r="R27" s="9"/>
      <c r="S27" s="8" t="str">
        <f t="shared" si="7"/>
        <v>2018</v>
      </c>
      <c r="T27" s="137" t="str">
        <f t="shared" si="8"/>
        <v>102</v>
      </c>
      <c r="U27" s="8" t="b">
        <f t="shared" si="9"/>
        <v>1</v>
      </c>
      <c r="V27" s="8" t="str">
        <f t="shared" si="10"/>
        <v>B</v>
      </c>
      <c r="W27" s="8" t="str">
        <f t="shared" si="11"/>
        <v>B0</v>
      </c>
      <c r="AA27" s="46" t="s">
        <v>94</v>
      </c>
      <c r="AB27" s="49">
        <f t="shared" si="75"/>
        <v>3</v>
      </c>
      <c r="AC27" s="50">
        <f t="shared" si="73"/>
        <v>0</v>
      </c>
      <c r="AD27" s="50">
        <f t="shared" si="73"/>
        <v>1</v>
      </c>
      <c r="AE27" s="50">
        <f t="shared" si="73"/>
        <v>1</v>
      </c>
      <c r="AF27" s="51">
        <f t="shared" si="73"/>
        <v>1</v>
      </c>
      <c r="AM27" s="178">
        <v>103</v>
      </c>
      <c r="AN27" s="180">
        <v>1</v>
      </c>
      <c r="AO27" s="78" t="s">
        <v>95</v>
      </c>
      <c r="AP27" s="90">
        <f>COUNTIFS($B$2:$B$54,"="&amp;$AN27,$T$2:$T$54,"="&amp;$AM$27,$W$2:$W$54,"="&amp;AP$2)</f>
        <v>0</v>
      </c>
      <c r="AQ27" s="81">
        <f t="shared" ref="AQ27:AX27" si="93">COUNTIFS($B$2:$B$54,"="&amp;$AN27,$T$2:$T$54,"="&amp;$AM$27,$W$2:$W$54,"="&amp;AQ$2)</f>
        <v>0</v>
      </c>
      <c r="AR27" s="81">
        <f t="shared" si="93"/>
        <v>0</v>
      </c>
      <c r="AS27" s="81">
        <f t="shared" si="93"/>
        <v>0</v>
      </c>
      <c r="AT27" s="81">
        <f t="shared" si="93"/>
        <v>0</v>
      </c>
      <c r="AU27" s="81">
        <f t="shared" si="93"/>
        <v>0</v>
      </c>
      <c r="AV27" s="81">
        <f t="shared" si="93"/>
        <v>0</v>
      </c>
      <c r="AW27" s="81">
        <f t="shared" si="93"/>
        <v>0</v>
      </c>
      <c r="AX27" s="80">
        <f t="shared" si="93"/>
        <v>0</v>
      </c>
    </row>
    <row r="28" spans="1:70" ht="20.100000000000001" customHeight="1" thickTop="1" thickBot="1" x14ac:dyDescent="0.35">
      <c r="A28" s="138">
        <v>8</v>
      </c>
      <c r="B28" s="139">
        <v>3</v>
      </c>
      <c r="C28" s="139">
        <v>201510585</v>
      </c>
      <c r="D28" s="132" t="str">
        <f t="shared" si="0"/>
        <v>통신학과</v>
      </c>
      <c r="E28" s="140" t="s">
        <v>18</v>
      </c>
      <c r="F28" s="141">
        <v>136</v>
      </c>
      <c r="G28" s="134">
        <f t="shared" si="1"/>
        <v>68</v>
      </c>
      <c r="H28" s="141">
        <v>64</v>
      </c>
      <c r="I28" s="134">
        <f t="shared" si="2"/>
        <v>58.18</v>
      </c>
      <c r="J28" s="141">
        <v>100</v>
      </c>
      <c r="K28" s="141">
        <v>80</v>
      </c>
      <c r="L28" s="134">
        <f t="shared" si="3"/>
        <v>72.73</v>
      </c>
      <c r="M28" s="141">
        <v>44</v>
      </c>
      <c r="N28" s="142">
        <v>100</v>
      </c>
      <c r="O28" s="8">
        <f t="shared" si="4"/>
        <v>67.44</v>
      </c>
      <c r="P28" s="136">
        <f t="shared" si="5"/>
        <v>27</v>
      </c>
      <c r="Q28" s="8">
        <f t="shared" si="6"/>
        <v>27</v>
      </c>
      <c r="R28" s="9"/>
      <c r="S28" s="8" t="str">
        <f t="shared" si="7"/>
        <v>2015</v>
      </c>
      <c r="T28" s="137" t="str">
        <f t="shared" si="8"/>
        <v>105</v>
      </c>
      <c r="U28" s="8" t="b">
        <f t="shared" si="9"/>
        <v>1</v>
      </c>
      <c r="V28" s="8" t="str">
        <f t="shared" si="10"/>
        <v>B</v>
      </c>
      <c r="W28" s="8" t="str">
        <f t="shared" si="11"/>
        <v>B0</v>
      </c>
      <c r="AM28" s="178"/>
      <c r="AN28" s="180"/>
      <c r="AO28" s="70" t="s">
        <v>88</v>
      </c>
      <c r="AP28" s="85">
        <f>SUMIFS($O$2:$O$54,$B$2:$B$54,"="&amp;$AN27,$T$2:$T$54,"="&amp;$AM$27,$W$2:$W$54,"="&amp;AP$2)</f>
        <v>0</v>
      </c>
      <c r="AQ28" s="71">
        <f t="shared" ref="AQ28:AX28" si="94">SUMIFS($O$2:$O$54,$B$2:$B$54,"="&amp;$AN27,$T$2:$T$54,"="&amp;$AM$27,$W$2:$W$54,"="&amp;AQ$2)</f>
        <v>0</v>
      </c>
      <c r="AR28" s="71">
        <f t="shared" si="94"/>
        <v>0</v>
      </c>
      <c r="AS28" s="71">
        <f t="shared" si="94"/>
        <v>0</v>
      </c>
      <c r="AT28" s="71">
        <f t="shared" si="94"/>
        <v>0</v>
      </c>
      <c r="AU28" s="71">
        <f t="shared" si="94"/>
        <v>0</v>
      </c>
      <c r="AV28" s="71">
        <f t="shared" si="94"/>
        <v>0</v>
      </c>
      <c r="AW28" s="71">
        <f t="shared" si="94"/>
        <v>0</v>
      </c>
      <c r="AX28" s="70">
        <f t="shared" si="94"/>
        <v>0</v>
      </c>
    </row>
    <row r="29" spans="1:70" ht="20.100000000000001" customHeight="1" thickTop="1" x14ac:dyDescent="0.3">
      <c r="A29" s="138">
        <v>4</v>
      </c>
      <c r="B29" s="139">
        <v>2</v>
      </c>
      <c r="C29" s="139">
        <v>201710239</v>
      </c>
      <c r="D29" s="132" t="str">
        <f t="shared" si="0"/>
        <v>보안학과</v>
      </c>
      <c r="E29" s="140" t="s">
        <v>14</v>
      </c>
      <c r="F29" s="141">
        <v>126</v>
      </c>
      <c r="G29" s="134">
        <f t="shared" si="1"/>
        <v>63</v>
      </c>
      <c r="H29" s="141">
        <v>79</v>
      </c>
      <c r="I29" s="134">
        <f t="shared" si="2"/>
        <v>71.819999999999993</v>
      </c>
      <c r="J29" s="141">
        <v>97.78</v>
      </c>
      <c r="K29" s="141">
        <v>54</v>
      </c>
      <c r="L29" s="134">
        <f t="shared" si="3"/>
        <v>49.09</v>
      </c>
      <c r="M29" s="141">
        <v>39</v>
      </c>
      <c r="N29" s="142">
        <v>100</v>
      </c>
      <c r="O29" s="8">
        <f t="shared" si="4"/>
        <v>67.62</v>
      </c>
      <c r="P29" s="136">
        <f t="shared" si="5"/>
        <v>26</v>
      </c>
      <c r="Q29" s="8">
        <f t="shared" si="6"/>
        <v>26</v>
      </c>
      <c r="R29" s="9"/>
      <c r="S29" s="8" t="str">
        <f t="shared" si="7"/>
        <v>2017</v>
      </c>
      <c r="T29" s="137" t="str">
        <f t="shared" si="8"/>
        <v>102</v>
      </c>
      <c r="U29" s="8" t="b">
        <f t="shared" si="9"/>
        <v>1</v>
      </c>
      <c r="V29" s="8" t="str">
        <f t="shared" si="10"/>
        <v>B</v>
      </c>
      <c r="W29" s="8" t="str">
        <f t="shared" si="11"/>
        <v>B0</v>
      </c>
      <c r="AA29" s="187" t="s">
        <v>105</v>
      </c>
      <c r="AB29" s="189">
        <v>101</v>
      </c>
      <c r="AC29" s="190"/>
      <c r="AD29" s="191">
        <v>102</v>
      </c>
      <c r="AE29" s="192"/>
      <c r="AF29" s="193">
        <v>103</v>
      </c>
      <c r="AG29" s="194"/>
      <c r="AH29" s="195">
        <v>104</v>
      </c>
      <c r="AI29" s="196"/>
      <c r="AJ29" s="193">
        <v>105</v>
      </c>
      <c r="AK29" s="197"/>
      <c r="AM29" s="178"/>
      <c r="AN29" s="181"/>
      <c r="AO29" s="72" t="s">
        <v>89</v>
      </c>
      <c r="AP29" s="87" t="str">
        <f>IFERROR(ROUND(AVERAGEIFS($O$2:$O$54,$B$2:$B$54,"="&amp;$AN27,$T$2:$T$54,"="&amp;$AM$27,$W$2:$W$54,"="&amp;AP$2),2),"-")</f>
        <v>-</v>
      </c>
      <c r="AQ29" s="75" t="str">
        <f t="shared" ref="AQ29:AX29" si="95">IFERROR(ROUND(AVERAGEIFS($O$2:$O$54,$B$2:$B$54,"="&amp;$AN27,$T$2:$T$54,"="&amp;$AM$27,$W$2:$W$54,"="&amp;AQ$2),2),"-")</f>
        <v>-</v>
      </c>
      <c r="AR29" s="75" t="str">
        <f t="shared" si="95"/>
        <v>-</v>
      </c>
      <c r="AS29" s="75" t="str">
        <f t="shared" si="95"/>
        <v>-</v>
      </c>
      <c r="AT29" s="75" t="str">
        <f t="shared" si="95"/>
        <v>-</v>
      </c>
      <c r="AU29" s="75" t="str">
        <f t="shared" si="95"/>
        <v>-</v>
      </c>
      <c r="AV29" s="75" t="str">
        <f t="shared" si="95"/>
        <v>-</v>
      </c>
      <c r="AW29" s="75" t="str">
        <f t="shared" si="95"/>
        <v>-</v>
      </c>
      <c r="AX29" s="74" t="str">
        <f t="shared" si="95"/>
        <v>-</v>
      </c>
    </row>
    <row r="30" spans="1:70" ht="20.100000000000001" customHeight="1" thickBot="1" x14ac:dyDescent="0.35">
      <c r="A30" s="138">
        <v>44</v>
      </c>
      <c r="B30" s="141">
        <v>2</v>
      </c>
      <c r="C30" s="143">
        <v>201710460</v>
      </c>
      <c r="D30" s="132" t="str">
        <f t="shared" si="0"/>
        <v>게임학과</v>
      </c>
      <c r="E30" s="141" t="s">
        <v>54</v>
      </c>
      <c r="F30" s="141">
        <v>129</v>
      </c>
      <c r="G30" s="134">
        <f t="shared" si="1"/>
        <v>64.5</v>
      </c>
      <c r="H30" s="141">
        <v>70</v>
      </c>
      <c r="I30" s="134">
        <f t="shared" si="2"/>
        <v>63.64</v>
      </c>
      <c r="J30" s="141">
        <v>97.78</v>
      </c>
      <c r="K30" s="141">
        <v>66</v>
      </c>
      <c r="L30" s="134">
        <f t="shared" si="3"/>
        <v>60</v>
      </c>
      <c r="M30" s="141">
        <v>57</v>
      </c>
      <c r="N30" s="142">
        <v>100</v>
      </c>
      <c r="O30" s="8">
        <f t="shared" si="4"/>
        <v>68.099999999999994</v>
      </c>
      <c r="P30" s="136">
        <f t="shared" si="5"/>
        <v>25</v>
      </c>
      <c r="Q30" s="8">
        <f t="shared" si="6"/>
        <v>25</v>
      </c>
      <c r="R30" s="9"/>
      <c r="S30" s="8" t="str">
        <f t="shared" si="7"/>
        <v>2017</v>
      </c>
      <c r="T30" s="137" t="str">
        <f t="shared" si="8"/>
        <v>104</v>
      </c>
      <c r="U30" s="8" t="b">
        <f t="shared" si="9"/>
        <v>1</v>
      </c>
      <c r="V30" s="8" t="str">
        <f t="shared" si="10"/>
        <v>B</v>
      </c>
      <c r="W30" s="8" t="str">
        <f t="shared" si="11"/>
        <v>B0</v>
      </c>
      <c r="AA30" s="188"/>
      <c r="AB30" s="43" t="s">
        <v>88</v>
      </c>
      <c r="AC30" s="54" t="s">
        <v>89</v>
      </c>
      <c r="AD30" s="58" t="s">
        <v>88</v>
      </c>
      <c r="AE30" s="59" t="s">
        <v>89</v>
      </c>
      <c r="AF30" s="56" t="s">
        <v>88</v>
      </c>
      <c r="AG30" s="54" t="s">
        <v>89</v>
      </c>
      <c r="AH30" s="58" t="s">
        <v>88</v>
      </c>
      <c r="AI30" s="59" t="s">
        <v>89</v>
      </c>
      <c r="AJ30" s="56" t="s">
        <v>88</v>
      </c>
      <c r="AK30" s="53" t="s">
        <v>89</v>
      </c>
      <c r="AM30" s="178"/>
      <c r="AN30" s="182">
        <v>2</v>
      </c>
      <c r="AO30" s="76" t="s">
        <v>95</v>
      </c>
      <c r="AP30" s="88">
        <f t="shared" ref="AP30:AX36" si="96">COUNTIFS($B$2:$B$54,"="&amp;$AN30,$T$2:$T$54,"="&amp;$AM$27,$W$2:$W$54,"="&amp;AP$2)</f>
        <v>0</v>
      </c>
      <c r="AQ30" s="77">
        <f t="shared" si="96"/>
        <v>0</v>
      </c>
      <c r="AR30" s="77">
        <f t="shared" si="96"/>
        <v>1</v>
      </c>
      <c r="AS30" s="77">
        <f t="shared" si="96"/>
        <v>1</v>
      </c>
      <c r="AT30" s="77">
        <f t="shared" si="96"/>
        <v>1</v>
      </c>
      <c r="AU30" s="77">
        <f t="shared" si="96"/>
        <v>1</v>
      </c>
      <c r="AV30" s="77">
        <f t="shared" si="96"/>
        <v>0</v>
      </c>
      <c r="AW30" s="77">
        <f t="shared" si="96"/>
        <v>0</v>
      </c>
      <c r="AX30" s="76">
        <f t="shared" si="96"/>
        <v>1</v>
      </c>
    </row>
    <row r="31" spans="1:70" ht="20.100000000000001" customHeight="1" thickTop="1" x14ac:dyDescent="0.3">
      <c r="A31" s="138">
        <v>49</v>
      </c>
      <c r="B31" s="141">
        <v>3</v>
      </c>
      <c r="C31" s="143">
        <v>201510546</v>
      </c>
      <c r="D31" s="132" t="str">
        <f t="shared" si="0"/>
        <v>통신학과</v>
      </c>
      <c r="E31" s="141" t="s">
        <v>59</v>
      </c>
      <c r="F31" s="141">
        <v>148</v>
      </c>
      <c r="G31" s="134">
        <f t="shared" si="1"/>
        <v>74</v>
      </c>
      <c r="H31" s="141">
        <v>66</v>
      </c>
      <c r="I31" s="134">
        <f t="shared" si="2"/>
        <v>60</v>
      </c>
      <c r="J31" s="141">
        <v>96.67</v>
      </c>
      <c r="K31" s="141">
        <v>57</v>
      </c>
      <c r="L31" s="134">
        <f t="shared" si="3"/>
        <v>51.82</v>
      </c>
      <c r="M31" s="141">
        <v>51</v>
      </c>
      <c r="N31" s="142">
        <v>100</v>
      </c>
      <c r="O31" s="8">
        <f t="shared" si="4"/>
        <v>68.150000000000006</v>
      </c>
      <c r="P31" s="136">
        <f t="shared" si="5"/>
        <v>24</v>
      </c>
      <c r="Q31" s="8">
        <f t="shared" si="6"/>
        <v>24</v>
      </c>
      <c r="R31" s="9" t="s">
        <v>71</v>
      </c>
      <c r="S31" s="8" t="str">
        <f t="shared" si="7"/>
        <v>2015</v>
      </c>
      <c r="T31" s="137" t="str">
        <f t="shared" si="8"/>
        <v>105</v>
      </c>
      <c r="U31" s="8" t="b">
        <f t="shared" si="9"/>
        <v>1</v>
      </c>
      <c r="V31" s="8" t="str">
        <f t="shared" si="10"/>
        <v>B</v>
      </c>
      <c r="W31" s="8" t="str">
        <f t="shared" si="11"/>
        <v>B0</v>
      </c>
      <c r="AA31" s="44" t="s">
        <v>97</v>
      </c>
      <c r="AB31" s="157">
        <f>SUMIFS($O$2:$O$54,$T$2:$T$54,"="&amp;AB$29,$W$2:$W$54,"="&amp;$AA31)</f>
        <v>89.82</v>
      </c>
      <c r="AC31" s="158">
        <f>IFERROR(ROUND(AVERAGEIFS($O$2:$O$54,$T$2:$T$54,"="&amp;AB$29,$W$2:$W$54,"="&amp;$AA31),2),"NV")</f>
        <v>89.82</v>
      </c>
      <c r="AD31" s="153">
        <f t="shared" ref="AD31:AD39" si="97">SUMIFS($O$2:$O$54,$T$2:$T$54,"="&amp;AD$29,$W$2:$W$54,"="&amp;$AA31)</f>
        <v>0</v>
      </c>
      <c r="AE31" s="154" t="str">
        <f t="shared" ref="AE31:AE39" si="98">IFERROR(ROUND(AVERAGEIFS($O$2:$O$54,$T$2:$T$54,"="&amp;AD$29,$W$2:$W$54,"="&amp;$AA31),2),"NV")</f>
        <v>NV</v>
      </c>
      <c r="AF31" s="62">
        <f t="shared" ref="AF31:AF39" si="99">SUMIFS($O$2:$O$54,$T$2:$T$54,"="&amp;AF$29,$W$2:$W$54,"="&amp;$AA31)</f>
        <v>81.27</v>
      </c>
      <c r="AG31" s="158">
        <f t="shared" ref="AG31:AG39" si="100">IFERROR(ROUND(AVERAGEIFS($O$2:$O$54,$T$2:$T$54,"="&amp;AF$29,$W$2:$W$54,"="&amp;$AA31),2),"NV")</f>
        <v>81.27</v>
      </c>
      <c r="AH31" s="153">
        <f t="shared" ref="AH31:AH39" si="101">SUMIFS($O$2:$O$54,$T$2:$T$54,"="&amp;AH$29,$W$2:$W$54,"="&amp;$AA31)</f>
        <v>0</v>
      </c>
      <c r="AI31" s="154" t="str">
        <f t="shared" ref="AI31:AI39" si="102">IFERROR(ROUND(AVERAGEIFS($O$2:$O$54,$T$2:$T$54,"="&amp;AH$29,$W$2:$W$54,"="&amp;$AA31),2),"NV")</f>
        <v>NV</v>
      </c>
      <c r="AJ31" s="62">
        <f t="shared" ref="AJ31:AJ39" si="103">SUMIFS($O$2:$O$54,$T$2:$T$54,"="&amp;AJ$29,$W$2:$W$54,"="&amp;$AA31)</f>
        <v>87.02</v>
      </c>
      <c r="AK31" s="47">
        <f t="shared" ref="AK31:AK39" si="104">IFERROR(ROUND(AVERAGEIFS($O$2:$O$54,$T$2:$T$54,"="&amp;AJ$29,$W$2:$W$54,"="&amp;$AA31),2),"NV")</f>
        <v>87.02</v>
      </c>
      <c r="AM31" s="178"/>
      <c r="AN31" s="180"/>
      <c r="AO31" s="70" t="s">
        <v>88</v>
      </c>
      <c r="AP31" s="85">
        <f t="shared" ref="AP31:AX31" si="105">SUMIFS($O$2:$O$54,$B$2:$B$54,"="&amp;$AN30,$T$2:$T$54,"="&amp;$AM$27,$W$2:$W$54,"="&amp;AP$2)</f>
        <v>0</v>
      </c>
      <c r="AQ31" s="71">
        <f t="shared" si="105"/>
        <v>0</v>
      </c>
      <c r="AR31" s="71">
        <f t="shared" si="105"/>
        <v>72.14</v>
      </c>
      <c r="AS31" s="71">
        <f t="shared" si="105"/>
        <v>63.95</v>
      </c>
      <c r="AT31" s="71">
        <f t="shared" si="105"/>
        <v>59.99</v>
      </c>
      <c r="AU31" s="71">
        <f t="shared" si="105"/>
        <v>45.71</v>
      </c>
      <c r="AV31" s="71">
        <f t="shared" si="105"/>
        <v>0</v>
      </c>
      <c r="AW31" s="71">
        <f t="shared" si="105"/>
        <v>0</v>
      </c>
      <c r="AX31" s="70">
        <f t="shared" si="105"/>
        <v>26.57</v>
      </c>
    </row>
    <row r="32" spans="1:70" ht="20.100000000000001" customHeight="1" x14ac:dyDescent="0.3">
      <c r="A32" s="138">
        <v>47</v>
      </c>
      <c r="B32" s="141">
        <v>2</v>
      </c>
      <c r="C32" s="143">
        <v>201810529</v>
      </c>
      <c r="D32" s="132" t="str">
        <f t="shared" si="0"/>
        <v>통신학과</v>
      </c>
      <c r="E32" s="141" t="s">
        <v>57</v>
      </c>
      <c r="F32" s="141">
        <v>141</v>
      </c>
      <c r="G32" s="134">
        <f t="shared" si="1"/>
        <v>70.5</v>
      </c>
      <c r="H32" s="141">
        <v>67</v>
      </c>
      <c r="I32" s="134">
        <f t="shared" si="2"/>
        <v>60.91</v>
      </c>
      <c r="J32" s="141">
        <v>97.78</v>
      </c>
      <c r="K32" s="141">
        <v>78</v>
      </c>
      <c r="L32" s="134">
        <f t="shared" si="3"/>
        <v>70.91</v>
      </c>
      <c r="M32" s="141">
        <v>54</v>
      </c>
      <c r="N32" s="142">
        <v>80</v>
      </c>
      <c r="O32" s="8">
        <f t="shared" si="4"/>
        <v>68.739999999999995</v>
      </c>
      <c r="P32" s="136">
        <f t="shared" si="5"/>
        <v>23</v>
      </c>
      <c r="Q32" s="8">
        <f t="shared" si="6"/>
        <v>23</v>
      </c>
      <c r="R32" s="9"/>
      <c r="S32" s="8" t="str">
        <f t="shared" si="7"/>
        <v>2018</v>
      </c>
      <c r="T32" s="137" t="str">
        <f t="shared" si="8"/>
        <v>105</v>
      </c>
      <c r="U32" s="8" t="b">
        <f t="shared" si="9"/>
        <v>1</v>
      </c>
      <c r="V32" s="8" t="str">
        <f t="shared" si="10"/>
        <v>B</v>
      </c>
      <c r="W32" s="8" t="str">
        <f t="shared" si="11"/>
        <v>B+</v>
      </c>
      <c r="AA32" s="45" t="s">
        <v>98</v>
      </c>
      <c r="AB32" s="42">
        <f t="shared" ref="AB32:AB39" si="106">SUMIFS($O$2:$O$54,$T$2:$T$54,"="&amp;AB$29,$W$2:$W$54,"="&amp;$AA32)</f>
        <v>312.51</v>
      </c>
      <c r="AC32" s="55">
        <f t="shared" ref="AC32:AC39" si="107">IFERROR(ROUND(AVERAGEIFS($O$2:$O$54,$T$2:$T$54,"="&amp;AB$29,$W$2:$W$54,"="&amp;$AA32),2),"NV")</f>
        <v>78.13</v>
      </c>
      <c r="AD32" s="60">
        <f t="shared" si="97"/>
        <v>149.42000000000002</v>
      </c>
      <c r="AE32" s="61">
        <f t="shared" si="98"/>
        <v>74.709999999999994</v>
      </c>
      <c r="AF32" s="57">
        <f t="shared" si="99"/>
        <v>149.1</v>
      </c>
      <c r="AG32" s="55">
        <f t="shared" si="100"/>
        <v>74.55</v>
      </c>
      <c r="AH32" s="60">
        <f t="shared" si="101"/>
        <v>0</v>
      </c>
      <c r="AI32" s="61" t="str">
        <f t="shared" si="102"/>
        <v>NV</v>
      </c>
      <c r="AJ32" s="57">
        <f t="shared" si="103"/>
        <v>226.94</v>
      </c>
      <c r="AK32" s="52">
        <f t="shared" si="104"/>
        <v>75.650000000000006</v>
      </c>
      <c r="AM32" s="178"/>
      <c r="AN32" s="181"/>
      <c r="AO32" s="72" t="s">
        <v>89</v>
      </c>
      <c r="AP32" s="86" t="str">
        <f t="shared" ref="AP32:AX32" si="108">IFERROR(ROUND(AVERAGEIFS($O$2:$O$54,$B$2:$B$54,"="&amp;$AN30,$T$2:$T$54,"="&amp;$AM$27,$W$2:$W$54,"="&amp;AP$2),2),"-")</f>
        <v>-</v>
      </c>
      <c r="AQ32" s="73" t="str">
        <f t="shared" si="108"/>
        <v>-</v>
      </c>
      <c r="AR32" s="73">
        <f t="shared" si="108"/>
        <v>72.14</v>
      </c>
      <c r="AS32" s="73">
        <f t="shared" si="108"/>
        <v>63.95</v>
      </c>
      <c r="AT32" s="73">
        <f t="shared" si="108"/>
        <v>59.99</v>
      </c>
      <c r="AU32" s="73">
        <f t="shared" si="108"/>
        <v>45.71</v>
      </c>
      <c r="AV32" s="73" t="str">
        <f t="shared" si="108"/>
        <v>-</v>
      </c>
      <c r="AW32" s="73" t="str">
        <f t="shared" si="108"/>
        <v>-</v>
      </c>
      <c r="AX32" s="72">
        <f t="shared" si="108"/>
        <v>26.57</v>
      </c>
    </row>
    <row r="33" spans="1:50" ht="20.100000000000001" customHeight="1" x14ac:dyDescent="0.3">
      <c r="A33" s="138">
        <v>51</v>
      </c>
      <c r="B33" s="141">
        <v>4</v>
      </c>
      <c r="C33" s="143">
        <v>201610275</v>
      </c>
      <c r="D33" s="132" t="str">
        <f t="shared" si="0"/>
        <v>보안학과</v>
      </c>
      <c r="E33" s="141" t="s">
        <v>61</v>
      </c>
      <c r="F33" s="141">
        <v>154</v>
      </c>
      <c r="G33" s="134">
        <f t="shared" si="1"/>
        <v>77</v>
      </c>
      <c r="H33" s="141">
        <v>66</v>
      </c>
      <c r="I33" s="134">
        <f t="shared" si="2"/>
        <v>60</v>
      </c>
      <c r="J33" s="141">
        <v>100</v>
      </c>
      <c r="K33" s="141">
        <v>68</v>
      </c>
      <c r="L33" s="134">
        <f t="shared" si="3"/>
        <v>61.82</v>
      </c>
      <c r="M33" s="141">
        <v>36</v>
      </c>
      <c r="N33" s="142">
        <v>100</v>
      </c>
      <c r="O33" s="8">
        <f t="shared" si="4"/>
        <v>68.88</v>
      </c>
      <c r="P33" s="136">
        <f t="shared" si="5"/>
        <v>22</v>
      </c>
      <c r="Q33" s="8">
        <f t="shared" si="6"/>
        <v>22</v>
      </c>
      <c r="R33" s="9"/>
      <c r="S33" s="8" t="str">
        <f t="shared" si="7"/>
        <v>2016</v>
      </c>
      <c r="T33" s="137" t="str">
        <f t="shared" si="8"/>
        <v>102</v>
      </c>
      <c r="U33" s="8" t="b">
        <f t="shared" si="9"/>
        <v>1</v>
      </c>
      <c r="V33" s="8" t="str">
        <f t="shared" si="10"/>
        <v>B</v>
      </c>
      <c r="W33" s="8" t="str">
        <f t="shared" si="11"/>
        <v>B+</v>
      </c>
      <c r="AA33" s="45" t="s">
        <v>99</v>
      </c>
      <c r="AB33" s="42">
        <f t="shared" si="106"/>
        <v>141.30000000000001</v>
      </c>
      <c r="AC33" s="55">
        <f t="shared" si="107"/>
        <v>70.650000000000006</v>
      </c>
      <c r="AD33" s="60">
        <f t="shared" si="97"/>
        <v>211.15999999999997</v>
      </c>
      <c r="AE33" s="61">
        <f t="shared" si="98"/>
        <v>70.39</v>
      </c>
      <c r="AF33" s="57">
        <f t="shared" si="99"/>
        <v>72.14</v>
      </c>
      <c r="AG33" s="55">
        <f t="shared" si="100"/>
        <v>72.14</v>
      </c>
      <c r="AH33" s="60">
        <f t="shared" si="101"/>
        <v>82.26</v>
      </c>
      <c r="AI33" s="61">
        <f t="shared" si="102"/>
        <v>82.26</v>
      </c>
      <c r="AJ33" s="57">
        <f t="shared" si="103"/>
        <v>139.26</v>
      </c>
      <c r="AK33" s="52">
        <f t="shared" si="104"/>
        <v>69.63</v>
      </c>
      <c r="AM33" s="178"/>
      <c r="AN33" s="182">
        <v>3</v>
      </c>
      <c r="AO33" s="76" t="s">
        <v>95</v>
      </c>
      <c r="AP33" s="88">
        <f t="shared" ref="AP33" si="109">COUNTIFS($B$2:$B$54,"="&amp;$AN33,$T$2:$T$54,"="&amp;$AM$27,$W$2:$W$54,"="&amp;AP$2)</f>
        <v>1</v>
      </c>
      <c r="AQ33" s="77">
        <f t="shared" si="96"/>
        <v>1</v>
      </c>
      <c r="AR33" s="77">
        <f t="shared" si="96"/>
        <v>0</v>
      </c>
      <c r="AS33" s="77">
        <f t="shared" si="96"/>
        <v>0</v>
      </c>
      <c r="AT33" s="77">
        <f t="shared" si="96"/>
        <v>0</v>
      </c>
      <c r="AU33" s="77">
        <f t="shared" si="96"/>
        <v>0</v>
      </c>
      <c r="AV33" s="77">
        <f t="shared" si="96"/>
        <v>0</v>
      </c>
      <c r="AW33" s="77">
        <f t="shared" si="96"/>
        <v>0</v>
      </c>
      <c r="AX33" s="76">
        <f t="shared" si="96"/>
        <v>0</v>
      </c>
    </row>
    <row r="34" spans="1:50" ht="20.100000000000001" customHeight="1" x14ac:dyDescent="0.3">
      <c r="A34" s="138">
        <v>6</v>
      </c>
      <c r="B34" s="139">
        <v>4</v>
      </c>
      <c r="C34" s="139">
        <v>201610177</v>
      </c>
      <c r="D34" s="132" t="str">
        <f t="shared" ref="D34:D54" si="110">VLOOKUP(VALUE(T34),$AA$4:$AB$8,2,FALSE)&amp;"학과"</f>
        <v>컴퓨터학과</v>
      </c>
      <c r="E34" s="140" t="s">
        <v>16</v>
      </c>
      <c r="F34" s="141">
        <v>156</v>
      </c>
      <c r="G34" s="134">
        <f t="shared" ref="G34:G65" si="111">ROUND((F34*100)/200,2)</f>
        <v>78</v>
      </c>
      <c r="H34" s="141">
        <v>63</v>
      </c>
      <c r="I34" s="134">
        <f t="shared" ref="I34:I65" si="112">ROUND((H34*100)/110,2)</f>
        <v>57.27</v>
      </c>
      <c r="J34" s="141">
        <v>95.56</v>
      </c>
      <c r="K34" s="141">
        <v>55</v>
      </c>
      <c r="L34" s="134">
        <f t="shared" ref="L34:L65" si="113">ROUND((K34*100)/110,2)</f>
        <v>50</v>
      </c>
      <c r="M34" s="141">
        <v>70</v>
      </c>
      <c r="N34" s="142">
        <v>80</v>
      </c>
      <c r="O34" s="8">
        <f t="shared" ref="O34:O65" si="114">ROUND(G34*0.3+I34*0.35+J34*0.1+L34*0.1+M34*0.1+N34*0.05,2)</f>
        <v>69</v>
      </c>
      <c r="P34" s="136">
        <f t="shared" ref="P34:P65" si="115">_xlfn.RANK.EQ(O34,$O$2:$O$54,0)</f>
        <v>21</v>
      </c>
      <c r="Q34" s="8">
        <f t="shared" ref="Q34:Q54" si="116">_xlfn.RANK.AVG(O34,$O$2:$O$54,0)</f>
        <v>21</v>
      </c>
      <c r="R34" s="9" t="s">
        <v>71</v>
      </c>
      <c r="S34" s="8" t="str">
        <f t="shared" ref="S34:S54" si="117">LEFT(C34,4)</f>
        <v>2016</v>
      </c>
      <c r="T34" s="137" t="str">
        <f t="shared" ref="T34:T54" si="118">MID(C34,5,3)</f>
        <v>101</v>
      </c>
      <c r="U34" s="8" t="b">
        <f t="shared" ref="U34:U54" si="119">OR(R34="", S34&lt;="2015")</f>
        <v>0</v>
      </c>
      <c r="V34" s="8" t="str">
        <f t="shared" ref="V34:V54" si="120">IF(P34&lt;=$AB$11*0.3, "A", IF(P34&lt;=$AB$11*0.6, "B", IF(P34&lt;=$AB$11*0.8, "C", IF(P34&lt;=$AB$11*0.9, "D","F"))))</f>
        <v>B</v>
      </c>
      <c r="W34" s="8" t="str">
        <f t="shared" ref="W34:W54" si="121">IF(AND(P34&lt;=$AB$11*0.3, O34&gt;=$AG$3, R34=""), "A+",IF(AND(P34&lt;=$AB$11*0.3, OR(O34&lt;$AG$3, S34&lt;="2015")), "A0", IF(AND(P34&lt;=$AB$11*0.6, O34&gt;=$AG$4), "B+", IF(AND(P34&lt;=$AB$11*0.6, O34&lt;$AG$4), "B0",IF(AND(P34&lt;=$AB$11*0.8, O34&gt;=$AG$5), "C+", IF(AND(P34&lt;=$AB$11*0.8, O34&lt;$AG$5), "C0", IF(AND(P34&lt;=$AB$11*0.9, O34&gt;=$AG$6), "D+", IF(AND(P34&lt;=$AB$11*0.9, O34&lt;$AG$6), "D0","F"))))))))</f>
        <v>B+</v>
      </c>
      <c r="AA34" s="45" t="s">
        <v>100</v>
      </c>
      <c r="AB34" s="42">
        <f t="shared" si="106"/>
        <v>0</v>
      </c>
      <c r="AC34" s="55" t="str">
        <f t="shared" si="107"/>
        <v>NV</v>
      </c>
      <c r="AD34" s="60">
        <f t="shared" si="97"/>
        <v>133.43</v>
      </c>
      <c r="AE34" s="61">
        <f t="shared" si="98"/>
        <v>66.72</v>
      </c>
      <c r="AF34" s="57">
        <f t="shared" si="99"/>
        <v>126.81</v>
      </c>
      <c r="AG34" s="55">
        <f t="shared" si="100"/>
        <v>63.41</v>
      </c>
      <c r="AH34" s="60">
        <f t="shared" si="101"/>
        <v>132.76</v>
      </c>
      <c r="AI34" s="61">
        <f t="shared" si="102"/>
        <v>66.38</v>
      </c>
      <c r="AJ34" s="57">
        <f t="shared" si="103"/>
        <v>135.59</v>
      </c>
      <c r="AK34" s="52">
        <f t="shared" si="104"/>
        <v>67.8</v>
      </c>
      <c r="AM34" s="178"/>
      <c r="AN34" s="180"/>
      <c r="AO34" s="70" t="s">
        <v>88</v>
      </c>
      <c r="AP34" s="85">
        <f t="shared" ref="AP34:AX34" si="122">SUMIFS($O$2:$O$54,$B$2:$B$54,"="&amp;$AN33,$T$2:$T$54,"="&amp;$AM$27,$W$2:$W$54,"="&amp;AP$2)</f>
        <v>81.27</v>
      </c>
      <c r="AQ34" s="71">
        <f t="shared" si="122"/>
        <v>73.77</v>
      </c>
      <c r="AR34" s="71">
        <f t="shared" si="122"/>
        <v>0</v>
      </c>
      <c r="AS34" s="71">
        <f t="shared" si="122"/>
        <v>0</v>
      </c>
      <c r="AT34" s="71">
        <f t="shared" si="122"/>
        <v>0</v>
      </c>
      <c r="AU34" s="71">
        <f t="shared" si="122"/>
        <v>0</v>
      </c>
      <c r="AV34" s="71">
        <f t="shared" si="122"/>
        <v>0</v>
      </c>
      <c r="AW34" s="71">
        <f t="shared" si="122"/>
        <v>0</v>
      </c>
      <c r="AX34" s="70">
        <f t="shared" si="122"/>
        <v>0</v>
      </c>
    </row>
    <row r="35" spans="1:50" ht="20.100000000000001" customHeight="1" x14ac:dyDescent="0.3">
      <c r="A35" s="138">
        <v>18</v>
      </c>
      <c r="B35" s="139">
        <v>3</v>
      </c>
      <c r="C35" s="139">
        <v>201710214</v>
      </c>
      <c r="D35" s="132" t="str">
        <f t="shared" si="110"/>
        <v>보안학과</v>
      </c>
      <c r="E35" s="140" t="s">
        <v>27</v>
      </c>
      <c r="F35" s="141">
        <v>117</v>
      </c>
      <c r="G35" s="134">
        <f t="shared" si="111"/>
        <v>58.5</v>
      </c>
      <c r="H35" s="141">
        <v>71</v>
      </c>
      <c r="I35" s="134">
        <f t="shared" si="112"/>
        <v>64.55</v>
      </c>
      <c r="J35" s="141">
        <v>100</v>
      </c>
      <c r="K35" s="141">
        <v>80</v>
      </c>
      <c r="L35" s="134">
        <f t="shared" si="113"/>
        <v>72.73</v>
      </c>
      <c r="M35" s="141">
        <v>74</v>
      </c>
      <c r="N35" s="142">
        <v>100</v>
      </c>
      <c r="O35" s="8">
        <f t="shared" si="114"/>
        <v>69.819999999999993</v>
      </c>
      <c r="P35" s="136">
        <f t="shared" si="115"/>
        <v>20</v>
      </c>
      <c r="Q35" s="8">
        <f t="shared" si="116"/>
        <v>20</v>
      </c>
      <c r="R35" s="9"/>
      <c r="S35" s="8" t="str">
        <f t="shared" si="117"/>
        <v>2017</v>
      </c>
      <c r="T35" s="137" t="str">
        <f t="shared" si="118"/>
        <v>102</v>
      </c>
      <c r="U35" s="8" t="b">
        <f t="shared" si="119"/>
        <v>1</v>
      </c>
      <c r="V35" s="8" t="str">
        <f t="shared" si="120"/>
        <v>B</v>
      </c>
      <c r="W35" s="8" t="str">
        <f t="shared" si="121"/>
        <v>B+</v>
      </c>
      <c r="AA35" s="45" t="s">
        <v>101</v>
      </c>
      <c r="AB35" s="42">
        <f t="shared" si="106"/>
        <v>172.47000000000003</v>
      </c>
      <c r="AC35" s="55">
        <f t="shared" si="107"/>
        <v>57.49</v>
      </c>
      <c r="AD35" s="60">
        <f t="shared" si="97"/>
        <v>117.33</v>
      </c>
      <c r="AE35" s="61">
        <f t="shared" si="98"/>
        <v>58.67</v>
      </c>
      <c r="AF35" s="57">
        <f t="shared" si="99"/>
        <v>59.99</v>
      </c>
      <c r="AG35" s="55">
        <f t="shared" si="100"/>
        <v>59.99</v>
      </c>
      <c r="AH35" s="60">
        <f t="shared" si="101"/>
        <v>0</v>
      </c>
      <c r="AI35" s="61" t="str">
        <f t="shared" si="102"/>
        <v>NV</v>
      </c>
      <c r="AJ35" s="57">
        <f t="shared" si="103"/>
        <v>0</v>
      </c>
      <c r="AK35" s="52" t="str">
        <f t="shared" si="104"/>
        <v>NV</v>
      </c>
      <c r="AM35" s="178"/>
      <c r="AN35" s="181"/>
      <c r="AO35" s="72" t="s">
        <v>89</v>
      </c>
      <c r="AP35" s="86">
        <f t="shared" ref="AP35:AX35" si="123">IFERROR(ROUND(AVERAGEIFS($O$2:$O$54,$B$2:$B$54,"="&amp;$AN33,$T$2:$T$54,"="&amp;$AM$27,$W$2:$W$54,"="&amp;AP$2),2),"-")</f>
        <v>81.27</v>
      </c>
      <c r="AQ35" s="73">
        <f t="shared" si="123"/>
        <v>73.77</v>
      </c>
      <c r="AR35" s="73" t="str">
        <f t="shared" si="123"/>
        <v>-</v>
      </c>
      <c r="AS35" s="73" t="str">
        <f t="shared" si="123"/>
        <v>-</v>
      </c>
      <c r="AT35" s="73" t="str">
        <f t="shared" si="123"/>
        <v>-</v>
      </c>
      <c r="AU35" s="73" t="str">
        <f t="shared" si="123"/>
        <v>-</v>
      </c>
      <c r="AV35" s="73" t="str">
        <f t="shared" si="123"/>
        <v>-</v>
      </c>
      <c r="AW35" s="73" t="str">
        <f t="shared" si="123"/>
        <v>-</v>
      </c>
      <c r="AX35" s="72" t="str">
        <f t="shared" si="123"/>
        <v>-</v>
      </c>
    </row>
    <row r="36" spans="1:50" ht="20.100000000000001" customHeight="1" x14ac:dyDescent="0.3">
      <c r="A36" s="138">
        <v>9</v>
      </c>
      <c r="B36" s="139">
        <v>2</v>
      </c>
      <c r="C36" s="139">
        <v>201610586</v>
      </c>
      <c r="D36" s="132" t="str">
        <f t="shared" si="110"/>
        <v>통신학과</v>
      </c>
      <c r="E36" s="140" t="s">
        <v>19</v>
      </c>
      <c r="F36" s="141">
        <v>129</v>
      </c>
      <c r="G36" s="134">
        <f t="shared" si="111"/>
        <v>64.5</v>
      </c>
      <c r="H36" s="141">
        <v>73</v>
      </c>
      <c r="I36" s="134">
        <f t="shared" si="112"/>
        <v>66.36</v>
      </c>
      <c r="J36" s="141">
        <v>100</v>
      </c>
      <c r="K36" s="141">
        <v>61</v>
      </c>
      <c r="L36" s="134">
        <f t="shared" si="113"/>
        <v>55.45</v>
      </c>
      <c r="M36" s="141">
        <v>74</v>
      </c>
      <c r="N36" s="142">
        <v>100</v>
      </c>
      <c r="O36" s="8">
        <f t="shared" si="114"/>
        <v>70.52</v>
      </c>
      <c r="P36" s="136">
        <f t="shared" si="115"/>
        <v>19</v>
      </c>
      <c r="Q36" s="8">
        <f t="shared" si="116"/>
        <v>19</v>
      </c>
      <c r="R36" s="9"/>
      <c r="S36" s="8" t="str">
        <f t="shared" si="117"/>
        <v>2016</v>
      </c>
      <c r="T36" s="137" t="str">
        <f t="shared" si="118"/>
        <v>105</v>
      </c>
      <c r="U36" s="8" t="b">
        <f t="shared" si="119"/>
        <v>1</v>
      </c>
      <c r="V36" s="8" t="str">
        <f t="shared" si="120"/>
        <v>B</v>
      </c>
      <c r="W36" s="8" t="str">
        <f t="shared" si="121"/>
        <v>B+</v>
      </c>
      <c r="AA36" s="45" t="s">
        <v>102</v>
      </c>
      <c r="AB36" s="42">
        <f t="shared" si="106"/>
        <v>107.03999999999999</v>
      </c>
      <c r="AC36" s="55">
        <f t="shared" si="107"/>
        <v>53.52</v>
      </c>
      <c r="AD36" s="60">
        <f t="shared" si="97"/>
        <v>0</v>
      </c>
      <c r="AE36" s="61" t="str">
        <f t="shared" si="98"/>
        <v>NV</v>
      </c>
      <c r="AF36" s="57">
        <f t="shared" si="99"/>
        <v>45.71</v>
      </c>
      <c r="AG36" s="55">
        <f t="shared" si="100"/>
        <v>45.71</v>
      </c>
      <c r="AH36" s="60">
        <f t="shared" si="101"/>
        <v>101.25</v>
      </c>
      <c r="AI36" s="61">
        <f t="shared" si="102"/>
        <v>50.63</v>
      </c>
      <c r="AJ36" s="57">
        <f t="shared" si="103"/>
        <v>0</v>
      </c>
      <c r="AK36" s="52" t="str">
        <f t="shared" si="104"/>
        <v>NV</v>
      </c>
      <c r="AM36" s="178"/>
      <c r="AN36" s="182">
        <v>4</v>
      </c>
      <c r="AO36" s="76" t="s">
        <v>95</v>
      </c>
      <c r="AP36" s="89">
        <f t="shared" ref="AP36" si="124">COUNTIFS($B$2:$B$54,"="&amp;$AN36,$T$2:$T$54,"="&amp;$AM$27,$W$2:$W$54,"="&amp;AP$2)</f>
        <v>0</v>
      </c>
      <c r="AQ36" s="79">
        <f t="shared" si="96"/>
        <v>1</v>
      </c>
      <c r="AR36" s="79">
        <f t="shared" si="96"/>
        <v>0</v>
      </c>
      <c r="AS36" s="79">
        <f t="shared" si="96"/>
        <v>1</v>
      </c>
      <c r="AT36" s="79">
        <f t="shared" si="96"/>
        <v>0</v>
      </c>
      <c r="AU36" s="79">
        <f t="shared" si="96"/>
        <v>0</v>
      </c>
      <c r="AV36" s="79">
        <f t="shared" si="96"/>
        <v>0</v>
      </c>
      <c r="AW36" s="79">
        <f t="shared" si="96"/>
        <v>0</v>
      </c>
      <c r="AX36" s="78">
        <f t="shared" si="96"/>
        <v>0</v>
      </c>
    </row>
    <row r="37" spans="1:50" ht="20.100000000000001" customHeight="1" x14ac:dyDescent="0.3">
      <c r="A37" s="138">
        <v>10</v>
      </c>
      <c r="B37" s="139">
        <v>2</v>
      </c>
      <c r="C37" s="139">
        <v>201710388</v>
      </c>
      <c r="D37" s="132" t="str">
        <f t="shared" si="110"/>
        <v>전자학과</v>
      </c>
      <c r="E37" s="140" t="s">
        <v>20</v>
      </c>
      <c r="F37" s="141">
        <v>150</v>
      </c>
      <c r="G37" s="134">
        <f t="shared" si="111"/>
        <v>75</v>
      </c>
      <c r="H37" s="141">
        <v>72</v>
      </c>
      <c r="I37" s="134">
        <f t="shared" si="112"/>
        <v>65.45</v>
      </c>
      <c r="J37" s="141">
        <v>96.67</v>
      </c>
      <c r="K37" s="141">
        <v>59</v>
      </c>
      <c r="L37" s="134">
        <f t="shared" si="113"/>
        <v>53.64</v>
      </c>
      <c r="M37" s="141">
        <v>67</v>
      </c>
      <c r="N37" s="142">
        <v>100</v>
      </c>
      <c r="O37" s="8">
        <f t="shared" si="114"/>
        <v>72.14</v>
      </c>
      <c r="P37" s="136">
        <f t="shared" si="115"/>
        <v>18</v>
      </c>
      <c r="Q37" s="8">
        <f t="shared" si="116"/>
        <v>18</v>
      </c>
      <c r="R37" s="9"/>
      <c r="S37" s="8" t="str">
        <f t="shared" si="117"/>
        <v>2017</v>
      </c>
      <c r="T37" s="137" t="str">
        <f t="shared" si="118"/>
        <v>103</v>
      </c>
      <c r="U37" s="8" t="b">
        <f t="shared" si="119"/>
        <v>1</v>
      </c>
      <c r="V37" s="8" t="str">
        <f t="shared" si="120"/>
        <v>B</v>
      </c>
      <c r="W37" s="8" t="str">
        <f t="shared" si="121"/>
        <v>B+</v>
      </c>
      <c r="AA37" s="45" t="s">
        <v>103</v>
      </c>
      <c r="AB37" s="42">
        <f t="shared" si="106"/>
        <v>0</v>
      </c>
      <c r="AC37" s="55" t="str">
        <f t="shared" si="107"/>
        <v>NV</v>
      </c>
      <c r="AD37" s="60">
        <f t="shared" si="97"/>
        <v>44.88</v>
      </c>
      <c r="AE37" s="61">
        <f t="shared" si="98"/>
        <v>44.88</v>
      </c>
      <c r="AF37" s="57">
        <f t="shared" si="99"/>
        <v>0</v>
      </c>
      <c r="AG37" s="55" t="str">
        <f t="shared" si="100"/>
        <v>NV</v>
      </c>
      <c r="AH37" s="60">
        <f t="shared" si="101"/>
        <v>43.09</v>
      </c>
      <c r="AI37" s="61">
        <f t="shared" si="102"/>
        <v>43.09</v>
      </c>
      <c r="AJ37" s="57">
        <f t="shared" si="103"/>
        <v>43.86</v>
      </c>
      <c r="AK37" s="52">
        <f t="shared" si="104"/>
        <v>43.86</v>
      </c>
      <c r="AM37" s="178"/>
      <c r="AN37" s="180"/>
      <c r="AO37" s="70" t="s">
        <v>88</v>
      </c>
      <c r="AP37" s="85">
        <f t="shared" ref="AP37:AX37" si="125">SUMIFS($O$2:$O$54,$B$2:$B$54,"="&amp;$AN36,$T$2:$T$54,"="&amp;$AM$27,$W$2:$W$54,"="&amp;AP$2)</f>
        <v>0</v>
      </c>
      <c r="AQ37" s="71">
        <f t="shared" si="125"/>
        <v>75.33</v>
      </c>
      <c r="AR37" s="71">
        <f t="shared" si="125"/>
        <v>0</v>
      </c>
      <c r="AS37" s="71">
        <f t="shared" si="125"/>
        <v>62.86</v>
      </c>
      <c r="AT37" s="71">
        <f t="shared" si="125"/>
        <v>0</v>
      </c>
      <c r="AU37" s="71">
        <f t="shared" si="125"/>
        <v>0</v>
      </c>
      <c r="AV37" s="71">
        <f t="shared" si="125"/>
        <v>0</v>
      </c>
      <c r="AW37" s="71">
        <f t="shared" si="125"/>
        <v>0</v>
      </c>
      <c r="AX37" s="70">
        <f t="shared" si="125"/>
        <v>0</v>
      </c>
    </row>
    <row r="38" spans="1:50" ht="20.100000000000001" customHeight="1" thickBot="1" x14ac:dyDescent="0.35">
      <c r="A38" s="138">
        <v>39</v>
      </c>
      <c r="B38" s="141">
        <v>2</v>
      </c>
      <c r="C38" s="143">
        <v>201610106</v>
      </c>
      <c r="D38" s="132" t="str">
        <f t="shared" si="110"/>
        <v>컴퓨터학과</v>
      </c>
      <c r="E38" s="141" t="s">
        <v>49</v>
      </c>
      <c r="F38" s="141">
        <v>128</v>
      </c>
      <c r="G38" s="134">
        <f t="shared" si="111"/>
        <v>64</v>
      </c>
      <c r="H38" s="141">
        <v>85</v>
      </c>
      <c r="I38" s="134">
        <f t="shared" si="112"/>
        <v>77.27</v>
      </c>
      <c r="J38" s="141">
        <v>100</v>
      </c>
      <c r="K38" s="141">
        <v>60</v>
      </c>
      <c r="L38" s="134">
        <f t="shared" si="113"/>
        <v>54.55</v>
      </c>
      <c r="M38" s="141">
        <v>56</v>
      </c>
      <c r="N38" s="142">
        <v>100</v>
      </c>
      <c r="O38" s="8">
        <f t="shared" si="114"/>
        <v>72.3</v>
      </c>
      <c r="P38" s="136">
        <f t="shared" si="115"/>
        <v>17</v>
      </c>
      <c r="Q38" s="8">
        <f t="shared" si="116"/>
        <v>17</v>
      </c>
      <c r="R38" s="9"/>
      <c r="S38" s="8" t="str">
        <f t="shared" si="117"/>
        <v>2016</v>
      </c>
      <c r="T38" s="137" t="str">
        <f t="shared" si="118"/>
        <v>101</v>
      </c>
      <c r="U38" s="8" t="b">
        <f t="shared" si="119"/>
        <v>1</v>
      </c>
      <c r="V38" s="8" t="str">
        <f t="shared" si="120"/>
        <v>B</v>
      </c>
      <c r="W38" s="8" t="str">
        <f t="shared" si="121"/>
        <v>B+</v>
      </c>
      <c r="AA38" s="45" t="s">
        <v>104</v>
      </c>
      <c r="AB38" s="42">
        <f t="shared" si="106"/>
        <v>38.93</v>
      </c>
      <c r="AC38" s="55">
        <f t="shared" si="107"/>
        <v>38.93</v>
      </c>
      <c r="AD38" s="60">
        <f t="shared" si="97"/>
        <v>39.770000000000003</v>
      </c>
      <c r="AE38" s="61">
        <f t="shared" si="98"/>
        <v>39.770000000000003</v>
      </c>
      <c r="AF38" s="57">
        <f t="shared" si="99"/>
        <v>0</v>
      </c>
      <c r="AG38" s="55" t="str">
        <f t="shared" si="100"/>
        <v>NV</v>
      </c>
      <c r="AH38" s="60">
        <f t="shared" si="101"/>
        <v>0</v>
      </c>
      <c r="AI38" s="61" t="str">
        <f t="shared" si="102"/>
        <v>NV</v>
      </c>
      <c r="AJ38" s="57">
        <f t="shared" si="103"/>
        <v>0</v>
      </c>
      <c r="AK38" s="52" t="str">
        <f t="shared" si="104"/>
        <v>NV</v>
      </c>
      <c r="AM38" s="178"/>
      <c r="AN38" s="180"/>
      <c r="AO38" s="74" t="s">
        <v>89</v>
      </c>
      <c r="AP38" s="91" t="str">
        <f t="shared" ref="AP38:AX38" si="126">IFERROR(ROUND(AVERAGEIFS($O$2:$O$54,$B$2:$B$54,"="&amp;$AN36,$T$2:$T$54,"="&amp;$AM$27,$W$2:$W$54,"="&amp;AP$2),2),"-")</f>
        <v>-</v>
      </c>
      <c r="AQ38" s="83">
        <f t="shared" si="126"/>
        <v>75.33</v>
      </c>
      <c r="AR38" s="83" t="str">
        <f t="shared" si="126"/>
        <v>-</v>
      </c>
      <c r="AS38" s="83">
        <f t="shared" si="126"/>
        <v>62.86</v>
      </c>
      <c r="AT38" s="83" t="str">
        <f t="shared" si="126"/>
        <v>-</v>
      </c>
      <c r="AU38" s="83" t="str">
        <f t="shared" si="126"/>
        <v>-</v>
      </c>
      <c r="AV38" s="83" t="str">
        <f t="shared" si="126"/>
        <v>-</v>
      </c>
      <c r="AW38" s="83" t="str">
        <f t="shared" si="126"/>
        <v>-</v>
      </c>
      <c r="AX38" s="82" t="str">
        <f t="shared" si="126"/>
        <v>-</v>
      </c>
    </row>
    <row r="39" spans="1:50" ht="20.100000000000001" customHeight="1" thickTop="1" thickBot="1" x14ac:dyDescent="0.35">
      <c r="A39" s="138">
        <v>5</v>
      </c>
      <c r="B39" s="139">
        <v>3</v>
      </c>
      <c r="C39" s="139">
        <v>201710275</v>
      </c>
      <c r="D39" s="132" t="str">
        <f t="shared" si="110"/>
        <v>보안학과</v>
      </c>
      <c r="E39" s="140" t="s">
        <v>15</v>
      </c>
      <c r="F39" s="141">
        <v>131</v>
      </c>
      <c r="G39" s="134">
        <f t="shared" si="111"/>
        <v>65.5</v>
      </c>
      <c r="H39" s="141">
        <v>88</v>
      </c>
      <c r="I39" s="134">
        <f t="shared" si="112"/>
        <v>80</v>
      </c>
      <c r="J39" s="141">
        <v>88.89</v>
      </c>
      <c r="K39" s="141">
        <v>53</v>
      </c>
      <c r="L39" s="134">
        <f t="shared" si="113"/>
        <v>48.18</v>
      </c>
      <c r="M39" s="141">
        <v>61</v>
      </c>
      <c r="N39" s="142">
        <v>100</v>
      </c>
      <c r="O39" s="8">
        <f t="shared" si="114"/>
        <v>72.459999999999994</v>
      </c>
      <c r="P39" s="136">
        <f t="shared" si="115"/>
        <v>16</v>
      </c>
      <c r="Q39" s="8">
        <f t="shared" si="116"/>
        <v>16</v>
      </c>
      <c r="R39" s="9"/>
      <c r="S39" s="8" t="str">
        <f t="shared" si="117"/>
        <v>2017</v>
      </c>
      <c r="T39" s="137" t="str">
        <f t="shared" si="118"/>
        <v>102</v>
      </c>
      <c r="U39" s="8" t="b">
        <f t="shared" si="119"/>
        <v>1</v>
      </c>
      <c r="V39" s="8" t="str">
        <f t="shared" si="120"/>
        <v>B</v>
      </c>
      <c r="W39" s="8" t="str">
        <f t="shared" si="121"/>
        <v>B+</v>
      </c>
      <c r="AA39" s="46" t="s">
        <v>94</v>
      </c>
      <c r="AB39" s="43">
        <f t="shared" si="106"/>
        <v>96.93</v>
      </c>
      <c r="AC39" s="54">
        <f t="shared" si="107"/>
        <v>32.31</v>
      </c>
      <c r="AD39" s="58">
        <f t="shared" si="97"/>
        <v>0</v>
      </c>
      <c r="AE39" s="59" t="str">
        <f t="shared" si="98"/>
        <v>NV</v>
      </c>
      <c r="AF39" s="56">
        <f t="shared" si="99"/>
        <v>26.57</v>
      </c>
      <c r="AG39" s="54">
        <f t="shared" si="100"/>
        <v>26.57</v>
      </c>
      <c r="AH39" s="58">
        <f t="shared" si="101"/>
        <v>30.02</v>
      </c>
      <c r="AI39" s="59">
        <f t="shared" si="102"/>
        <v>30.02</v>
      </c>
      <c r="AJ39" s="56">
        <f t="shared" si="103"/>
        <v>28.25</v>
      </c>
      <c r="AK39" s="53">
        <f t="shared" si="104"/>
        <v>28.25</v>
      </c>
      <c r="AM39" s="183">
        <v>104</v>
      </c>
      <c r="AN39" s="185">
        <v>1</v>
      </c>
      <c r="AO39" s="80" t="s">
        <v>95</v>
      </c>
      <c r="AP39" s="90">
        <f>COUNTIFS($B$2:$B$54,"="&amp;$AN39,$T$2:$T$54,"="&amp;$AM$39,$W$2:$W$54,"="&amp;AP$2)</f>
        <v>0</v>
      </c>
      <c r="AQ39" s="81">
        <f t="shared" ref="AQ39:AX39" si="127">COUNTIFS($B$2:$B$54,"="&amp;$AN39,$T$2:$T$54,"="&amp;$AM$39,$W$2:$W$54,"="&amp;AQ$2)</f>
        <v>0</v>
      </c>
      <c r="AR39" s="81">
        <f t="shared" si="127"/>
        <v>0</v>
      </c>
      <c r="AS39" s="81">
        <f t="shared" si="127"/>
        <v>0</v>
      </c>
      <c r="AT39" s="81">
        <f t="shared" si="127"/>
        <v>0</v>
      </c>
      <c r="AU39" s="81">
        <f t="shared" si="127"/>
        <v>1</v>
      </c>
      <c r="AV39" s="81">
        <f t="shared" si="127"/>
        <v>0</v>
      </c>
      <c r="AW39" s="81">
        <f t="shared" si="127"/>
        <v>0</v>
      </c>
      <c r="AX39" s="80">
        <f t="shared" si="127"/>
        <v>0</v>
      </c>
    </row>
    <row r="40" spans="1:50" ht="20.100000000000001" customHeight="1" thickTop="1" x14ac:dyDescent="0.3">
      <c r="A40" s="138">
        <v>48</v>
      </c>
      <c r="B40" s="141">
        <v>1</v>
      </c>
      <c r="C40" s="143">
        <v>201810535</v>
      </c>
      <c r="D40" s="132" t="str">
        <f t="shared" si="110"/>
        <v>통신학과</v>
      </c>
      <c r="E40" s="141" t="s">
        <v>58</v>
      </c>
      <c r="F40" s="141">
        <v>114</v>
      </c>
      <c r="G40" s="134">
        <f t="shared" si="111"/>
        <v>57</v>
      </c>
      <c r="H40" s="141">
        <v>92</v>
      </c>
      <c r="I40" s="134">
        <f t="shared" si="112"/>
        <v>83.64</v>
      </c>
      <c r="J40" s="141">
        <v>95.56</v>
      </c>
      <c r="K40" s="141">
        <v>48</v>
      </c>
      <c r="L40" s="134">
        <f t="shared" si="113"/>
        <v>43.64</v>
      </c>
      <c r="M40" s="141">
        <v>74</v>
      </c>
      <c r="N40" s="142">
        <v>100</v>
      </c>
      <c r="O40" s="8">
        <f t="shared" si="114"/>
        <v>72.69</v>
      </c>
      <c r="P40" s="136">
        <f t="shared" si="115"/>
        <v>15</v>
      </c>
      <c r="Q40" s="8">
        <f t="shared" si="116"/>
        <v>15</v>
      </c>
      <c r="R40" s="9"/>
      <c r="S40" s="8" t="str">
        <f t="shared" si="117"/>
        <v>2018</v>
      </c>
      <c r="T40" s="137" t="str">
        <f t="shared" si="118"/>
        <v>105</v>
      </c>
      <c r="U40" s="8" t="b">
        <f t="shared" si="119"/>
        <v>1</v>
      </c>
      <c r="V40" s="8" t="str">
        <f t="shared" si="120"/>
        <v>A</v>
      </c>
      <c r="W40" s="8" t="str">
        <f t="shared" si="121"/>
        <v>A0</v>
      </c>
      <c r="AM40" s="178"/>
      <c r="AN40" s="180"/>
      <c r="AO40" s="70" t="s">
        <v>88</v>
      </c>
      <c r="AP40" s="85">
        <f>SUMIFS($O$2:$O$54,$B$2:$B$54,"="&amp;$AN39,$T$2:$T$54,"="&amp;$AM$39,$W$2:$W$54,"="&amp;AP$2)</f>
        <v>0</v>
      </c>
      <c r="AQ40" s="71">
        <f t="shared" ref="AQ40:AX40" si="128">SUMIFS($O$2:$O$54,$B$2:$B$54,"="&amp;$AN39,$T$2:$T$54,"="&amp;$AM$39,$W$2:$W$54,"="&amp;AQ$2)</f>
        <v>0</v>
      </c>
      <c r="AR40" s="71">
        <f t="shared" si="128"/>
        <v>0</v>
      </c>
      <c r="AS40" s="71">
        <f t="shared" si="128"/>
        <v>0</v>
      </c>
      <c r="AT40" s="71">
        <f t="shared" si="128"/>
        <v>0</v>
      </c>
      <c r="AU40" s="71">
        <f t="shared" si="128"/>
        <v>53.09</v>
      </c>
      <c r="AV40" s="71">
        <f t="shared" si="128"/>
        <v>0</v>
      </c>
      <c r="AW40" s="71">
        <f t="shared" si="128"/>
        <v>0</v>
      </c>
      <c r="AX40" s="70">
        <f t="shared" si="128"/>
        <v>0</v>
      </c>
    </row>
    <row r="41" spans="1:50" ht="20.100000000000001" customHeight="1" x14ac:dyDescent="0.3">
      <c r="A41" s="138">
        <v>37</v>
      </c>
      <c r="B41" s="141">
        <v>2</v>
      </c>
      <c r="C41" s="143">
        <v>201810223</v>
      </c>
      <c r="D41" s="132" t="str">
        <f t="shared" si="110"/>
        <v>보안학과</v>
      </c>
      <c r="E41" s="141" t="s">
        <v>47</v>
      </c>
      <c r="F41" s="141">
        <v>143</v>
      </c>
      <c r="G41" s="134">
        <f t="shared" si="111"/>
        <v>71.5</v>
      </c>
      <c r="H41" s="141">
        <v>82</v>
      </c>
      <c r="I41" s="134">
        <f t="shared" si="112"/>
        <v>74.55</v>
      </c>
      <c r="J41" s="141">
        <v>100</v>
      </c>
      <c r="K41" s="141">
        <v>48</v>
      </c>
      <c r="L41" s="134">
        <f t="shared" si="113"/>
        <v>43.64</v>
      </c>
      <c r="M41" s="141">
        <v>65</v>
      </c>
      <c r="N41" s="142">
        <v>100</v>
      </c>
      <c r="O41" s="8">
        <f t="shared" si="114"/>
        <v>73.41</v>
      </c>
      <c r="P41" s="136">
        <f t="shared" si="115"/>
        <v>14</v>
      </c>
      <c r="Q41" s="8">
        <f t="shared" si="116"/>
        <v>14</v>
      </c>
      <c r="R41" s="9"/>
      <c r="S41" s="8" t="str">
        <f t="shared" si="117"/>
        <v>2018</v>
      </c>
      <c r="T41" s="137" t="str">
        <f t="shared" si="118"/>
        <v>102</v>
      </c>
      <c r="U41" s="8" t="b">
        <f t="shared" si="119"/>
        <v>1</v>
      </c>
      <c r="V41" s="8" t="str">
        <f t="shared" si="120"/>
        <v>A</v>
      </c>
      <c r="W41" s="8" t="str">
        <f t="shared" si="121"/>
        <v>A0</v>
      </c>
      <c r="AM41" s="178"/>
      <c r="AN41" s="181"/>
      <c r="AO41" s="72" t="s">
        <v>89</v>
      </c>
      <c r="AP41" s="87" t="str">
        <f>IFERROR(ROUND(AVERAGEIFS($O$2:$O$54,$B$2:$B$54,"="&amp;$AN39,$T$2:$T$54,"="&amp;$AM$39,$W$2:$W$54,"="&amp;AP$2),2),"-")</f>
        <v>-</v>
      </c>
      <c r="AQ41" s="75" t="str">
        <f t="shared" ref="AQ41:AX41" si="129">IFERROR(ROUND(AVERAGEIFS($O$2:$O$54,$B$2:$B$54,"="&amp;$AN39,$T$2:$T$54,"="&amp;$AM$39,$W$2:$W$54,"="&amp;AQ$2),2),"-")</f>
        <v>-</v>
      </c>
      <c r="AR41" s="75" t="str">
        <f t="shared" si="129"/>
        <v>-</v>
      </c>
      <c r="AS41" s="75" t="str">
        <f t="shared" si="129"/>
        <v>-</v>
      </c>
      <c r="AT41" s="75" t="str">
        <f t="shared" si="129"/>
        <v>-</v>
      </c>
      <c r="AU41" s="75">
        <f t="shared" si="129"/>
        <v>53.09</v>
      </c>
      <c r="AV41" s="75" t="str">
        <f t="shared" si="129"/>
        <v>-</v>
      </c>
      <c r="AW41" s="75" t="str">
        <f t="shared" si="129"/>
        <v>-</v>
      </c>
      <c r="AX41" s="74" t="str">
        <f t="shared" si="129"/>
        <v>-</v>
      </c>
    </row>
    <row r="42" spans="1:50" ht="20.100000000000001" customHeight="1" x14ac:dyDescent="0.3">
      <c r="A42" s="138">
        <v>29</v>
      </c>
      <c r="B42" s="141">
        <v>3</v>
      </c>
      <c r="C42" s="143">
        <v>201710327</v>
      </c>
      <c r="D42" s="132" t="str">
        <f t="shared" si="110"/>
        <v>전자학과</v>
      </c>
      <c r="E42" s="141" t="s">
        <v>39</v>
      </c>
      <c r="F42" s="141">
        <v>113</v>
      </c>
      <c r="G42" s="134">
        <f t="shared" si="111"/>
        <v>56.5</v>
      </c>
      <c r="H42" s="141">
        <v>89</v>
      </c>
      <c r="I42" s="134">
        <f t="shared" si="112"/>
        <v>80.91</v>
      </c>
      <c r="J42" s="141">
        <v>100</v>
      </c>
      <c r="K42" s="141">
        <v>66</v>
      </c>
      <c r="L42" s="134">
        <f t="shared" si="113"/>
        <v>60</v>
      </c>
      <c r="M42" s="141">
        <v>75</v>
      </c>
      <c r="N42" s="142">
        <v>100</v>
      </c>
      <c r="O42" s="8">
        <f t="shared" si="114"/>
        <v>73.77</v>
      </c>
      <c r="P42" s="136">
        <f t="shared" si="115"/>
        <v>13</v>
      </c>
      <c r="Q42" s="8">
        <f t="shared" si="116"/>
        <v>13</v>
      </c>
      <c r="R42" s="9" t="s">
        <v>71</v>
      </c>
      <c r="S42" s="8" t="str">
        <f t="shared" si="117"/>
        <v>2017</v>
      </c>
      <c r="T42" s="137" t="str">
        <f t="shared" si="118"/>
        <v>103</v>
      </c>
      <c r="U42" s="8" t="b">
        <f t="shared" si="119"/>
        <v>0</v>
      </c>
      <c r="V42" s="8" t="str">
        <f t="shared" si="120"/>
        <v>A</v>
      </c>
      <c r="W42" s="8" t="str">
        <f t="shared" si="121"/>
        <v>A0</v>
      </c>
      <c r="AM42" s="178"/>
      <c r="AN42" s="182">
        <v>2</v>
      </c>
      <c r="AO42" s="76" t="s">
        <v>95</v>
      </c>
      <c r="AP42" s="88">
        <f t="shared" ref="AP42:AX48" si="130">COUNTIFS($B$2:$B$54,"="&amp;$AN42,$T$2:$T$54,"="&amp;$AM$39,$W$2:$W$54,"="&amp;AP$2)</f>
        <v>0</v>
      </c>
      <c r="AQ42" s="77">
        <f t="shared" si="130"/>
        <v>0</v>
      </c>
      <c r="AR42" s="77">
        <f t="shared" si="130"/>
        <v>0</v>
      </c>
      <c r="AS42" s="77">
        <f t="shared" si="130"/>
        <v>1</v>
      </c>
      <c r="AT42" s="77">
        <f t="shared" si="130"/>
        <v>0</v>
      </c>
      <c r="AU42" s="77">
        <f t="shared" si="130"/>
        <v>0</v>
      </c>
      <c r="AV42" s="77">
        <f t="shared" si="130"/>
        <v>1</v>
      </c>
      <c r="AW42" s="77">
        <f t="shared" si="130"/>
        <v>0</v>
      </c>
      <c r="AX42" s="76">
        <f t="shared" si="130"/>
        <v>1</v>
      </c>
    </row>
    <row r="43" spans="1:50" ht="20.100000000000001" customHeight="1" x14ac:dyDescent="0.3">
      <c r="A43" s="138">
        <v>41</v>
      </c>
      <c r="B43" s="141">
        <v>4</v>
      </c>
      <c r="C43" s="143">
        <v>201510311</v>
      </c>
      <c r="D43" s="132" t="str">
        <f t="shared" si="110"/>
        <v>전자학과</v>
      </c>
      <c r="E43" s="141" t="s">
        <v>51</v>
      </c>
      <c r="F43" s="141">
        <v>127</v>
      </c>
      <c r="G43" s="134">
        <f t="shared" si="111"/>
        <v>63.5</v>
      </c>
      <c r="H43" s="141">
        <v>80</v>
      </c>
      <c r="I43" s="134">
        <f t="shared" si="112"/>
        <v>72.73</v>
      </c>
      <c r="J43" s="141">
        <v>100</v>
      </c>
      <c r="K43" s="141">
        <v>74</v>
      </c>
      <c r="L43" s="134">
        <f t="shared" si="113"/>
        <v>67.27</v>
      </c>
      <c r="M43" s="141">
        <v>91</v>
      </c>
      <c r="N43" s="142">
        <v>100</v>
      </c>
      <c r="O43" s="8">
        <f t="shared" si="114"/>
        <v>75.33</v>
      </c>
      <c r="P43" s="136">
        <f t="shared" si="115"/>
        <v>12</v>
      </c>
      <c r="Q43" s="8">
        <f t="shared" si="116"/>
        <v>12</v>
      </c>
      <c r="R43" s="9" t="s">
        <v>71</v>
      </c>
      <c r="S43" s="8" t="str">
        <f t="shared" si="117"/>
        <v>2015</v>
      </c>
      <c r="T43" s="137" t="str">
        <f t="shared" si="118"/>
        <v>103</v>
      </c>
      <c r="U43" s="8" t="b">
        <f t="shared" si="119"/>
        <v>1</v>
      </c>
      <c r="V43" s="8" t="str">
        <f t="shared" si="120"/>
        <v>A</v>
      </c>
      <c r="W43" s="8" t="str">
        <f t="shared" si="121"/>
        <v>A0</v>
      </c>
      <c r="AM43" s="178"/>
      <c r="AN43" s="180"/>
      <c r="AO43" s="70" t="s">
        <v>88</v>
      </c>
      <c r="AP43" s="85">
        <f t="shared" ref="AP43:AX43" si="131">SUMIFS($O$2:$O$54,$B$2:$B$54,"="&amp;$AN42,$T$2:$T$54,"="&amp;$AM$39,$W$2:$W$54,"="&amp;AP$2)</f>
        <v>0</v>
      </c>
      <c r="AQ43" s="71">
        <f t="shared" si="131"/>
        <v>0</v>
      </c>
      <c r="AR43" s="71">
        <f t="shared" si="131"/>
        <v>0</v>
      </c>
      <c r="AS43" s="71">
        <f t="shared" si="131"/>
        <v>68.099999999999994</v>
      </c>
      <c r="AT43" s="71">
        <f t="shared" si="131"/>
        <v>0</v>
      </c>
      <c r="AU43" s="71">
        <f t="shared" si="131"/>
        <v>0</v>
      </c>
      <c r="AV43" s="71">
        <f t="shared" si="131"/>
        <v>43.09</v>
      </c>
      <c r="AW43" s="71">
        <f t="shared" si="131"/>
        <v>0</v>
      </c>
      <c r="AX43" s="70">
        <f t="shared" si="131"/>
        <v>30.02</v>
      </c>
    </row>
    <row r="44" spans="1:50" ht="20.100000000000001" customHeight="1" x14ac:dyDescent="0.3">
      <c r="A44" s="138">
        <v>50</v>
      </c>
      <c r="B44" s="141">
        <v>2</v>
      </c>
      <c r="C44" s="143">
        <v>201610266</v>
      </c>
      <c r="D44" s="132" t="str">
        <f t="shared" si="110"/>
        <v>보안학과</v>
      </c>
      <c r="E44" s="141" t="s">
        <v>60</v>
      </c>
      <c r="F44" s="141">
        <v>97</v>
      </c>
      <c r="G44" s="134">
        <f t="shared" si="111"/>
        <v>48.5</v>
      </c>
      <c r="H44" s="141">
        <v>101</v>
      </c>
      <c r="I44" s="134">
        <f t="shared" si="112"/>
        <v>91.82</v>
      </c>
      <c r="J44" s="141">
        <v>98.89</v>
      </c>
      <c r="K44" s="141">
        <v>73</v>
      </c>
      <c r="L44" s="134">
        <f t="shared" si="113"/>
        <v>66.36</v>
      </c>
      <c r="M44" s="141">
        <v>88</v>
      </c>
      <c r="N44" s="142">
        <v>80</v>
      </c>
      <c r="O44" s="8">
        <f t="shared" si="114"/>
        <v>76.010000000000005</v>
      </c>
      <c r="P44" s="136">
        <f t="shared" si="115"/>
        <v>11</v>
      </c>
      <c r="Q44" s="8">
        <f t="shared" si="116"/>
        <v>11</v>
      </c>
      <c r="R44" s="9"/>
      <c r="S44" s="8" t="str">
        <f t="shared" si="117"/>
        <v>2016</v>
      </c>
      <c r="T44" s="137" t="str">
        <f t="shared" si="118"/>
        <v>102</v>
      </c>
      <c r="U44" s="8" t="b">
        <f t="shared" si="119"/>
        <v>1</v>
      </c>
      <c r="V44" s="8" t="str">
        <f t="shared" si="120"/>
        <v>A</v>
      </c>
      <c r="W44" s="8" t="str">
        <f t="shared" si="121"/>
        <v>A0</v>
      </c>
      <c r="AM44" s="178"/>
      <c r="AN44" s="181"/>
      <c r="AO44" s="72" t="s">
        <v>89</v>
      </c>
      <c r="AP44" s="86" t="str">
        <f t="shared" ref="AP44:AX44" si="132">IFERROR(ROUND(AVERAGEIFS($O$2:$O$54,$B$2:$B$54,"="&amp;$AN42,$T$2:$T$54,"="&amp;$AM$39,$W$2:$W$54,"="&amp;AP$2),2),"-")</f>
        <v>-</v>
      </c>
      <c r="AQ44" s="73" t="str">
        <f t="shared" si="132"/>
        <v>-</v>
      </c>
      <c r="AR44" s="73" t="str">
        <f t="shared" si="132"/>
        <v>-</v>
      </c>
      <c r="AS44" s="73">
        <f t="shared" si="132"/>
        <v>68.099999999999994</v>
      </c>
      <c r="AT44" s="73" t="str">
        <f t="shared" si="132"/>
        <v>-</v>
      </c>
      <c r="AU44" s="73" t="str">
        <f t="shared" si="132"/>
        <v>-</v>
      </c>
      <c r="AV44" s="73">
        <f t="shared" si="132"/>
        <v>43.09</v>
      </c>
      <c r="AW44" s="73" t="str">
        <f t="shared" si="132"/>
        <v>-</v>
      </c>
      <c r="AX44" s="72">
        <f t="shared" si="132"/>
        <v>30.02</v>
      </c>
    </row>
    <row r="45" spans="1:50" ht="20.100000000000001" customHeight="1" x14ac:dyDescent="0.3">
      <c r="A45" s="138">
        <v>30</v>
      </c>
      <c r="B45" s="141">
        <v>2</v>
      </c>
      <c r="C45" s="143">
        <v>201810573</v>
      </c>
      <c r="D45" s="132" t="str">
        <f t="shared" si="110"/>
        <v>통신학과</v>
      </c>
      <c r="E45" s="141" t="s">
        <v>40</v>
      </c>
      <c r="F45" s="141">
        <v>124</v>
      </c>
      <c r="G45" s="134">
        <f t="shared" si="111"/>
        <v>62</v>
      </c>
      <c r="H45" s="141">
        <v>97</v>
      </c>
      <c r="I45" s="134">
        <f t="shared" si="112"/>
        <v>88.18</v>
      </c>
      <c r="J45" s="141">
        <v>96.67</v>
      </c>
      <c r="K45" s="141">
        <v>60</v>
      </c>
      <c r="L45" s="134">
        <f t="shared" si="113"/>
        <v>54.55</v>
      </c>
      <c r="M45" s="141">
        <v>74</v>
      </c>
      <c r="N45" s="142">
        <v>100</v>
      </c>
      <c r="O45" s="8">
        <f t="shared" si="114"/>
        <v>76.989999999999995</v>
      </c>
      <c r="P45" s="136">
        <f t="shared" si="115"/>
        <v>10</v>
      </c>
      <c r="Q45" s="8">
        <f t="shared" si="116"/>
        <v>10</v>
      </c>
      <c r="R45" s="9"/>
      <c r="S45" s="8" t="str">
        <f t="shared" si="117"/>
        <v>2018</v>
      </c>
      <c r="T45" s="137" t="str">
        <f t="shared" si="118"/>
        <v>105</v>
      </c>
      <c r="U45" s="8" t="b">
        <f t="shared" si="119"/>
        <v>1</v>
      </c>
      <c r="V45" s="8" t="str">
        <f t="shared" si="120"/>
        <v>A</v>
      </c>
      <c r="W45" s="8" t="str">
        <f t="shared" si="121"/>
        <v>A0</v>
      </c>
      <c r="AM45" s="178"/>
      <c r="AN45" s="182">
        <v>3</v>
      </c>
      <c r="AO45" s="76" t="s">
        <v>95</v>
      </c>
      <c r="AP45" s="88">
        <f t="shared" ref="AP45" si="133">COUNTIFS($B$2:$B$54,"="&amp;$AN45,$T$2:$T$54,"="&amp;$AM$39,$W$2:$W$54,"="&amp;AP$2)</f>
        <v>0</v>
      </c>
      <c r="AQ45" s="77">
        <f t="shared" si="130"/>
        <v>0</v>
      </c>
      <c r="AR45" s="77">
        <f t="shared" si="130"/>
        <v>1</v>
      </c>
      <c r="AS45" s="77">
        <f t="shared" si="130"/>
        <v>0</v>
      </c>
      <c r="AT45" s="77">
        <f t="shared" si="130"/>
        <v>0</v>
      </c>
      <c r="AU45" s="77">
        <f t="shared" si="130"/>
        <v>0</v>
      </c>
      <c r="AV45" s="77">
        <f t="shared" si="130"/>
        <v>0</v>
      </c>
      <c r="AW45" s="77">
        <f t="shared" si="130"/>
        <v>0</v>
      </c>
      <c r="AX45" s="76">
        <f t="shared" si="130"/>
        <v>0</v>
      </c>
    </row>
    <row r="46" spans="1:50" ht="20.100000000000001" customHeight="1" x14ac:dyDescent="0.3">
      <c r="A46" s="138">
        <v>26</v>
      </c>
      <c r="B46" s="139">
        <v>2</v>
      </c>
      <c r="C46" s="139">
        <v>201810531</v>
      </c>
      <c r="D46" s="132" t="str">
        <f t="shared" si="110"/>
        <v>통신학과</v>
      </c>
      <c r="E46" s="140" t="s">
        <v>35</v>
      </c>
      <c r="F46" s="141">
        <v>141</v>
      </c>
      <c r="G46" s="134">
        <f t="shared" si="111"/>
        <v>70.5</v>
      </c>
      <c r="H46" s="141">
        <v>85</v>
      </c>
      <c r="I46" s="134">
        <f t="shared" si="112"/>
        <v>77.27</v>
      </c>
      <c r="J46" s="141">
        <v>100</v>
      </c>
      <c r="K46" s="141">
        <v>70</v>
      </c>
      <c r="L46" s="134">
        <f t="shared" si="113"/>
        <v>63.64</v>
      </c>
      <c r="M46" s="141">
        <v>77</v>
      </c>
      <c r="N46" s="142">
        <v>100</v>
      </c>
      <c r="O46" s="8">
        <f t="shared" si="114"/>
        <v>77.260000000000005</v>
      </c>
      <c r="P46" s="136">
        <f t="shared" si="115"/>
        <v>9</v>
      </c>
      <c r="Q46" s="8">
        <f t="shared" si="116"/>
        <v>9</v>
      </c>
      <c r="R46" s="9"/>
      <c r="S46" s="8" t="str">
        <f t="shared" si="117"/>
        <v>2018</v>
      </c>
      <c r="T46" s="137" t="str">
        <f t="shared" si="118"/>
        <v>105</v>
      </c>
      <c r="U46" s="8" t="b">
        <f t="shared" si="119"/>
        <v>1</v>
      </c>
      <c r="V46" s="8" t="str">
        <f t="shared" si="120"/>
        <v>A</v>
      </c>
      <c r="W46" s="8" t="str">
        <f t="shared" si="121"/>
        <v>A0</v>
      </c>
      <c r="AM46" s="178"/>
      <c r="AN46" s="180"/>
      <c r="AO46" s="70" t="s">
        <v>88</v>
      </c>
      <c r="AP46" s="85">
        <f t="shared" ref="AP46:AX46" si="134">SUMIFS($O$2:$O$54,$B$2:$B$54,"="&amp;$AN45,$T$2:$T$54,"="&amp;$AM$39,$W$2:$W$54,"="&amp;AP$2)</f>
        <v>0</v>
      </c>
      <c r="AQ46" s="71">
        <f t="shared" si="134"/>
        <v>0</v>
      </c>
      <c r="AR46" s="71">
        <f t="shared" si="134"/>
        <v>82.26</v>
      </c>
      <c r="AS46" s="71">
        <f t="shared" si="134"/>
        <v>0</v>
      </c>
      <c r="AT46" s="71">
        <f t="shared" si="134"/>
        <v>0</v>
      </c>
      <c r="AU46" s="71">
        <f t="shared" si="134"/>
        <v>0</v>
      </c>
      <c r="AV46" s="71">
        <f t="shared" si="134"/>
        <v>0</v>
      </c>
      <c r="AW46" s="71">
        <f t="shared" si="134"/>
        <v>0</v>
      </c>
      <c r="AX46" s="70">
        <f t="shared" si="134"/>
        <v>0</v>
      </c>
    </row>
    <row r="47" spans="1:50" ht="20.100000000000001" customHeight="1" x14ac:dyDescent="0.3">
      <c r="A47" s="138">
        <v>25</v>
      </c>
      <c r="B47" s="139">
        <v>2</v>
      </c>
      <c r="C47" s="139">
        <v>201610130</v>
      </c>
      <c r="D47" s="132" t="str">
        <f t="shared" si="110"/>
        <v>컴퓨터학과</v>
      </c>
      <c r="E47" s="140" t="s">
        <v>34</v>
      </c>
      <c r="F47" s="141">
        <v>162</v>
      </c>
      <c r="G47" s="134">
        <f t="shared" si="111"/>
        <v>81</v>
      </c>
      <c r="H47" s="141">
        <v>80</v>
      </c>
      <c r="I47" s="134">
        <f t="shared" si="112"/>
        <v>72.73</v>
      </c>
      <c r="J47" s="141">
        <v>96.67</v>
      </c>
      <c r="K47" s="141">
        <v>55</v>
      </c>
      <c r="L47" s="134">
        <f t="shared" si="113"/>
        <v>50</v>
      </c>
      <c r="M47" s="141">
        <v>83</v>
      </c>
      <c r="N47" s="142">
        <v>100</v>
      </c>
      <c r="O47" s="8">
        <f t="shared" si="114"/>
        <v>77.72</v>
      </c>
      <c r="P47" s="136">
        <f t="shared" si="115"/>
        <v>8</v>
      </c>
      <c r="Q47" s="8">
        <f t="shared" si="116"/>
        <v>8</v>
      </c>
      <c r="R47" s="9"/>
      <c r="S47" s="8" t="str">
        <f t="shared" si="117"/>
        <v>2016</v>
      </c>
      <c r="T47" s="137" t="str">
        <f t="shared" si="118"/>
        <v>101</v>
      </c>
      <c r="U47" s="8" t="b">
        <f t="shared" si="119"/>
        <v>1</v>
      </c>
      <c r="V47" s="8" t="str">
        <f t="shared" si="120"/>
        <v>A</v>
      </c>
      <c r="W47" s="8" t="str">
        <f t="shared" si="121"/>
        <v>A0</v>
      </c>
      <c r="AM47" s="178"/>
      <c r="AN47" s="181"/>
      <c r="AO47" s="72" t="s">
        <v>89</v>
      </c>
      <c r="AP47" s="86" t="str">
        <f t="shared" ref="AP47:AX47" si="135">IFERROR(ROUND(AVERAGEIFS($O$2:$O$54,$B$2:$B$54,"="&amp;$AN45,$T$2:$T$54,"="&amp;$AM$39,$W$2:$W$54,"="&amp;AP$2),2),"-")</f>
        <v>-</v>
      </c>
      <c r="AQ47" s="73" t="str">
        <f t="shared" si="135"/>
        <v>-</v>
      </c>
      <c r="AR47" s="73">
        <f t="shared" si="135"/>
        <v>82.26</v>
      </c>
      <c r="AS47" s="73" t="str">
        <f t="shared" si="135"/>
        <v>-</v>
      </c>
      <c r="AT47" s="73" t="str">
        <f t="shared" si="135"/>
        <v>-</v>
      </c>
      <c r="AU47" s="73" t="str">
        <f t="shared" si="135"/>
        <v>-</v>
      </c>
      <c r="AV47" s="73" t="str">
        <f t="shared" si="135"/>
        <v>-</v>
      </c>
      <c r="AW47" s="73" t="str">
        <f t="shared" si="135"/>
        <v>-</v>
      </c>
      <c r="AX47" s="72" t="str">
        <f t="shared" si="135"/>
        <v>-</v>
      </c>
    </row>
    <row r="48" spans="1:50" ht="20.100000000000001" customHeight="1" x14ac:dyDescent="0.3">
      <c r="A48" s="138">
        <v>20</v>
      </c>
      <c r="B48" s="139">
        <v>4</v>
      </c>
      <c r="C48" s="139">
        <v>201610118</v>
      </c>
      <c r="D48" s="132" t="str">
        <f t="shared" si="110"/>
        <v>컴퓨터학과</v>
      </c>
      <c r="E48" s="140" t="s">
        <v>29</v>
      </c>
      <c r="F48" s="141">
        <v>145</v>
      </c>
      <c r="G48" s="134">
        <f t="shared" si="111"/>
        <v>72.5</v>
      </c>
      <c r="H48" s="141">
        <v>93</v>
      </c>
      <c r="I48" s="134">
        <f t="shared" si="112"/>
        <v>84.55</v>
      </c>
      <c r="J48" s="141">
        <v>98.89</v>
      </c>
      <c r="K48" s="141">
        <v>74</v>
      </c>
      <c r="L48" s="134">
        <f t="shared" si="113"/>
        <v>67.27</v>
      </c>
      <c r="M48" s="141">
        <v>50</v>
      </c>
      <c r="N48" s="142">
        <v>100</v>
      </c>
      <c r="O48" s="8">
        <f t="shared" si="114"/>
        <v>77.959999999999994</v>
      </c>
      <c r="P48" s="136">
        <f t="shared" si="115"/>
        <v>7</v>
      </c>
      <c r="Q48" s="8">
        <f t="shared" si="116"/>
        <v>7</v>
      </c>
      <c r="R48" s="9"/>
      <c r="S48" s="8" t="str">
        <f t="shared" si="117"/>
        <v>2016</v>
      </c>
      <c r="T48" s="137" t="str">
        <f t="shared" si="118"/>
        <v>101</v>
      </c>
      <c r="U48" s="8" t="b">
        <f t="shared" si="119"/>
        <v>1</v>
      </c>
      <c r="V48" s="8" t="str">
        <f t="shared" si="120"/>
        <v>A</v>
      </c>
      <c r="W48" s="8" t="str">
        <f t="shared" si="121"/>
        <v>A0</v>
      </c>
      <c r="AM48" s="178"/>
      <c r="AN48" s="182">
        <v>4</v>
      </c>
      <c r="AO48" s="76" t="s">
        <v>95</v>
      </c>
      <c r="AP48" s="89">
        <f t="shared" ref="AP48" si="136">COUNTIFS($B$2:$B$54,"="&amp;$AN48,$T$2:$T$54,"="&amp;$AM$39,$W$2:$W$54,"="&amp;AP$2)</f>
        <v>0</v>
      </c>
      <c r="AQ48" s="79">
        <f t="shared" si="130"/>
        <v>0</v>
      </c>
      <c r="AR48" s="79">
        <f t="shared" si="130"/>
        <v>0</v>
      </c>
      <c r="AS48" s="79">
        <f t="shared" si="130"/>
        <v>1</v>
      </c>
      <c r="AT48" s="79">
        <f t="shared" si="130"/>
        <v>0</v>
      </c>
      <c r="AU48" s="79">
        <f t="shared" si="130"/>
        <v>1</v>
      </c>
      <c r="AV48" s="79">
        <f t="shared" si="130"/>
        <v>0</v>
      </c>
      <c r="AW48" s="79">
        <f t="shared" si="130"/>
        <v>0</v>
      </c>
      <c r="AX48" s="78">
        <f t="shared" si="130"/>
        <v>0</v>
      </c>
    </row>
    <row r="49" spans="1:50" ht="20.100000000000001" customHeight="1" x14ac:dyDescent="0.3">
      <c r="A49" s="138">
        <v>19</v>
      </c>
      <c r="B49" s="139">
        <v>2</v>
      </c>
      <c r="C49" s="139">
        <v>201810117</v>
      </c>
      <c r="D49" s="132" t="str">
        <f t="shared" si="110"/>
        <v>컴퓨터학과</v>
      </c>
      <c r="E49" s="140" t="s">
        <v>28</v>
      </c>
      <c r="F49" s="141">
        <v>139</v>
      </c>
      <c r="G49" s="134">
        <f t="shared" si="111"/>
        <v>69.5</v>
      </c>
      <c r="H49" s="141">
        <v>89</v>
      </c>
      <c r="I49" s="134">
        <f t="shared" si="112"/>
        <v>80.91</v>
      </c>
      <c r="J49" s="141">
        <v>96.67</v>
      </c>
      <c r="K49" s="141">
        <v>60</v>
      </c>
      <c r="L49" s="134">
        <f t="shared" si="113"/>
        <v>54.55</v>
      </c>
      <c r="M49" s="141">
        <v>87</v>
      </c>
      <c r="N49" s="142">
        <v>100</v>
      </c>
      <c r="O49" s="8">
        <f t="shared" si="114"/>
        <v>77.989999999999995</v>
      </c>
      <c r="P49" s="136">
        <f t="shared" si="115"/>
        <v>6</v>
      </c>
      <c r="Q49" s="8">
        <f t="shared" si="116"/>
        <v>6</v>
      </c>
      <c r="R49" s="9"/>
      <c r="S49" s="8" t="str">
        <f t="shared" si="117"/>
        <v>2018</v>
      </c>
      <c r="T49" s="137" t="str">
        <f t="shared" si="118"/>
        <v>101</v>
      </c>
      <c r="U49" s="8" t="b">
        <f t="shared" si="119"/>
        <v>1</v>
      </c>
      <c r="V49" s="8" t="str">
        <f t="shared" si="120"/>
        <v>A</v>
      </c>
      <c r="W49" s="8" t="str">
        <f t="shared" si="121"/>
        <v>A0</v>
      </c>
      <c r="AM49" s="178"/>
      <c r="AN49" s="180"/>
      <c r="AO49" s="70" t="s">
        <v>88</v>
      </c>
      <c r="AP49" s="85">
        <f t="shared" ref="AP49:AX49" si="137">SUMIFS($O$2:$O$54,$B$2:$B$54,"="&amp;$AN48,$T$2:$T$54,"="&amp;$AM$39,$W$2:$W$54,"="&amp;AP$2)</f>
        <v>0</v>
      </c>
      <c r="AQ49" s="71">
        <f t="shared" si="137"/>
        <v>0</v>
      </c>
      <c r="AR49" s="71">
        <f t="shared" si="137"/>
        <v>0</v>
      </c>
      <c r="AS49" s="71">
        <f t="shared" si="137"/>
        <v>64.66</v>
      </c>
      <c r="AT49" s="71">
        <f t="shared" si="137"/>
        <v>0</v>
      </c>
      <c r="AU49" s="71">
        <f t="shared" si="137"/>
        <v>48.16</v>
      </c>
      <c r="AV49" s="71">
        <f t="shared" si="137"/>
        <v>0</v>
      </c>
      <c r="AW49" s="71">
        <f t="shared" si="137"/>
        <v>0</v>
      </c>
      <c r="AX49" s="70">
        <f t="shared" si="137"/>
        <v>0</v>
      </c>
    </row>
    <row r="50" spans="1:50" ht="20.100000000000001" customHeight="1" thickBot="1" x14ac:dyDescent="0.35">
      <c r="A50" s="138">
        <v>38</v>
      </c>
      <c r="B50" s="141">
        <v>3</v>
      </c>
      <c r="C50" s="143">
        <v>201510196</v>
      </c>
      <c r="D50" s="132" t="str">
        <f t="shared" si="110"/>
        <v>컴퓨터학과</v>
      </c>
      <c r="E50" s="141" t="s">
        <v>48</v>
      </c>
      <c r="F50" s="141">
        <v>160</v>
      </c>
      <c r="G50" s="134">
        <f t="shared" si="111"/>
        <v>80</v>
      </c>
      <c r="H50" s="141">
        <v>79</v>
      </c>
      <c r="I50" s="134">
        <f t="shared" si="112"/>
        <v>71.819999999999993</v>
      </c>
      <c r="J50" s="141">
        <v>91.11</v>
      </c>
      <c r="K50" s="141">
        <v>67</v>
      </c>
      <c r="L50" s="134">
        <f t="shared" si="113"/>
        <v>60.91</v>
      </c>
      <c r="M50" s="141">
        <v>95</v>
      </c>
      <c r="N50" s="142">
        <v>100</v>
      </c>
      <c r="O50" s="8">
        <f t="shared" si="114"/>
        <v>78.84</v>
      </c>
      <c r="P50" s="136">
        <f t="shared" si="115"/>
        <v>5</v>
      </c>
      <c r="Q50" s="8">
        <f t="shared" si="116"/>
        <v>5</v>
      </c>
      <c r="R50" s="9" t="s">
        <v>71</v>
      </c>
      <c r="S50" s="8" t="str">
        <f t="shared" si="117"/>
        <v>2015</v>
      </c>
      <c r="T50" s="137" t="str">
        <f t="shared" si="118"/>
        <v>101</v>
      </c>
      <c r="U50" s="8" t="b">
        <f t="shared" si="119"/>
        <v>1</v>
      </c>
      <c r="V50" s="8" t="str">
        <f t="shared" si="120"/>
        <v>A</v>
      </c>
      <c r="W50" s="8" t="str">
        <f t="shared" si="121"/>
        <v>A0</v>
      </c>
      <c r="AM50" s="184"/>
      <c r="AN50" s="186"/>
      <c r="AO50" s="82" t="s">
        <v>89</v>
      </c>
      <c r="AP50" s="91" t="str">
        <f t="shared" ref="AP50:AX50" si="138">IFERROR(ROUND(AVERAGEIFS($O$2:$O$54,$B$2:$B$54,"="&amp;$AN48,$T$2:$T$54,"="&amp;$AM$39,$W$2:$W$54,"="&amp;AP$2),2),"-")</f>
        <v>-</v>
      </c>
      <c r="AQ50" s="83" t="str">
        <f t="shared" si="138"/>
        <v>-</v>
      </c>
      <c r="AR50" s="83" t="str">
        <f t="shared" si="138"/>
        <v>-</v>
      </c>
      <c r="AS50" s="83">
        <f t="shared" si="138"/>
        <v>64.66</v>
      </c>
      <c r="AT50" s="83" t="str">
        <f t="shared" si="138"/>
        <v>-</v>
      </c>
      <c r="AU50" s="83">
        <f t="shared" si="138"/>
        <v>48.16</v>
      </c>
      <c r="AV50" s="83" t="str">
        <f t="shared" si="138"/>
        <v>-</v>
      </c>
      <c r="AW50" s="83" t="str">
        <f t="shared" si="138"/>
        <v>-</v>
      </c>
      <c r="AX50" s="82" t="str">
        <f t="shared" si="138"/>
        <v>-</v>
      </c>
    </row>
    <row r="51" spans="1:50" ht="20.100000000000001" customHeight="1" thickTop="1" x14ac:dyDescent="0.3">
      <c r="A51" s="138">
        <v>43</v>
      </c>
      <c r="B51" s="141">
        <v>3</v>
      </c>
      <c r="C51" s="143">
        <v>201510342</v>
      </c>
      <c r="D51" s="132" t="str">
        <f t="shared" si="110"/>
        <v>전자학과</v>
      </c>
      <c r="E51" s="141" t="s">
        <v>53</v>
      </c>
      <c r="F51" s="141">
        <v>160</v>
      </c>
      <c r="G51" s="134">
        <f t="shared" si="111"/>
        <v>80</v>
      </c>
      <c r="H51" s="141">
        <v>82</v>
      </c>
      <c r="I51" s="134">
        <f t="shared" si="112"/>
        <v>74.55</v>
      </c>
      <c r="J51" s="141">
        <v>100</v>
      </c>
      <c r="K51" s="141">
        <v>79</v>
      </c>
      <c r="L51" s="134">
        <f t="shared" si="113"/>
        <v>71.819999999999993</v>
      </c>
      <c r="M51" s="141">
        <v>90</v>
      </c>
      <c r="N51" s="142">
        <v>100</v>
      </c>
      <c r="O51" s="8">
        <f t="shared" si="114"/>
        <v>81.27</v>
      </c>
      <c r="P51" s="136">
        <f t="shared" si="115"/>
        <v>4</v>
      </c>
      <c r="Q51" s="8">
        <f t="shared" si="116"/>
        <v>4</v>
      </c>
      <c r="R51" s="9"/>
      <c r="S51" s="8" t="str">
        <f t="shared" si="117"/>
        <v>2015</v>
      </c>
      <c r="T51" s="137" t="str">
        <f t="shared" si="118"/>
        <v>103</v>
      </c>
      <c r="U51" s="8" t="b">
        <f t="shared" si="119"/>
        <v>1</v>
      </c>
      <c r="V51" s="8" t="str">
        <f t="shared" si="120"/>
        <v>A</v>
      </c>
      <c r="W51" s="8" t="str">
        <f t="shared" si="121"/>
        <v>A+</v>
      </c>
      <c r="AM51" s="178">
        <v>105</v>
      </c>
      <c r="AN51" s="180">
        <v>1</v>
      </c>
      <c r="AO51" s="78" t="s">
        <v>95</v>
      </c>
      <c r="AP51" s="90">
        <f>COUNTIFS($B$2:$B$54,"="&amp;$AN51,$T$2:$T$54,"="&amp;$AM$51,$W$2:$W$54,"="&amp;AP$2)</f>
        <v>0</v>
      </c>
      <c r="AQ51" s="81">
        <f t="shared" ref="AQ51:AX51" si="139">COUNTIFS($B$2:$B$54,"="&amp;$AN51,$T$2:$T$54,"="&amp;$AM$51,$W$2:$W$54,"="&amp;AQ$2)</f>
        <v>1</v>
      </c>
      <c r="AR51" s="81">
        <f t="shared" si="139"/>
        <v>0</v>
      </c>
      <c r="AS51" s="81">
        <f t="shared" si="139"/>
        <v>0</v>
      </c>
      <c r="AT51" s="81">
        <f t="shared" si="139"/>
        <v>0</v>
      </c>
      <c r="AU51" s="81">
        <f t="shared" si="139"/>
        <v>0</v>
      </c>
      <c r="AV51" s="81">
        <f t="shared" si="139"/>
        <v>0</v>
      </c>
      <c r="AW51" s="81">
        <f t="shared" si="139"/>
        <v>0</v>
      </c>
      <c r="AX51" s="80">
        <f t="shared" si="139"/>
        <v>1</v>
      </c>
    </row>
    <row r="52" spans="1:50" ht="20.100000000000001" customHeight="1" x14ac:dyDescent="0.3">
      <c r="A52" s="138">
        <v>45</v>
      </c>
      <c r="B52" s="141">
        <v>3</v>
      </c>
      <c r="C52" s="143">
        <v>201710471</v>
      </c>
      <c r="D52" s="132" t="str">
        <f t="shared" si="110"/>
        <v>게임학과</v>
      </c>
      <c r="E52" s="141" t="s">
        <v>55</v>
      </c>
      <c r="F52" s="141">
        <v>155</v>
      </c>
      <c r="G52" s="134">
        <f t="shared" si="111"/>
        <v>77.5</v>
      </c>
      <c r="H52" s="141">
        <v>91</v>
      </c>
      <c r="I52" s="134">
        <f t="shared" si="112"/>
        <v>82.73</v>
      </c>
      <c r="J52" s="141">
        <v>100</v>
      </c>
      <c r="K52" s="141">
        <v>82</v>
      </c>
      <c r="L52" s="134">
        <f t="shared" si="113"/>
        <v>74.55</v>
      </c>
      <c r="M52" s="141">
        <v>76</v>
      </c>
      <c r="N52" s="142">
        <v>100</v>
      </c>
      <c r="O52" s="8">
        <f t="shared" si="114"/>
        <v>82.26</v>
      </c>
      <c r="P52" s="136">
        <f t="shared" si="115"/>
        <v>3</v>
      </c>
      <c r="Q52" s="8">
        <f t="shared" si="116"/>
        <v>3</v>
      </c>
      <c r="R52" s="9" t="s">
        <v>71</v>
      </c>
      <c r="S52" s="8" t="str">
        <f t="shared" si="117"/>
        <v>2017</v>
      </c>
      <c r="T52" s="137" t="str">
        <f t="shared" si="118"/>
        <v>104</v>
      </c>
      <c r="U52" s="8" t="b">
        <f t="shared" si="119"/>
        <v>0</v>
      </c>
      <c r="V52" s="8" t="str">
        <f t="shared" si="120"/>
        <v>A</v>
      </c>
      <c r="W52" s="8" t="str">
        <f t="shared" si="121"/>
        <v>B+</v>
      </c>
      <c r="AM52" s="178"/>
      <c r="AN52" s="180"/>
      <c r="AO52" s="70" t="s">
        <v>88</v>
      </c>
      <c r="AP52" s="85">
        <f>SUMIFS($O$2:$O$54,$B$2:$B$54,"="&amp;$AN51,$T$2:$T$54,"="&amp;$AM$51,$W$2:$W$54,"="&amp;AP$2)</f>
        <v>0</v>
      </c>
      <c r="AQ52" s="71">
        <f t="shared" ref="AQ52:AX52" si="140">SUMIFS($O$2:$O$54,$B$2:$B$54,"="&amp;$AN51,$T$2:$T$54,"="&amp;$AM$51,$W$2:$W$54,"="&amp;AQ$2)</f>
        <v>72.69</v>
      </c>
      <c r="AR52" s="71">
        <f t="shared" si="140"/>
        <v>0</v>
      </c>
      <c r="AS52" s="71">
        <f t="shared" si="140"/>
        <v>0</v>
      </c>
      <c r="AT52" s="71">
        <f t="shared" si="140"/>
        <v>0</v>
      </c>
      <c r="AU52" s="71">
        <f t="shared" si="140"/>
        <v>0</v>
      </c>
      <c r="AV52" s="71">
        <f t="shared" si="140"/>
        <v>0</v>
      </c>
      <c r="AW52" s="71">
        <f t="shared" si="140"/>
        <v>0</v>
      </c>
      <c r="AX52" s="70">
        <f t="shared" si="140"/>
        <v>28.25</v>
      </c>
    </row>
    <row r="53" spans="1:50" ht="20.100000000000001" customHeight="1" x14ac:dyDescent="0.3">
      <c r="A53" s="138">
        <v>27</v>
      </c>
      <c r="B53" s="139">
        <v>2</v>
      </c>
      <c r="C53" s="139">
        <v>201810538</v>
      </c>
      <c r="D53" s="132" t="str">
        <f t="shared" si="110"/>
        <v>통신학과</v>
      </c>
      <c r="E53" s="140" t="s">
        <v>36</v>
      </c>
      <c r="F53" s="141">
        <v>153</v>
      </c>
      <c r="G53" s="134">
        <f t="shared" si="111"/>
        <v>76.5</v>
      </c>
      <c r="H53" s="141">
        <v>105</v>
      </c>
      <c r="I53" s="134">
        <f t="shared" si="112"/>
        <v>95.45</v>
      </c>
      <c r="J53" s="141">
        <v>100</v>
      </c>
      <c r="K53" s="141">
        <v>81</v>
      </c>
      <c r="L53" s="134">
        <f t="shared" si="113"/>
        <v>73.64</v>
      </c>
      <c r="M53" s="141">
        <v>83</v>
      </c>
      <c r="N53" s="142">
        <v>100</v>
      </c>
      <c r="O53" s="8">
        <f t="shared" si="114"/>
        <v>87.02</v>
      </c>
      <c r="P53" s="136">
        <f t="shared" si="115"/>
        <v>2</v>
      </c>
      <c r="Q53" s="8">
        <f t="shared" si="116"/>
        <v>2</v>
      </c>
      <c r="R53" s="9"/>
      <c r="S53" s="8" t="str">
        <f t="shared" si="117"/>
        <v>2018</v>
      </c>
      <c r="T53" s="137" t="str">
        <f t="shared" si="118"/>
        <v>105</v>
      </c>
      <c r="U53" s="8" t="b">
        <f t="shared" si="119"/>
        <v>1</v>
      </c>
      <c r="V53" s="8" t="str">
        <f t="shared" si="120"/>
        <v>A</v>
      </c>
      <c r="W53" s="8" t="str">
        <f t="shared" si="121"/>
        <v>A+</v>
      </c>
      <c r="AM53" s="178"/>
      <c r="AN53" s="181"/>
      <c r="AO53" s="72" t="s">
        <v>89</v>
      </c>
      <c r="AP53" s="87" t="str">
        <f>IFERROR(ROUND(AVERAGEIFS($O$2:$O$54,$B$2:$B$54,"="&amp;$AN51,$T$2:$T$54,"="&amp;$AM$51,$W$2:$W$54,"="&amp;AP$2),2),"-")</f>
        <v>-</v>
      </c>
      <c r="AQ53" s="75">
        <f t="shared" ref="AQ53:AX53" si="141">IFERROR(ROUND(AVERAGEIFS($O$2:$O$54,$B$2:$B$54,"="&amp;$AN51,$T$2:$T$54,"="&amp;$AM$51,$W$2:$W$54,"="&amp;AQ$2),2),"-")</f>
        <v>72.69</v>
      </c>
      <c r="AR53" s="75" t="str">
        <f t="shared" si="141"/>
        <v>-</v>
      </c>
      <c r="AS53" s="75" t="str">
        <f t="shared" si="141"/>
        <v>-</v>
      </c>
      <c r="AT53" s="75" t="str">
        <f t="shared" si="141"/>
        <v>-</v>
      </c>
      <c r="AU53" s="75" t="str">
        <f t="shared" si="141"/>
        <v>-</v>
      </c>
      <c r="AV53" s="75" t="str">
        <f t="shared" si="141"/>
        <v>-</v>
      </c>
      <c r="AW53" s="75" t="str">
        <f t="shared" si="141"/>
        <v>-</v>
      </c>
      <c r="AX53" s="74">
        <f t="shared" si="141"/>
        <v>28.25</v>
      </c>
    </row>
    <row r="54" spans="1:50" ht="20.100000000000001" customHeight="1" thickBot="1" x14ac:dyDescent="0.35">
      <c r="A54" s="145">
        <v>40</v>
      </c>
      <c r="B54" s="146">
        <v>2</v>
      </c>
      <c r="C54" s="147">
        <v>201710110</v>
      </c>
      <c r="D54" s="148" t="str">
        <f t="shared" si="110"/>
        <v>컴퓨터학과</v>
      </c>
      <c r="E54" s="146" t="s">
        <v>50</v>
      </c>
      <c r="F54" s="146">
        <v>167</v>
      </c>
      <c r="G54" s="146">
        <f t="shared" si="111"/>
        <v>83.5</v>
      </c>
      <c r="H54" s="146">
        <v>99</v>
      </c>
      <c r="I54" s="146">
        <f t="shared" si="112"/>
        <v>90</v>
      </c>
      <c r="J54" s="146">
        <v>100</v>
      </c>
      <c r="K54" s="146">
        <v>102</v>
      </c>
      <c r="L54" s="146">
        <f t="shared" si="113"/>
        <v>92.73</v>
      </c>
      <c r="M54" s="146">
        <v>90</v>
      </c>
      <c r="N54" s="149">
        <v>100</v>
      </c>
      <c r="O54" s="150">
        <f t="shared" si="114"/>
        <v>89.82</v>
      </c>
      <c r="P54" s="150">
        <f t="shared" si="115"/>
        <v>1</v>
      </c>
      <c r="Q54" s="150">
        <f t="shared" si="116"/>
        <v>1</v>
      </c>
      <c r="R54" s="150"/>
      <c r="S54" s="150" t="str">
        <f t="shared" si="117"/>
        <v>2017</v>
      </c>
      <c r="T54" s="151" t="str">
        <f t="shared" si="118"/>
        <v>101</v>
      </c>
      <c r="U54" s="150" t="b">
        <f t="shared" si="119"/>
        <v>1</v>
      </c>
      <c r="V54" s="150" t="str">
        <f t="shared" si="120"/>
        <v>A</v>
      </c>
      <c r="W54" s="150" t="str">
        <f t="shared" si="121"/>
        <v>A+</v>
      </c>
      <c r="AM54" s="178"/>
      <c r="AN54" s="159">
        <v>2</v>
      </c>
      <c r="AO54" s="76" t="s">
        <v>95</v>
      </c>
      <c r="AP54" s="88">
        <f t="shared" ref="AP54:AX54" si="142">COUNTIFS($B$2:$B$54,"="&amp;$AN54,$T$2:$T$54,"="&amp;$AM$51,$W$2:$W$54,"="&amp;AP$2)</f>
        <v>1</v>
      </c>
      <c r="AQ54" s="77">
        <f t="shared" si="142"/>
        <v>2</v>
      </c>
      <c r="AR54" s="77">
        <f t="shared" si="142"/>
        <v>2</v>
      </c>
      <c r="AS54" s="77">
        <f t="shared" si="142"/>
        <v>0</v>
      </c>
      <c r="AT54" s="77">
        <f t="shared" si="142"/>
        <v>0</v>
      </c>
      <c r="AU54" s="77">
        <f t="shared" si="142"/>
        <v>0</v>
      </c>
      <c r="AV54" s="77">
        <f t="shared" si="142"/>
        <v>1</v>
      </c>
      <c r="AW54" s="77">
        <f t="shared" si="142"/>
        <v>0</v>
      </c>
      <c r="AX54" s="76">
        <f t="shared" si="142"/>
        <v>0</v>
      </c>
    </row>
    <row r="55" spans="1:50" ht="20.100000000000001" customHeight="1" thickTop="1" thickBot="1" x14ac:dyDescent="0.35">
      <c r="A55" s="217" t="s">
        <v>88</v>
      </c>
      <c r="B55" s="218"/>
      <c r="C55" s="218"/>
      <c r="D55" s="219"/>
      <c r="E55" s="220"/>
      <c r="F55" s="168">
        <f>SUM(F2:F54)</f>
        <v>6033</v>
      </c>
      <c r="G55" s="168">
        <f t="shared" ref="G55:N55" si="143">SUM(G2:G54)</f>
        <v>3016.5</v>
      </c>
      <c r="H55" s="168">
        <f t="shared" si="143"/>
        <v>3427</v>
      </c>
      <c r="I55" s="168">
        <f t="shared" si="143"/>
        <v>3115.4700000000003</v>
      </c>
      <c r="J55" s="168">
        <f t="shared" si="143"/>
        <v>5043.3600000000006</v>
      </c>
      <c r="K55" s="168">
        <f t="shared" si="143"/>
        <v>2855</v>
      </c>
      <c r="L55" s="168">
        <f t="shared" si="143"/>
        <v>2595.5100000000007</v>
      </c>
      <c r="M55" s="168">
        <f t="shared" si="143"/>
        <v>2731</v>
      </c>
      <c r="N55" s="168">
        <f t="shared" si="143"/>
        <v>4690</v>
      </c>
      <c r="O55" s="169">
        <f>SUM(O2:O54)</f>
        <v>3266.88</v>
      </c>
      <c r="P55" s="221"/>
      <c r="Q55" s="222"/>
      <c r="R55" s="222"/>
      <c r="S55" s="222"/>
      <c r="T55" s="222"/>
      <c r="U55" s="222"/>
      <c r="V55" s="223"/>
      <c r="W55" s="224"/>
      <c r="AM55" s="178"/>
    </row>
    <row r="56" spans="1:50" ht="20.100000000000001" customHeight="1" thickTop="1" thickBot="1" x14ac:dyDescent="0.35">
      <c r="A56" s="233" t="s">
        <v>89</v>
      </c>
      <c r="B56" s="234"/>
      <c r="C56" s="234"/>
      <c r="D56" s="234"/>
      <c r="E56" s="235"/>
      <c r="F56" s="168">
        <f>ROUND(AVERAGE(F2:F54),2)</f>
        <v>113.83</v>
      </c>
      <c r="G56" s="168">
        <f t="shared" ref="G56:N56" si="144">ROUND(AVERAGE(G2:G54),2)</f>
        <v>56.92</v>
      </c>
      <c r="H56" s="168">
        <f t="shared" si="144"/>
        <v>64.66</v>
      </c>
      <c r="I56" s="168">
        <f t="shared" si="144"/>
        <v>58.78</v>
      </c>
      <c r="J56" s="168">
        <f t="shared" si="144"/>
        <v>95.16</v>
      </c>
      <c r="K56" s="168">
        <f t="shared" si="144"/>
        <v>53.87</v>
      </c>
      <c r="L56" s="168">
        <f t="shared" si="144"/>
        <v>48.97</v>
      </c>
      <c r="M56" s="168">
        <f t="shared" si="144"/>
        <v>51.53</v>
      </c>
      <c r="N56" s="168">
        <f t="shared" si="144"/>
        <v>88.49</v>
      </c>
      <c r="O56" s="169">
        <f>AVERAGE(O2:O54)</f>
        <v>61.639245283018873</v>
      </c>
      <c r="P56" s="225"/>
      <c r="Q56" s="226"/>
      <c r="R56" s="226"/>
      <c r="S56" s="226"/>
      <c r="T56" s="226"/>
      <c r="U56" s="226"/>
      <c r="V56" s="227"/>
      <c r="W56" s="228"/>
      <c r="AM56" s="178"/>
    </row>
    <row r="57" spans="1:50" ht="20.100000000000001" customHeight="1" thickTop="1" thickBot="1" x14ac:dyDescent="0.35">
      <c r="A57" s="236" t="s">
        <v>122</v>
      </c>
      <c r="B57" s="237"/>
      <c r="C57" s="237"/>
      <c r="D57" s="238"/>
      <c r="E57" s="239"/>
      <c r="F57" s="170">
        <f>MAX(F2:F54)</f>
        <v>167</v>
      </c>
      <c r="G57" s="171">
        <f t="shared" ref="G57:N57" si="145">MAX(G2:G54)</f>
        <v>83.5</v>
      </c>
      <c r="H57" s="171">
        <f t="shared" si="145"/>
        <v>105</v>
      </c>
      <c r="I57" s="171">
        <f t="shared" si="145"/>
        <v>95.45</v>
      </c>
      <c r="J57" s="171">
        <f t="shared" si="145"/>
        <v>100</v>
      </c>
      <c r="K57" s="171">
        <f t="shared" si="145"/>
        <v>102</v>
      </c>
      <c r="L57" s="171">
        <f t="shared" si="145"/>
        <v>92.73</v>
      </c>
      <c r="M57" s="171">
        <f t="shared" si="145"/>
        <v>95</v>
      </c>
      <c r="N57" s="172">
        <f t="shared" si="145"/>
        <v>100</v>
      </c>
      <c r="O57" s="169">
        <f>MAX(O2:O54)</f>
        <v>89.82</v>
      </c>
      <c r="P57" s="225"/>
      <c r="Q57" s="226"/>
      <c r="R57" s="226"/>
      <c r="S57" s="226"/>
      <c r="T57" s="226"/>
      <c r="U57" s="226"/>
      <c r="V57" s="227"/>
      <c r="W57" s="228"/>
      <c r="AM57" s="179"/>
    </row>
    <row r="58" spans="1:50" ht="20.100000000000001" customHeight="1" thickTop="1" thickBot="1" x14ac:dyDescent="0.35">
      <c r="A58" s="236" t="s">
        <v>123</v>
      </c>
      <c r="B58" s="237"/>
      <c r="C58" s="237"/>
      <c r="D58" s="238"/>
      <c r="E58" s="239"/>
      <c r="F58" s="170">
        <f>MIN(F2:F54)</f>
        <v>16</v>
      </c>
      <c r="G58" s="171">
        <f t="shared" ref="G58:N58" si="146">MIN(G2:G54)</f>
        <v>8</v>
      </c>
      <c r="H58" s="171">
        <f t="shared" si="146"/>
        <v>0</v>
      </c>
      <c r="I58" s="171">
        <f t="shared" si="146"/>
        <v>0</v>
      </c>
      <c r="J58" s="171">
        <f t="shared" si="146"/>
        <v>60</v>
      </c>
      <c r="K58" s="171">
        <f t="shared" si="146"/>
        <v>9</v>
      </c>
      <c r="L58" s="171">
        <f t="shared" si="146"/>
        <v>8.18</v>
      </c>
      <c r="M58" s="171">
        <f t="shared" si="146"/>
        <v>0</v>
      </c>
      <c r="N58" s="172">
        <f t="shared" si="146"/>
        <v>0</v>
      </c>
      <c r="O58" s="169">
        <f>MIN(O2:O54)</f>
        <v>26.57</v>
      </c>
      <c r="P58" s="225"/>
      <c r="Q58" s="226"/>
      <c r="R58" s="226"/>
      <c r="S58" s="226"/>
      <c r="T58" s="226"/>
      <c r="U58" s="226"/>
      <c r="V58" s="227"/>
      <c r="W58" s="228"/>
    </row>
    <row r="59" spans="1:50" ht="20.100000000000001" customHeight="1" thickTop="1" thickBot="1" x14ac:dyDescent="0.35">
      <c r="A59" s="240" t="s">
        <v>124</v>
      </c>
      <c r="B59" s="240"/>
      <c r="C59" s="240"/>
      <c r="D59" s="240"/>
      <c r="E59" s="240"/>
      <c r="F59" s="173">
        <f>MEDIAN(F2:F54)</f>
        <v>126</v>
      </c>
      <c r="G59" s="174">
        <f t="shared" ref="G59:N59" si="147">MEDIAN(G2:G54)</f>
        <v>63</v>
      </c>
      <c r="H59" s="174">
        <f t="shared" si="147"/>
        <v>66</v>
      </c>
      <c r="I59" s="174">
        <f t="shared" si="147"/>
        <v>60</v>
      </c>
      <c r="J59" s="174">
        <f t="shared" si="147"/>
        <v>97.78</v>
      </c>
      <c r="K59" s="174">
        <f t="shared" si="147"/>
        <v>56</v>
      </c>
      <c r="L59" s="174">
        <f t="shared" si="147"/>
        <v>50.91</v>
      </c>
      <c r="M59" s="174">
        <f t="shared" si="147"/>
        <v>53</v>
      </c>
      <c r="N59" s="175">
        <f t="shared" si="147"/>
        <v>100</v>
      </c>
      <c r="O59" s="176">
        <f>MEDIAN(O2:O54)</f>
        <v>67.44</v>
      </c>
      <c r="P59" s="229"/>
      <c r="Q59" s="230"/>
      <c r="R59" s="230"/>
      <c r="S59" s="230"/>
      <c r="T59" s="230"/>
      <c r="U59" s="230"/>
      <c r="V59" s="231"/>
      <c r="W59" s="232"/>
    </row>
    <row r="60" spans="1:50" ht="20.100000000000001" customHeight="1" thickTop="1" x14ac:dyDescent="0.3"/>
  </sheetData>
  <sortState ref="A2:W54">
    <sortCondition ref="O2:O54"/>
  </sortState>
  <mergeCells count="53">
    <mergeCell ref="A55:E55"/>
    <mergeCell ref="P55:W59"/>
    <mergeCell ref="A56:E56"/>
    <mergeCell ref="A57:E57"/>
    <mergeCell ref="A58:E58"/>
    <mergeCell ref="A59:E59"/>
    <mergeCell ref="AA2:AB2"/>
    <mergeCell ref="BK2:BL2"/>
    <mergeCell ref="BM2:BN2"/>
    <mergeCell ref="BO2:BP2"/>
    <mergeCell ref="BQ2:BR2"/>
    <mergeCell ref="BD7:BD10"/>
    <mergeCell ref="BI8:BI11"/>
    <mergeCell ref="AN9:AN11"/>
    <mergeCell ref="AA10:AA11"/>
    <mergeCell ref="BD11:BD14"/>
    <mergeCell ref="AN12:AN14"/>
    <mergeCell ref="BI12:BI15"/>
    <mergeCell ref="AA13:AB13"/>
    <mergeCell ref="AA14:AB14"/>
    <mergeCell ref="AM15:AM26"/>
    <mergeCell ref="AM3:AM14"/>
    <mergeCell ref="AN3:AN5"/>
    <mergeCell ref="BD3:BD6"/>
    <mergeCell ref="BI4:BI7"/>
    <mergeCell ref="AN6:AN8"/>
    <mergeCell ref="AN15:AN17"/>
    <mergeCell ref="BD15:BD18"/>
    <mergeCell ref="BI16:BI19"/>
    <mergeCell ref="AA17:AA18"/>
    <mergeCell ref="AN18:AN20"/>
    <mergeCell ref="BD19:BD22"/>
    <mergeCell ref="BI20:BI23"/>
    <mergeCell ref="AN21:AN23"/>
    <mergeCell ref="AN24:AN26"/>
    <mergeCell ref="AM27:AM38"/>
    <mergeCell ref="AN27:AN29"/>
    <mergeCell ref="AA29:AA30"/>
    <mergeCell ref="AB29:AC29"/>
    <mergeCell ref="AD29:AE29"/>
    <mergeCell ref="AF29:AG29"/>
    <mergeCell ref="AH29:AI29"/>
    <mergeCell ref="AJ29:AK29"/>
    <mergeCell ref="AN30:AN32"/>
    <mergeCell ref="AM51:AM57"/>
    <mergeCell ref="AN51:AN53"/>
    <mergeCell ref="AN33:AN35"/>
    <mergeCell ref="AN36:AN38"/>
    <mergeCell ref="AM39:AM50"/>
    <mergeCell ref="AN39:AN41"/>
    <mergeCell ref="AN42:AN44"/>
    <mergeCell ref="AN45:AN47"/>
    <mergeCell ref="AN48:AN50"/>
  </mergeCells>
  <phoneticPr fontId="18" type="noConversion"/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3E6F-D14B-4743-872B-68BE7A1EAE19}">
  <dimension ref="A1:BR60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O2" sqref="O2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6" width="8.625" style="6" hidden="1" customWidth="1"/>
    <col min="7" max="7" width="8.625" style="6" customWidth="1"/>
    <col min="8" max="8" width="8.625" style="6" hidden="1" customWidth="1"/>
    <col min="9" max="10" width="8.625" style="6" customWidth="1"/>
    <col min="11" max="11" width="8.625" style="6" hidden="1" customWidth="1"/>
    <col min="12" max="16" width="8.625" style="6" customWidth="1"/>
    <col min="17" max="17" width="9" style="6" hidden="1" customWidth="1"/>
    <col min="18" max="18" width="9" style="5" customWidth="1"/>
    <col min="19" max="19" width="8.625" style="6" customWidth="1"/>
    <col min="20" max="20" width="8.625" style="14" customWidth="1"/>
    <col min="21" max="22" width="8.625" style="6" hidden="1" customWidth="1"/>
    <col min="23" max="25" width="9" style="6" customWidth="1"/>
    <col min="26" max="26" width="3.75" style="6" hidden="1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27" t="s">
        <v>72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28" t="s">
        <v>68</v>
      </c>
      <c r="Q1" s="7" t="s">
        <v>69</v>
      </c>
      <c r="R1" s="7" t="s">
        <v>70</v>
      </c>
      <c r="S1" s="7" t="s">
        <v>121</v>
      </c>
      <c r="T1" s="129" t="s">
        <v>5</v>
      </c>
      <c r="U1" s="130" t="s">
        <v>73</v>
      </c>
      <c r="V1" s="130" t="s">
        <v>86</v>
      </c>
      <c r="W1" s="7" t="s">
        <v>96</v>
      </c>
    </row>
    <row r="2" spans="1:70" ht="20.100000000000001" customHeight="1" thickTop="1" thickBot="1" x14ac:dyDescent="0.35">
      <c r="A2" s="131">
        <v>1</v>
      </c>
      <c r="B2" s="132">
        <v>2</v>
      </c>
      <c r="C2" s="132">
        <v>201810187</v>
      </c>
      <c r="D2" s="132" t="str">
        <f t="shared" ref="D2:D54" si="0">VLOOKUP(VALUE(T2),$AA$4:$AB$8,2,FALSE)&amp;"학과"</f>
        <v>컴퓨터학과</v>
      </c>
      <c r="E2" s="133" t="s">
        <v>11</v>
      </c>
      <c r="F2" s="134">
        <v>41</v>
      </c>
      <c r="G2" s="134">
        <f t="shared" ref="G2:G54" si="1">ROUND((F2*100)/200,2)</f>
        <v>20.5</v>
      </c>
      <c r="H2" s="134">
        <v>22</v>
      </c>
      <c r="I2" s="134">
        <f t="shared" ref="I2:I54" si="2">ROUND((H2*100)/110,2)</f>
        <v>20</v>
      </c>
      <c r="J2" s="134">
        <v>92.22</v>
      </c>
      <c r="K2" s="134">
        <v>9</v>
      </c>
      <c r="L2" s="134">
        <f t="shared" ref="L2:L54" si="3">ROUND((K2*100)/110,2)</f>
        <v>8.18</v>
      </c>
      <c r="M2" s="134">
        <v>22</v>
      </c>
      <c r="N2" s="135">
        <v>100</v>
      </c>
      <c r="O2" s="8">
        <f t="shared" ref="O2:O54" si="4">ROUND(G2*0.3+I2*0.35+J2*0.1+L2*0.1+M2*0.1+N2*0.05,2)</f>
        <v>30.39</v>
      </c>
      <c r="P2" s="136">
        <f t="shared" ref="P2:P54" si="5">_xlfn.RANK.EQ(O2,$O$2:$O$54,0)</f>
        <v>50</v>
      </c>
      <c r="Q2" s="8">
        <f t="shared" ref="Q2:Q54" si="6">_xlfn.RANK.AVG(O2,$O$2:$O$54,0)</f>
        <v>50</v>
      </c>
      <c r="R2" s="8"/>
      <c r="S2" s="8" t="str">
        <f t="shared" ref="S2:S54" si="7">LEFT(C2,4)</f>
        <v>2018</v>
      </c>
      <c r="T2" s="137" t="str">
        <f t="shared" ref="T2:T54" si="8">MID(C2,5,3)</f>
        <v>101</v>
      </c>
      <c r="U2" s="8" t="b">
        <f t="shared" ref="U2:U54" si="9">OR(R2="", S2&lt;="2015")</f>
        <v>1</v>
      </c>
      <c r="V2" s="8" t="str">
        <f t="shared" ref="V2:V54" si="10">IF(P2&lt;=$AB$11*0.3, "A", IF(P2&lt;=$AB$11*0.6, "B", IF(P2&lt;=$AB$11*0.8, "C", IF(P2&lt;=$AB$11*0.9, "D","F"))))</f>
        <v>F</v>
      </c>
      <c r="W2" s="8" t="str">
        <f t="shared" ref="W2:W54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213" t="s">
        <v>80</v>
      </c>
      <c r="AB2" s="213"/>
      <c r="AC2" s="12"/>
      <c r="AD2" s="5"/>
      <c r="AE2" s="20" t="s">
        <v>87</v>
      </c>
      <c r="AF2" s="21" t="s">
        <v>88</v>
      </c>
      <c r="AG2" s="29" t="s">
        <v>89</v>
      </c>
      <c r="AH2" s="22" t="s">
        <v>95</v>
      </c>
      <c r="AI2" s="5"/>
      <c r="AM2" s="64"/>
      <c r="AN2" s="65"/>
      <c r="AO2" s="66"/>
      <c r="AP2" s="67" t="s">
        <v>97</v>
      </c>
      <c r="AQ2" s="65" t="s">
        <v>98</v>
      </c>
      <c r="AR2" s="65" t="s">
        <v>99</v>
      </c>
      <c r="AS2" s="65" t="s">
        <v>100</v>
      </c>
      <c r="AT2" s="65" t="s">
        <v>101</v>
      </c>
      <c r="AU2" s="65" t="s">
        <v>102</v>
      </c>
      <c r="AV2" s="65" t="s">
        <v>103</v>
      </c>
      <c r="AW2" s="65" t="s">
        <v>104</v>
      </c>
      <c r="AX2" s="66" t="s">
        <v>94</v>
      </c>
      <c r="AZ2" s="92"/>
      <c r="BA2" s="93" t="s">
        <v>106</v>
      </c>
      <c r="BB2" s="94" t="s">
        <v>109</v>
      </c>
      <c r="BD2" s="108"/>
      <c r="BE2" s="107"/>
      <c r="BF2" s="93" t="s">
        <v>106</v>
      </c>
      <c r="BG2" s="94" t="s">
        <v>109</v>
      </c>
      <c r="BI2" s="110"/>
      <c r="BJ2" s="111"/>
      <c r="BK2" s="214">
        <v>2018</v>
      </c>
      <c r="BL2" s="215"/>
      <c r="BM2" s="216">
        <v>2017</v>
      </c>
      <c r="BN2" s="216"/>
      <c r="BO2" s="214">
        <v>2016</v>
      </c>
      <c r="BP2" s="215"/>
      <c r="BQ2" s="216">
        <v>2015</v>
      </c>
      <c r="BR2" s="215"/>
    </row>
    <row r="3" spans="1:70" ht="20.100000000000001" customHeight="1" thickTop="1" thickBot="1" x14ac:dyDescent="0.35">
      <c r="A3" s="138">
        <v>2</v>
      </c>
      <c r="B3" s="139">
        <v>2</v>
      </c>
      <c r="C3" s="139">
        <v>201810488</v>
      </c>
      <c r="D3" s="132" t="str">
        <f t="shared" si="0"/>
        <v>게임학과</v>
      </c>
      <c r="E3" s="140" t="s">
        <v>12</v>
      </c>
      <c r="F3" s="141">
        <v>55</v>
      </c>
      <c r="G3" s="134">
        <f t="shared" si="1"/>
        <v>27.5</v>
      </c>
      <c r="H3" s="141">
        <v>47</v>
      </c>
      <c r="I3" s="134">
        <f t="shared" si="2"/>
        <v>42.73</v>
      </c>
      <c r="J3" s="141">
        <v>81.11</v>
      </c>
      <c r="K3" s="141">
        <v>47</v>
      </c>
      <c r="L3" s="134">
        <f t="shared" si="3"/>
        <v>42.73</v>
      </c>
      <c r="M3" s="141">
        <v>25</v>
      </c>
      <c r="N3" s="142">
        <v>100</v>
      </c>
      <c r="O3" s="8">
        <f t="shared" si="4"/>
        <v>43.09</v>
      </c>
      <c r="P3" s="136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37" t="str">
        <f t="shared" si="8"/>
        <v>104</v>
      </c>
      <c r="U3" s="8" t="b">
        <f t="shared" si="9"/>
        <v>1</v>
      </c>
      <c r="V3" s="8" t="str">
        <f t="shared" si="10"/>
        <v>D</v>
      </c>
      <c r="W3" s="8" t="str">
        <f t="shared" si="11"/>
        <v>D+</v>
      </c>
      <c r="AA3" s="15" t="s">
        <v>5</v>
      </c>
      <c r="AB3" s="15" t="s">
        <v>74</v>
      </c>
      <c r="AE3" s="23" t="s">
        <v>90</v>
      </c>
      <c r="AF3" s="24">
        <f>SUMIF($V$2:$V$54, "="&amp;AE3, $O$2:$O$54)</f>
        <v>1178.3400000000001</v>
      </c>
      <c r="AG3" s="30">
        <f>ROUND(AVERAGEIF($V$2:$V$54, "="&amp;AE3, $O$2:$O$54),2)</f>
        <v>78.56</v>
      </c>
      <c r="AH3" s="32">
        <f>COUNTIF($V$2:$V$54, "="&amp;AE3)</f>
        <v>15</v>
      </c>
      <c r="AM3" s="210">
        <v>101</v>
      </c>
      <c r="AN3" s="211">
        <v>1</v>
      </c>
      <c r="AO3" s="63" t="s">
        <v>95</v>
      </c>
      <c r="AP3" s="84">
        <f>COUNTIFS($B$2:$B$54,"="&amp;$AN3,$T$2:$T$54,"="&amp;$AM$3,$W$2:$W$54,"="&amp;AP$2)</f>
        <v>0</v>
      </c>
      <c r="AQ3" s="69">
        <f t="shared" ref="AQ3:AX3" si="12">COUNTIFS($B$2:$B$54,"="&amp;$AN3,$T$2:$T$54,"="&amp;$AM$3,$W$2:$W$54,"="&amp;AQ$2)</f>
        <v>0</v>
      </c>
      <c r="AR3" s="69">
        <f t="shared" si="12"/>
        <v>0</v>
      </c>
      <c r="AS3" s="69">
        <f t="shared" si="12"/>
        <v>0</v>
      </c>
      <c r="AT3" s="69">
        <f t="shared" si="12"/>
        <v>0</v>
      </c>
      <c r="AU3" s="69">
        <f t="shared" si="12"/>
        <v>0</v>
      </c>
      <c r="AV3" s="69">
        <f t="shared" si="12"/>
        <v>0</v>
      </c>
      <c r="AW3" s="69">
        <f t="shared" si="12"/>
        <v>0</v>
      </c>
      <c r="AX3" s="68">
        <f t="shared" si="12"/>
        <v>0</v>
      </c>
      <c r="AZ3" s="95" t="s">
        <v>97</v>
      </c>
      <c r="BA3" s="114">
        <f>_xlfn.MAXIFS($O$2:$O$54,$W$2:$W$54,"="&amp;$AZ3)</f>
        <v>89.82</v>
      </c>
      <c r="BB3" s="163">
        <f>_xlfn.MINIFS($O$2:$O$54,$W$2:$W$54,"="&amp;$AZ3)</f>
        <v>81.27</v>
      </c>
      <c r="BD3" s="212">
        <v>101</v>
      </c>
      <c r="BE3" s="97">
        <v>1</v>
      </c>
      <c r="BF3" s="114">
        <f>_xlfn.MAXIFS($O$2:$O$54,$T$2:$T$54,"="&amp;$BD$3,$B$2:$B$54,"="&amp;$BE3)</f>
        <v>0</v>
      </c>
      <c r="BG3" s="163">
        <f>_xlfn.MINIFS($O$2:$O$54,$T$2:$T$54,"="&amp;$BD$3,$B$2:$B$54,"="&amp;$BE3)</f>
        <v>0</v>
      </c>
      <c r="BI3" s="112"/>
      <c r="BJ3" s="113"/>
      <c r="BK3" s="102" t="s">
        <v>106</v>
      </c>
      <c r="BL3" s="39" t="s">
        <v>109</v>
      </c>
      <c r="BM3" s="101" t="s">
        <v>106</v>
      </c>
      <c r="BN3" s="109" t="s">
        <v>109</v>
      </c>
      <c r="BO3" s="102" t="s">
        <v>106</v>
      </c>
      <c r="BP3" s="39" t="s">
        <v>109</v>
      </c>
      <c r="BQ3" s="101" t="s">
        <v>106</v>
      </c>
      <c r="BR3" s="39" t="s">
        <v>109</v>
      </c>
    </row>
    <row r="4" spans="1:70" ht="20.100000000000001" customHeight="1" thickTop="1" x14ac:dyDescent="0.3">
      <c r="A4" s="138">
        <v>3</v>
      </c>
      <c r="B4" s="139">
        <v>2</v>
      </c>
      <c r="C4" s="139">
        <v>201810390</v>
      </c>
      <c r="D4" s="132" t="str">
        <f t="shared" si="0"/>
        <v>전자학과</v>
      </c>
      <c r="E4" s="140" t="s">
        <v>13</v>
      </c>
      <c r="F4" s="141">
        <v>82</v>
      </c>
      <c r="G4" s="134">
        <f t="shared" si="1"/>
        <v>41</v>
      </c>
      <c r="H4" s="141">
        <v>34</v>
      </c>
      <c r="I4" s="134">
        <f t="shared" si="2"/>
        <v>30.91</v>
      </c>
      <c r="J4" s="141">
        <v>100</v>
      </c>
      <c r="K4" s="141">
        <v>34</v>
      </c>
      <c r="L4" s="134">
        <f t="shared" si="3"/>
        <v>30.91</v>
      </c>
      <c r="M4" s="141">
        <v>45</v>
      </c>
      <c r="N4" s="142">
        <v>100</v>
      </c>
      <c r="O4" s="8">
        <f t="shared" si="4"/>
        <v>45.71</v>
      </c>
      <c r="P4" s="136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37" t="str">
        <f t="shared" si="8"/>
        <v>103</v>
      </c>
      <c r="U4" s="8" t="b">
        <f t="shared" si="9"/>
        <v>1</v>
      </c>
      <c r="V4" s="8" t="str">
        <f t="shared" si="10"/>
        <v>C</v>
      </c>
      <c r="W4" s="8" t="str">
        <f t="shared" si="11"/>
        <v>C0</v>
      </c>
      <c r="AA4" s="16">
        <v>101</v>
      </c>
      <c r="AB4" s="15" t="s">
        <v>75</v>
      </c>
      <c r="AE4" s="26" t="s">
        <v>91</v>
      </c>
      <c r="AF4" s="24">
        <f t="shared" ref="AF4:AF7" si="13">SUMIF($V$2:$V$54, "="&amp;AE4, $O$2:$O$54)</f>
        <v>1092.4499999999998</v>
      </c>
      <c r="AG4" s="30">
        <f t="shared" ref="AG4:AG7" si="14">ROUND(AVERAGEIF($V$2:$V$54, "="&amp;AE4, $O$2:$O$54),2)</f>
        <v>68.28</v>
      </c>
      <c r="AH4" s="25">
        <f t="shared" ref="AH4:AH7" si="15">COUNTIF($V$2:$V$54, "="&amp;AE4)</f>
        <v>16</v>
      </c>
      <c r="AM4" s="178"/>
      <c r="AN4" s="180"/>
      <c r="AO4" s="78" t="s">
        <v>88</v>
      </c>
      <c r="AP4" s="85">
        <f>SUMIFS($O$2:$O$54,$B$2:$B$54,"="&amp;$AN3,$T$2:$T$54,"="&amp;$AM$3,$W$2:$W$54,"="&amp;AP$2)</f>
        <v>0</v>
      </c>
      <c r="AQ4" s="71">
        <f t="shared" ref="AQ4:AX4" si="16">SUMIFS($O$2:$O$54,$B$2:$B$54,"="&amp;$AN3,$T$2:$T$54,"="&amp;$AM$3,$W$2:$W$54,"="&amp;AQ$2)</f>
        <v>0</v>
      </c>
      <c r="AR4" s="71">
        <f t="shared" si="16"/>
        <v>0</v>
      </c>
      <c r="AS4" s="71">
        <f t="shared" si="16"/>
        <v>0</v>
      </c>
      <c r="AT4" s="71">
        <f t="shared" si="16"/>
        <v>0</v>
      </c>
      <c r="AU4" s="71">
        <f t="shared" si="16"/>
        <v>0</v>
      </c>
      <c r="AV4" s="71">
        <f t="shared" si="16"/>
        <v>0</v>
      </c>
      <c r="AW4" s="71">
        <f t="shared" si="16"/>
        <v>0</v>
      </c>
      <c r="AX4" s="70">
        <f t="shared" si="16"/>
        <v>0</v>
      </c>
      <c r="AZ4" s="98" t="s">
        <v>98</v>
      </c>
      <c r="BA4" s="115">
        <f t="shared" ref="BA4:BA11" si="17">_xlfn.MAXIFS($O$2:$O$54,$W$2:$W$54,"="&amp;$AZ4)</f>
        <v>78.84</v>
      </c>
      <c r="BB4" s="97">
        <f t="shared" ref="BB4:BB11" si="18">_xlfn.MINIFS($O$2:$O$54,$W$2:$W$54,"="&amp;$AZ4)</f>
        <v>72.69</v>
      </c>
      <c r="BD4" s="199"/>
      <c r="BE4" s="99">
        <v>2</v>
      </c>
      <c r="BF4" s="119">
        <f t="shared" ref="BF4:BF6" si="19">_xlfn.MAXIFS($O$2:$O$54,$T$2:$T$54,"="&amp;$BD$3,$B$2:$B$54,"="&amp;$BE4)</f>
        <v>89.82</v>
      </c>
      <c r="BG4" s="99">
        <f t="shared" ref="BG4:BG6" si="20">_xlfn.MINIFS($O$2:$O$54,$T$2:$T$54,"="&amp;$BD$3,$B$2:$B$54,"="&amp;$BE4)</f>
        <v>30.39</v>
      </c>
      <c r="BI4" s="199">
        <v>101</v>
      </c>
      <c r="BJ4" s="97">
        <v>1</v>
      </c>
      <c r="BK4" s="96">
        <f>_xlfn.MAXIFS($O$2:$O$54,$T$2:$T$54,"="&amp;$BI$4,$B$2:$B$54,"="&amp;$BJ4,$S$2:$S$54,"="&amp;BK$2)</f>
        <v>0</v>
      </c>
      <c r="BL4" s="97">
        <f>_xlfn.MINIFS($O$2:$O$54,$T$2:$T$54,"="&amp;$BI$4,$B$2:$B$54,"="&amp;$BJ4,$S$2:$S$54,"="&amp;BK$2)</f>
        <v>0</v>
      </c>
      <c r="BM4" s="96">
        <f t="shared" ref="BM4:BM7" si="21">_xlfn.MAXIFS($O$2:$O$54,$T$2:$T$54,"="&amp;$BI$4,$B$2:$B$54,"="&amp;$BJ4,$S$2:$S$54,"="&amp;BM$2)</f>
        <v>0</v>
      </c>
      <c r="BN4" s="97">
        <f t="shared" ref="BN4:BN7" si="22">_xlfn.MINIFS($O$2:$O$54,$T$2:$T$54,"="&amp;$BI$4,$B$2:$B$54,"="&amp;$BJ4,$S$2:$S$54,"="&amp;BM$2)</f>
        <v>0</v>
      </c>
      <c r="BO4" s="96">
        <f t="shared" ref="BO4:BO7" si="23">_xlfn.MAXIFS($O$2:$O$54,$T$2:$T$54,"="&amp;$BI$4,$B$2:$B$54,"="&amp;$BJ4,$S$2:$S$54,"="&amp;BO$2)</f>
        <v>0</v>
      </c>
      <c r="BP4" s="97">
        <f t="shared" ref="BP4:BP7" si="24">_xlfn.MINIFS($O$2:$O$54,$T$2:$T$54,"="&amp;$BI$4,$B$2:$B$54,"="&amp;$BJ4,$S$2:$S$54,"="&amp;BO$2)</f>
        <v>0</v>
      </c>
      <c r="BQ4" s="96">
        <f t="shared" ref="BQ4:BQ7" si="25">_xlfn.MAXIFS($O$2:$O$54,$T$2:$T$54,"="&amp;$BI$4,$B$2:$B$54,"="&amp;$BJ4,$S$2:$S$54,"="&amp;BQ$2)</f>
        <v>0</v>
      </c>
      <c r="BR4" s="9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38">
        <v>4</v>
      </c>
      <c r="B5" s="139">
        <v>2</v>
      </c>
      <c r="C5" s="139">
        <v>201710239</v>
      </c>
      <c r="D5" s="132" t="str">
        <f t="shared" si="0"/>
        <v>보안학과</v>
      </c>
      <c r="E5" s="140" t="s">
        <v>14</v>
      </c>
      <c r="F5" s="141">
        <v>126</v>
      </c>
      <c r="G5" s="134">
        <f t="shared" si="1"/>
        <v>63</v>
      </c>
      <c r="H5" s="141">
        <v>79</v>
      </c>
      <c r="I5" s="134">
        <f t="shared" si="2"/>
        <v>71.819999999999993</v>
      </c>
      <c r="J5" s="141">
        <v>97.78</v>
      </c>
      <c r="K5" s="141">
        <v>54</v>
      </c>
      <c r="L5" s="134">
        <f t="shared" si="3"/>
        <v>49.09</v>
      </c>
      <c r="M5" s="141">
        <v>39</v>
      </c>
      <c r="N5" s="142">
        <v>100</v>
      </c>
      <c r="O5" s="8">
        <f t="shared" si="4"/>
        <v>67.62</v>
      </c>
      <c r="P5" s="136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37" t="str">
        <f t="shared" si="8"/>
        <v>102</v>
      </c>
      <c r="U5" s="8" t="b">
        <f t="shared" si="9"/>
        <v>1</v>
      </c>
      <c r="V5" s="8" t="str">
        <f t="shared" si="10"/>
        <v>B</v>
      </c>
      <c r="W5" s="8" t="str">
        <f t="shared" si="11"/>
        <v>B0</v>
      </c>
      <c r="AA5" s="16">
        <v>102</v>
      </c>
      <c r="AB5" s="15" t="s">
        <v>76</v>
      </c>
      <c r="AE5" s="26" t="s">
        <v>92</v>
      </c>
      <c r="AF5" s="24">
        <f t="shared" si="13"/>
        <v>603.79</v>
      </c>
      <c r="AG5" s="30">
        <f t="shared" si="14"/>
        <v>54.89</v>
      </c>
      <c r="AH5" s="25">
        <f t="shared" si="15"/>
        <v>11</v>
      </c>
      <c r="AM5" s="178"/>
      <c r="AN5" s="181"/>
      <c r="AO5" s="72" t="s">
        <v>89</v>
      </c>
      <c r="AP5" s="87" t="str">
        <f>IFERROR(ROUND(AVERAGEIFS($O$2:$O$54,$B$2:$B$54,"="&amp;$AN3,$T$2:$T$54,"="&amp;$AM$3,$W$2:$W$54,"="&amp;AP$2),2),"-")</f>
        <v>-</v>
      </c>
      <c r="AQ5" s="75" t="str">
        <f t="shared" ref="AQ5:AX5" si="27">IFERROR(ROUND(AVERAGEIFS($O$2:$O$54,$B$2:$B$54,"="&amp;$AN3,$T$2:$T$54,"="&amp;$AM$3,$W$2:$W$54,"="&amp;AQ$2),2),"-")</f>
        <v>-</v>
      </c>
      <c r="AR5" s="75" t="str">
        <f t="shared" si="27"/>
        <v>-</v>
      </c>
      <c r="AS5" s="75" t="str">
        <f t="shared" si="27"/>
        <v>-</v>
      </c>
      <c r="AT5" s="75" t="str">
        <f t="shared" si="27"/>
        <v>-</v>
      </c>
      <c r="AU5" s="75" t="str">
        <f t="shared" si="27"/>
        <v>-</v>
      </c>
      <c r="AV5" s="75" t="str">
        <f t="shared" si="27"/>
        <v>-</v>
      </c>
      <c r="AW5" s="75" t="str">
        <f t="shared" si="27"/>
        <v>-</v>
      </c>
      <c r="AX5" s="74" t="str">
        <f t="shared" si="27"/>
        <v>-</v>
      </c>
      <c r="AZ5" s="98" t="s">
        <v>99</v>
      </c>
      <c r="BA5" s="115">
        <f t="shared" si="17"/>
        <v>82.26</v>
      </c>
      <c r="BB5" s="97">
        <f t="shared" si="18"/>
        <v>68.739999999999995</v>
      </c>
      <c r="BD5" s="199"/>
      <c r="BE5" s="99">
        <v>3</v>
      </c>
      <c r="BF5" s="119">
        <f t="shared" si="19"/>
        <v>78.84</v>
      </c>
      <c r="BG5" s="99">
        <f t="shared" si="20"/>
        <v>56.46</v>
      </c>
      <c r="BI5" s="199"/>
      <c r="BJ5" s="99">
        <v>2</v>
      </c>
      <c r="BK5" s="96">
        <f t="shared" ref="BK5:BK7" si="28">_xlfn.MAXIFS($O$2:$O$54,$T$2:$T$54,"="&amp;$BI$4,$B$2:$B$54,"="&amp;$BJ5,$S$2:$S$54,"="&amp;BK$2)</f>
        <v>77.989999999999995</v>
      </c>
      <c r="BL5" s="97">
        <f t="shared" ref="BL5:BL7" si="29">_xlfn.MINIFS($O$2:$O$54,$T$2:$T$54,"="&amp;$BI$4,$B$2:$B$54,"="&amp;$BJ5,$S$2:$S$54,"="&amp;BK$2)</f>
        <v>30.39</v>
      </c>
      <c r="BM5" s="96">
        <f t="shared" si="21"/>
        <v>89.82</v>
      </c>
      <c r="BN5" s="97">
        <f t="shared" si="22"/>
        <v>30.68</v>
      </c>
      <c r="BO5" s="96">
        <f t="shared" si="23"/>
        <v>77.72</v>
      </c>
      <c r="BP5" s="97">
        <f t="shared" si="24"/>
        <v>72.3</v>
      </c>
      <c r="BQ5" s="96">
        <f t="shared" si="25"/>
        <v>0</v>
      </c>
      <c r="BR5" s="97">
        <f t="shared" si="26"/>
        <v>0</v>
      </c>
    </row>
    <row r="6" spans="1:70" ht="20.100000000000001" customHeight="1" thickBot="1" x14ac:dyDescent="0.35">
      <c r="A6" s="138">
        <v>5</v>
      </c>
      <c r="B6" s="139">
        <v>3</v>
      </c>
      <c r="C6" s="139">
        <v>201710275</v>
      </c>
      <c r="D6" s="132" t="str">
        <f t="shared" si="0"/>
        <v>보안학과</v>
      </c>
      <c r="E6" s="140" t="s">
        <v>15</v>
      </c>
      <c r="F6" s="141">
        <v>131</v>
      </c>
      <c r="G6" s="134">
        <f t="shared" si="1"/>
        <v>65.5</v>
      </c>
      <c r="H6" s="141">
        <v>88</v>
      </c>
      <c r="I6" s="134">
        <f t="shared" si="2"/>
        <v>80</v>
      </c>
      <c r="J6" s="141">
        <v>88.89</v>
      </c>
      <c r="K6" s="141">
        <v>53</v>
      </c>
      <c r="L6" s="134">
        <f t="shared" si="3"/>
        <v>48.18</v>
      </c>
      <c r="M6" s="141">
        <v>61</v>
      </c>
      <c r="N6" s="142">
        <v>100</v>
      </c>
      <c r="O6" s="8">
        <f t="shared" si="4"/>
        <v>72.459999999999994</v>
      </c>
      <c r="P6" s="136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37" t="str">
        <f t="shared" si="8"/>
        <v>102</v>
      </c>
      <c r="U6" s="8" t="b">
        <f t="shared" si="9"/>
        <v>1</v>
      </c>
      <c r="V6" s="8" t="str">
        <f t="shared" si="10"/>
        <v>B</v>
      </c>
      <c r="W6" s="8" t="str">
        <f t="shared" si="11"/>
        <v>B+</v>
      </c>
      <c r="AA6" s="16">
        <v>103</v>
      </c>
      <c r="AB6" s="15" t="s">
        <v>77</v>
      </c>
      <c r="AE6" s="26" t="s">
        <v>93</v>
      </c>
      <c r="AF6" s="24">
        <f t="shared" si="13"/>
        <v>210.53000000000003</v>
      </c>
      <c r="AG6" s="30">
        <f t="shared" si="14"/>
        <v>42.11</v>
      </c>
      <c r="AH6" s="25">
        <f t="shared" si="15"/>
        <v>5</v>
      </c>
      <c r="AM6" s="178"/>
      <c r="AN6" s="182">
        <v>2</v>
      </c>
      <c r="AO6" s="78" t="s">
        <v>95</v>
      </c>
      <c r="AP6" s="88">
        <f t="shared" ref="AP6:AX12" si="30">COUNTIFS($B$2:$B$54,"="&amp;$AN6,$T$2:$T$54,"="&amp;$AM$3,$W$2:$W$54,"="&amp;AP$2)</f>
        <v>1</v>
      </c>
      <c r="AQ6" s="77">
        <f t="shared" si="30"/>
        <v>2</v>
      </c>
      <c r="AR6" s="77">
        <f t="shared" si="30"/>
        <v>1</v>
      </c>
      <c r="AS6" s="77">
        <f t="shared" si="30"/>
        <v>0</v>
      </c>
      <c r="AT6" s="77">
        <f t="shared" si="30"/>
        <v>1</v>
      </c>
      <c r="AU6" s="77">
        <f t="shared" si="30"/>
        <v>0</v>
      </c>
      <c r="AV6" s="77">
        <f t="shared" si="30"/>
        <v>0</v>
      </c>
      <c r="AW6" s="77">
        <f t="shared" si="30"/>
        <v>0</v>
      </c>
      <c r="AX6" s="76">
        <f t="shared" si="30"/>
        <v>3</v>
      </c>
      <c r="AZ6" s="98" t="s">
        <v>100</v>
      </c>
      <c r="BA6" s="115">
        <f t="shared" si="17"/>
        <v>68.150000000000006</v>
      </c>
      <c r="BB6" s="97">
        <f t="shared" si="18"/>
        <v>62.86</v>
      </c>
      <c r="BD6" s="199"/>
      <c r="BE6" s="103">
        <v>4</v>
      </c>
      <c r="BF6" s="120">
        <f t="shared" si="19"/>
        <v>77.959999999999994</v>
      </c>
      <c r="BG6" s="103">
        <f t="shared" si="20"/>
        <v>38.93</v>
      </c>
      <c r="BI6" s="199"/>
      <c r="BJ6" s="99">
        <v>3</v>
      </c>
      <c r="BK6" s="96">
        <f t="shared" si="28"/>
        <v>0</v>
      </c>
      <c r="BL6" s="97">
        <f t="shared" si="29"/>
        <v>0</v>
      </c>
      <c r="BM6" s="96">
        <f t="shared" si="21"/>
        <v>0</v>
      </c>
      <c r="BN6" s="97">
        <f t="shared" si="22"/>
        <v>0</v>
      </c>
      <c r="BO6" s="96">
        <f t="shared" si="23"/>
        <v>56.46</v>
      </c>
      <c r="BP6" s="97">
        <f t="shared" si="24"/>
        <v>56.46</v>
      </c>
      <c r="BQ6" s="96">
        <f t="shared" si="25"/>
        <v>78.84</v>
      </c>
      <c r="BR6" s="97">
        <f t="shared" si="26"/>
        <v>78.84</v>
      </c>
    </row>
    <row r="7" spans="1:70" ht="20.100000000000001" customHeight="1" thickTop="1" thickBot="1" x14ac:dyDescent="0.35">
      <c r="A7" s="138">
        <v>6</v>
      </c>
      <c r="B7" s="139">
        <v>4</v>
      </c>
      <c r="C7" s="139">
        <v>201610177</v>
      </c>
      <c r="D7" s="132" t="str">
        <f t="shared" si="0"/>
        <v>컴퓨터학과</v>
      </c>
      <c r="E7" s="140" t="s">
        <v>16</v>
      </c>
      <c r="F7" s="141">
        <v>156</v>
      </c>
      <c r="G7" s="134">
        <f t="shared" si="1"/>
        <v>78</v>
      </c>
      <c r="H7" s="141">
        <v>63</v>
      </c>
      <c r="I7" s="134">
        <f t="shared" si="2"/>
        <v>57.27</v>
      </c>
      <c r="J7" s="141">
        <v>95.56</v>
      </c>
      <c r="K7" s="141">
        <v>55</v>
      </c>
      <c r="L7" s="134">
        <f t="shared" si="3"/>
        <v>50</v>
      </c>
      <c r="M7" s="141">
        <v>70</v>
      </c>
      <c r="N7" s="142">
        <v>80</v>
      </c>
      <c r="O7" s="8">
        <f t="shared" si="4"/>
        <v>69</v>
      </c>
      <c r="P7" s="136">
        <f t="shared" si="5"/>
        <v>21</v>
      </c>
      <c r="Q7" s="8">
        <f t="shared" si="6"/>
        <v>21</v>
      </c>
      <c r="R7" s="9" t="s">
        <v>71</v>
      </c>
      <c r="S7" s="8" t="str">
        <f t="shared" si="7"/>
        <v>2016</v>
      </c>
      <c r="T7" s="137" t="str">
        <f t="shared" si="8"/>
        <v>101</v>
      </c>
      <c r="U7" s="8" t="b">
        <f t="shared" si="9"/>
        <v>0</v>
      </c>
      <c r="V7" s="8" t="str">
        <f t="shared" si="10"/>
        <v>B</v>
      </c>
      <c r="W7" s="8" t="str">
        <f t="shared" si="11"/>
        <v>B+</v>
      </c>
      <c r="AA7" s="16">
        <v>104</v>
      </c>
      <c r="AB7" s="15" t="s">
        <v>78</v>
      </c>
      <c r="AE7" s="27" t="s">
        <v>94</v>
      </c>
      <c r="AF7" s="28">
        <f t="shared" si="13"/>
        <v>181.76999999999998</v>
      </c>
      <c r="AG7" s="31">
        <f t="shared" si="14"/>
        <v>30.3</v>
      </c>
      <c r="AH7" s="33">
        <f t="shared" si="15"/>
        <v>6</v>
      </c>
      <c r="AM7" s="178"/>
      <c r="AN7" s="180"/>
      <c r="AO7" s="70" t="s">
        <v>88</v>
      </c>
      <c r="AP7" s="85">
        <f t="shared" ref="AP7:AX7" si="31">SUMIFS($O$2:$O$54,$B$2:$B$54,"="&amp;$AN6,$T$2:$T$54,"="&amp;$AM$3,$W$2:$W$54,"="&amp;AP$2)</f>
        <v>89.82</v>
      </c>
      <c r="AQ7" s="71">
        <f t="shared" si="31"/>
        <v>155.70999999999998</v>
      </c>
      <c r="AR7" s="71">
        <f t="shared" si="31"/>
        <v>72.3</v>
      </c>
      <c r="AS7" s="71">
        <f t="shared" si="31"/>
        <v>0</v>
      </c>
      <c r="AT7" s="71">
        <f t="shared" si="31"/>
        <v>60.7</v>
      </c>
      <c r="AU7" s="71">
        <f t="shared" si="31"/>
        <v>0</v>
      </c>
      <c r="AV7" s="71">
        <f t="shared" si="31"/>
        <v>0</v>
      </c>
      <c r="AW7" s="71">
        <f t="shared" si="31"/>
        <v>0</v>
      </c>
      <c r="AX7" s="70">
        <f t="shared" si="31"/>
        <v>96.93</v>
      </c>
      <c r="AZ7" s="98" t="s">
        <v>101</v>
      </c>
      <c r="BA7" s="115">
        <f t="shared" si="17"/>
        <v>60.7</v>
      </c>
      <c r="BB7" s="97">
        <f t="shared" si="18"/>
        <v>55.31</v>
      </c>
      <c r="BD7" s="198">
        <v>102</v>
      </c>
      <c r="BE7" s="104">
        <v>1</v>
      </c>
      <c r="BF7" s="118">
        <f>_xlfn.MAXIFS($O$2:$O$54,$T$2:$T$54,"="&amp;$BD$7,$B$2:$B$54,"="&amp;$BE7)</f>
        <v>0</v>
      </c>
      <c r="BG7" s="104">
        <f>_xlfn.MINIFS($O$2:$O$54,$T$2:$T$54,"="&amp;$BD$7,$B$2:$B$54,"="&amp;$BE7)</f>
        <v>0</v>
      </c>
      <c r="BI7" s="199"/>
      <c r="BJ7" s="103">
        <v>4</v>
      </c>
      <c r="BK7" s="123">
        <f t="shared" si="28"/>
        <v>0</v>
      </c>
      <c r="BL7" s="124">
        <f t="shared" si="29"/>
        <v>0</v>
      </c>
      <c r="BM7" s="123">
        <f t="shared" si="21"/>
        <v>0</v>
      </c>
      <c r="BN7" s="124">
        <f t="shared" si="22"/>
        <v>0</v>
      </c>
      <c r="BO7" s="123">
        <f t="shared" si="23"/>
        <v>77.959999999999994</v>
      </c>
      <c r="BP7" s="124">
        <f t="shared" si="24"/>
        <v>38.93</v>
      </c>
      <c r="BQ7" s="123">
        <f t="shared" si="25"/>
        <v>0</v>
      </c>
      <c r="BR7" s="124">
        <f t="shared" si="26"/>
        <v>0</v>
      </c>
    </row>
    <row r="8" spans="1:70" ht="20.100000000000001" customHeight="1" thickTop="1" x14ac:dyDescent="0.3">
      <c r="A8" s="138">
        <v>7</v>
      </c>
      <c r="B8" s="139">
        <v>4</v>
      </c>
      <c r="C8" s="139">
        <v>201610179</v>
      </c>
      <c r="D8" s="132" t="str">
        <f t="shared" si="0"/>
        <v>컴퓨터학과</v>
      </c>
      <c r="E8" s="140" t="s">
        <v>17</v>
      </c>
      <c r="F8" s="141">
        <v>120</v>
      </c>
      <c r="G8" s="134">
        <f t="shared" si="1"/>
        <v>60</v>
      </c>
      <c r="H8" s="141">
        <v>47</v>
      </c>
      <c r="I8" s="134">
        <f t="shared" si="2"/>
        <v>42.73</v>
      </c>
      <c r="J8" s="141">
        <v>88.89</v>
      </c>
      <c r="K8" s="141">
        <v>59</v>
      </c>
      <c r="L8" s="134">
        <f t="shared" si="3"/>
        <v>53.64</v>
      </c>
      <c r="M8" s="141">
        <v>51</v>
      </c>
      <c r="N8" s="142">
        <v>60</v>
      </c>
      <c r="O8" s="8">
        <f t="shared" si="4"/>
        <v>55.31</v>
      </c>
      <c r="P8" s="136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37" t="str">
        <f t="shared" si="8"/>
        <v>101</v>
      </c>
      <c r="U8" s="8" t="b">
        <f t="shared" si="9"/>
        <v>1</v>
      </c>
      <c r="V8" s="8" t="str">
        <f t="shared" si="10"/>
        <v>C</v>
      </c>
      <c r="W8" s="8" t="str">
        <f t="shared" si="11"/>
        <v>C+</v>
      </c>
      <c r="AA8" s="16">
        <v>105</v>
      </c>
      <c r="AB8" s="15" t="s">
        <v>79</v>
      </c>
      <c r="AM8" s="178"/>
      <c r="AN8" s="181"/>
      <c r="AO8" s="72" t="s">
        <v>89</v>
      </c>
      <c r="AP8" s="86">
        <f t="shared" ref="AP8:AX8" si="32">IFERROR(ROUND(AVERAGEIFS($O$2:$O$54,$B$2:$B$54,"="&amp;$AN6,$T$2:$T$54,"="&amp;$AM$3,$W$2:$W$54,"="&amp;AP$2),2),"-")</f>
        <v>89.82</v>
      </c>
      <c r="AQ8" s="73">
        <f t="shared" si="32"/>
        <v>77.86</v>
      </c>
      <c r="AR8" s="73">
        <f t="shared" si="32"/>
        <v>72.3</v>
      </c>
      <c r="AS8" s="73" t="str">
        <f t="shared" si="32"/>
        <v>-</v>
      </c>
      <c r="AT8" s="73">
        <f t="shared" si="32"/>
        <v>60.7</v>
      </c>
      <c r="AU8" s="73" t="str">
        <f t="shared" si="32"/>
        <v>-</v>
      </c>
      <c r="AV8" s="73" t="str">
        <f t="shared" si="32"/>
        <v>-</v>
      </c>
      <c r="AW8" s="73" t="str">
        <f t="shared" si="32"/>
        <v>-</v>
      </c>
      <c r="AX8" s="72">
        <f t="shared" si="32"/>
        <v>32.31</v>
      </c>
      <c r="AZ8" s="98" t="s">
        <v>102</v>
      </c>
      <c r="BA8" s="115">
        <f t="shared" si="17"/>
        <v>54.35</v>
      </c>
      <c r="BB8" s="97">
        <f t="shared" si="18"/>
        <v>45.71</v>
      </c>
      <c r="BD8" s="199"/>
      <c r="BE8" s="99">
        <v>2</v>
      </c>
      <c r="BF8" s="119">
        <f t="shared" ref="BF8:BF10" si="33">_xlfn.MAXIFS($O$2:$O$54,$T$2:$T$54,"="&amp;$BD$7,$B$2:$B$54,"="&amp;$BE8)</f>
        <v>76.010000000000005</v>
      </c>
      <c r="BG8" s="99">
        <f t="shared" ref="BG8:BG10" si="34">_xlfn.MINIFS($O$2:$O$54,$T$2:$T$54,"="&amp;$BD$7,$B$2:$B$54,"="&amp;$BE8)</f>
        <v>39.770000000000003</v>
      </c>
      <c r="BI8" s="198">
        <v>102</v>
      </c>
      <c r="BJ8" s="104">
        <v>1</v>
      </c>
      <c r="BK8" s="105">
        <f>_xlfn.MAXIFS($O$2:$O$54,$T$2:$T$54,"="&amp;$BI$8,$B$2:$B$54,"="&amp;$BJ8,$S$2:$S$54,"="&amp;BK$2)</f>
        <v>0</v>
      </c>
      <c r="BL8" s="104">
        <f>_xlfn.MINIFS($O$2:$O$54,$T$2:$T$54,"="&amp;$BI$8,$B$2:$B$54,"="&amp;$BJ8,$S$2:$S$54,"="&amp;BK$2)</f>
        <v>0</v>
      </c>
      <c r="BM8" s="105">
        <f t="shared" ref="BM8:BM11" si="35">_xlfn.MAXIFS($O$2:$O$54,$T$2:$T$54,"="&amp;$BI$8,$B$2:$B$54,"="&amp;$BJ8,$S$2:$S$54,"="&amp;BM$2)</f>
        <v>0</v>
      </c>
      <c r="BN8" s="104">
        <f t="shared" ref="BN8:BN11" si="36">_xlfn.MINIFS($O$2:$O$54,$T$2:$T$54,"="&amp;$BI$8,$B$2:$B$54,"="&amp;$BJ8,$S$2:$S$54,"="&amp;BM$2)</f>
        <v>0</v>
      </c>
      <c r="BO8" s="105">
        <f t="shared" ref="BO8:BO11" si="37">_xlfn.MAXIFS($O$2:$O$54,$T$2:$T$54,"="&amp;$BI$8,$B$2:$B$54,"="&amp;$BJ8,$S$2:$S$54,"="&amp;BO$2)</f>
        <v>0</v>
      </c>
      <c r="BP8" s="104">
        <f t="shared" ref="BP8:BP11" si="38">_xlfn.MINIFS($O$2:$O$54,$T$2:$T$54,"="&amp;$BI$8,$B$2:$B$54,"="&amp;$BJ8,$S$2:$S$54,"="&amp;BO$2)</f>
        <v>0</v>
      </c>
      <c r="BQ8" s="105">
        <f t="shared" ref="BQ8:BQ11" si="39">_xlfn.MAXIFS($O$2:$O$54,$T$2:$T$54,"="&amp;$BI$8,$B$2:$B$54,"="&amp;$BJ8,$S$2:$S$54,"="&amp;BQ$2)</f>
        <v>0</v>
      </c>
      <c r="BR8" s="104">
        <f t="shared" ref="BR8:BR11" si="40">_xlfn.MINIFS($O$2:$O$54,$T$2:$T$54,"="&amp;$BI$8,$B$2:$B$54,"="&amp;$BJ8,$S$2:$S$54,"="&amp;BQ$2)</f>
        <v>0</v>
      </c>
    </row>
    <row r="9" spans="1:70" ht="20.100000000000001" customHeight="1" thickBot="1" x14ac:dyDescent="0.35">
      <c r="A9" s="138">
        <v>8</v>
      </c>
      <c r="B9" s="139">
        <v>3</v>
      </c>
      <c r="C9" s="139">
        <v>201510585</v>
      </c>
      <c r="D9" s="132" t="str">
        <f t="shared" si="0"/>
        <v>통신학과</v>
      </c>
      <c r="E9" s="140" t="s">
        <v>18</v>
      </c>
      <c r="F9" s="141">
        <v>136</v>
      </c>
      <c r="G9" s="134">
        <f t="shared" si="1"/>
        <v>68</v>
      </c>
      <c r="H9" s="141">
        <v>64</v>
      </c>
      <c r="I9" s="134">
        <f t="shared" si="2"/>
        <v>58.18</v>
      </c>
      <c r="J9" s="141">
        <v>100</v>
      </c>
      <c r="K9" s="141">
        <v>80</v>
      </c>
      <c r="L9" s="134">
        <f t="shared" si="3"/>
        <v>72.73</v>
      </c>
      <c r="M9" s="141">
        <v>44</v>
      </c>
      <c r="N9" s="142">
        <v>100</v>
      </c>
      <c r="O9" s="8">
        <f t="shared" si="4"/>
        <v>67.44</v>
      </c>
      <c r="P9" s="136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37" t="str">
        <f t="shared" si="8"/>
        <v>105</v>
      </c>
      <c r="U9" s="8" t="b">
        <f t="shared" si="9"/>
        <v>1</v>
      </c>
      <c r="V9" s="8" t="str">
        <f t="shared" si="10"/>
        <v>B</v>
      </c>
      <c r="W9" s="8" t="str">
        <f t="shared" si="11"/>
        <v>B0</v>
      </c>
      <c r="AM9" s="178"/>
      <c r="AN9" s="182">
        <v>3</v>
      </c>
      <c r="AO9" s="76" t="s">
        <v>95</v>
      </c>
      <c r="AP9" s="88">
        <f t="shared" ref="AP9" si="41">COUNTIFS($B$2:$B$54,"="&amp;$AN9,$T$2:$T$54,"="&amp;$AM$3,$W$2:$W$54,"="&amp;AP$2)</f>
        <v>0</v>
      </c>
      <c r="AQ9" s="77">
        <f t="shared" si="30"/>
        <v>1</v>
      </c>
      <c r="AR9" s="77">
        <f t="shared" si="30"/>
        <v>0</v>
      </c>
      <c r="AS9" s="77">
        <f t="shared" si="30"/>
        <v>0</v>
      </c>
      <c r="AT9" s="77">
        <f t="shared" si="30"/>
        <v>1</v>
      </c>
      <c r="AU9" s="77">
        <f t="shared" si="30"/>
        <v>0</v>
      </c>
      <c r="AV9" s="77">
        <f t="shared" si="30"/>
        <v>0</v>
      </c>
      <c r="AW9" s="77">
        <f t="shared" si="30"/>
        <v>0</v>
      </c>
      <c r="AX9" s="76">
        <f t="shared" si="30"/>
        <v>0</v>
      </c>
      <c r="AZ9" s="98" t="s">
        <v>103</v>
      </c>
      <c r="BA9" s="115">
        <f t="shared" si="17"/>
        <v>44.88</v>
      </c>
      <c r="BB9" s="97">
        <f t="shared" si="18"/>
        <v>43.09</v>
      </c>
      <c r="BD9" s="199"/>
      <c r="BE9" s="99">
        <v>3</v>
      </c>
      <c r="BF9" s="119">
        <f t="shared" si="33"/>
        <v>72.459999999999994</v>
      </c>
      <c r="BG9" s="99">
        <f t="shared" si="34"/>
        <v>60.36</v>
      </c>
      <c r="BI9" s="199"/>
      <c r="BJ9" s="99">
        <v>2</v>
      </c>
      <c r="BK9" s="96">
        <f t="shared" ref="BK9:BK11" si="42">_xlfn.MAXIFS($O$2:$O$54,$T$2:$T$54,"="&amp;$BI$8,$B$2:$B$54,"="&amp;$BJ9,$S$2:$S$54,"="&amp;BK$2)</f>
        <v>73.41</v>
      </c>
      <c r="BL9" s="97">
        <f t="shared" ref="BL9:BL11" si="43">_xlfn.MINIFS($O$2:$O$54,$T$2:$T$54,"="&amp;$BI$8,$B$2:$B$54,"="&amp;$BJ9,$S$2:$S$54,"="&amp;BK$2)</f>
        <v>65.81</v>
      </c>
      <c r="BM9" s="96">
        <f t="shared" si="35"/>
        <v>67.62</v>
      </c>
      <c r="BN9" s="97">
        <f t="shared" si="36"/>
        <v>39.770000000000003</v>
      </c>
      <c r="BO9" s="96">
        <f t="shared" si="37"/>
        <v>76.010000000000005</v>
      </c>
      <c r="BP9" s="97">
        <f t="shared" si="38"/>
        <v>76.010000000000005</v>
      </c>
      <c r="BQ9" s="96">
        <f t="shared" si="39"/>
        <v>0</v>
      </c>
      <c r="BR9" s="97">
        <f t="shared" si="40"/>
        <v>0</v>
      </c>
    </row>
    <row r="10" spans="1:70" ht="20.100000000000001" customHeight="1" thickTop="1" thickBot="1" x14ac:dyDescent="0.35">
      <c r="A10" s="138">
        <v>9</v>
      </c>
      <c r="B10" s="139">
        <v>2</v>
      </c>
      <c r="C10" s="139">
        <v>201610586</v>
      </c>
      <c r="D10" s="132" t="str">
        <f t="shared" si="0"/>
        <v>통신학과</v>
      </c>
      <c r="E10" s="140" t="s">
        <v>19</v>
      </c>
      <c r="F10" s="141">
        <v>129</v>
      </c>
      <c r="G10" s="134">
        <f t="shared" si="1"/>
        <v>64.5</v>
      </c>
      <c r="H10" s="141">
        <v>73</v>
      </c>
      <c r="I10" s="134">
        <f t="shared" si="2"/>
        <v>66.36</v>
      </c>
      <c r="J10" s="141">
        <v>100</v>
      </c>
      <c r="K10" s="141">
        <v>61</v>
      </c>
      <c r="L10" s="134">
        <f t="shared" si="3"/>
        <v>55.45</v>
      </c>
      <c r="M10" s="141">
        <v>74</v>
      </c>
      <c r="N10" s="142">
        <v>100</v>
      </c>
      <c r="O10" s="8">
        <f t="shared" si="4"/>
        <v>70.52</v>
      </c>
      <c r="P10" s="136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37" t="str">
        <f t="shared" si="8"/>
        <v>105</v>
      </c>
      <c r="U10" s="8" t="b">
        <f t="shared" si="9"/>
        <v>1</v>
      </c>
      <c r="V10" s="8" t="str">
        <f t="shared" si="10"/>
        <v>B</v>
      </c>
      <c r="W10" s="8" t="str">
        <f t="shared" si="11"/>
        <v>B+</v>
      </c>
      <c r="AA10" s="204" t="s">
        <v>81</v>
      </c>
      <c r="AB10" s="19" t="s">
        <v>82</v>
      </c>
      <c r="AC10" s="17" t="s">
        <v>83</v>
      </c>
      <c r="AM10" s="178"/>
      <c r="AN10" s="180"/>
      <c r="AO10" s="70" t="s">
        <v>88</v>
      </c>
      <c r="AP10" s="85">
        <f t="shared" ref="AP10:AX10" si="44">SUMIFS($O$2:$O$54,$B$2:$B$54,"="&amp;$AN9,$T$2:$T$54,"="&amp;$AM$3,$W$2:$W$54,"="&amp;AP$2)</f>
        <v>0</v>
      </c>
      <c r="AQ10" s="71">
        <f t="shared" si="44"/>
        <v>78.84</v>
      </c>
      <c r="AR10" s="71">
        <f t="shared" si="44"/>
        <v>0</v>
      </c>
      <c r="AS10" s="71">
        <f t="shared" si="44"/>
        <v>0</v>
      </c>
      <c r="AT10" s="71">
        <f t="shared" si="44"/>
        <v>56.46</v>
      </c>
      <c r="AU10" s="71">
        <f t="shared" si="44"/>
        <v>0</v>
      </c>
      <c r="AV10" s="71">
        <f t="shared" si="44"/>
        <v>0</v>
      </c>
      <c r="AW10" s="71">
        <f t="shared" si="44"/>
        <v>0</v>
      </c>
      <c r="AX10" s="70">
        <f t="shared" si="44"/>
        <v>0</v>
      </c>
      <c r="AZ10" s="98" t="s">
        <v>104</v>
      </c>
      <c r="BA10" s="115">
        <f t="shared" si="17"/>
        <v>39.770000000000003</v>
      </c>
      <c r="BB10" s="97">
        <f t="shared" si="18"/>
        <v>38.93</v>
      </c>
      <c r="BD10" s="200"/>
      <c r="BE10" s="106">
        <v>4</v>
      </c>
      <c r="BF10" s="121">
        <f t="shared" si="33"/>
        <v>68.88</v>
      </c>
      <c r="BG10" s="106">
        <f t="shared" si="34"/>
        <v>44.88</v>
      </c>
      <c r="BI10" s="199"/>
      <c r="BJ10" s="99">
        <v>3</v>
      </c>
      <c r="BK10" s="96">
        <f t="shared" si="42"/>
        <v>0</v>
      </c>
      <c r="BL10" s="97">
        <f t="shared" si="43"/>
        <v>0</v>
      </c>
      <c r="BM10" s="96">
        <f t="shared" si="35"/>
        <v>72.459999999999994</v>
      </c>
      <c r="BN10" s="97">
        <f t="shared" si="36"/>
        <v>69.819999999999993</v>
      </c>
      <c r="BO10" s="96">
        <f t="shared" si="37"/>
        <v>60.36</v>
      </c>
      <c r="BP10" s="97">
        <f t="shared" si="38"/>
        <v>60.36</v>
      </c>
      <c r="BQ10" s="96">
        <f t="shared" si="39"/>
        <v>0</v>
      </c>
      <c r="BR10" s="97">
        <f t="shared" si="40"/>
        <v>0</v>
      </c>
    </row>
    <row r="11" spans="1:70" ht="20.100000000000001" customHeight="1" thickTop="1" thickBot="1" x14ac:dyDescent="0.35">
      <c r="A11" s="138">
        <v>10</v>
      </c>
      <c r="B11" s="139">
        <v>2</v>
      </c>
      <c r="C11" s="139">
        <v>201710388</v>
      </c>
      <c r="D11" s="132" t="str">
        <f t="shared" si="0"/>
        <v>전자학과</v>
      </c>
      <c r="E11" s="140" t="s">
        <v>20</v>
      </c>
      <c r="F11" s="141">
        <v>150</v>
      </c>
      <c r="G11" s="134">
        <f t="shared" si="1"/>
        <v>75</v>
      </c>
      <c r="H11" s="141">
        <v>72</v>
      </c>
      <c r="I11" s="134">
        <f t="shared" si="2"/>
        <v>65.45</v>
      </c>
      <c r="J11" s="141">
        <v>96.67</v>
      </c>
      <c r="K11" s="141">
        <v>59</v>
      </c>
      <c r="L11" s="134">
        <f t="shared" si="3"/>
        <v>53.64</v>
      </c>
      <c r="M11" s="141">
        <v>67</v>
      </c>
      <c r="N11" s="142">
        <v>100</v>
      </c>
      <c r="O11" s="8">
        <f t="shared" si="4"/>
        <v>72.14</v>
      </c>
      <c r="P11" s="136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37" t="str">
        <f t="shared" si="8"/>
        <v>103</v>
      </c>
      <c r="U11" s="8" t="b">
        <f t="shared" si="9"/>
        <v>1</v>
      </c>
      <c r="V11" s="8" t="str">
        <f t="shared" si="10"/>
        <v>B</v>
      </c>
      <c r="W11" s="8" t="str">
        <f t="shared" si="11"/>
        <v>B+</v>
      </c>
      <c r="AA11" s="205"/>
      <c r="AB11" s="164">
        <f>COUNT(B2:B54)</f>
        <v>53</v>
      </c>
      <c r="AC11" s="18">
        <f>COUNTA(E2:E54)</f>
        <v>53</v>
      </c>
      <c r="AM11" s="178"/>
      <c r="AN11" s="181"/>
      <c r="AO11" s="72" t="s">
        <v>89</v>
      </c>
      <c r="AP11" s="86" t="str">
        <f t="shared" ref="AP11:AX11" si="45">IFERROR(ROUND(AVERAGEIFS($O$2:$O$54,$B$2:$B$54,"="&amp;$AN9,$T$2:$T$54,"="&amp;$AM$3,$W$2:$W$54,"="&amp;AP$2),2),"-")</f>
        <v>-</v>
      </c>
      <c r="AQ11" s="73">
        <f t="shared" si="45"/>
        <v>78.84</v>
      </c>
      <c r="AR11" s="73" t="str">
        <f t="shared" si="45"/>
        <v>-</v>
      </c>
      <c r="AS11" s="73" t="str">
        <f t="shared" si="45"/>
        <v>-</v>
      </c>
      <c r="AT11" s="73">
        <f t="shared" si="45"/>
        <v>56.46</v>
      </c>
      <c r="AU11" s="73" t="str">
        <f t="shared" si="45"/>
        <v>-</v>
      </c>
      <c r="AV11" s="73" t="str">
        <f t="shared" si="45"/>
        <v>-</v>
      </c>
      <c r="AW11" s="73" t="str">
        <f t="shared" si="45"/>
        <v>-</v>
      </c>
      <c r="AX11" s="72" t="str">
        <f t="shared" si="45"/>
        <v>-</v>
      </c>
      <c r="AZ11" s="100" t="s">
        <v>94</v>
      </c>
      <c r="BA11" s="160">
        <f t="shared" si="17"/>
        <v>35.86</v>
      </c>
      <c r="BB11" s="116">
        <f t="shared" si="18"/>
        <v>26.57</v>
      </c>
      <c r="BD11" s="199">
        <v>103</v>
      </c>
      <c r="BE11" s="97">
        <v>1</v>
      </c>
      <c r="BF11" s="115">
        <f>_xlfn.MAXIFS($O$2:$O$54,$T$2:$T$54,"="&amp;$BD$11,$B$2:$B$54,"="&amp;$BE11)</f>
        <v>0</v>
      </c>
      <c r="BG11" s="97">
        <f>_xlfn.MINIFS($O$2:$O$54,$T$2:$T$54,"="&amp;$BD$11,$B$2:$B$54,"="&amp;$BE11)</f>
        <v>0</v>
      </c>
      <c r="BI11" s="200"/>
      <c r="BJ11" s="106">
        <v>4</v>
      </c>
      <c r="BK11" s="125">
        <f t="shared" si="42"/>
        <v>0</v>
      </c>
      <c r="BL11" s="126">
        <f t="shared" si="43"/>
        <v>0</v>
      </c>
      <c r="BM11" s="125">
        <f t="shared" si="35"/>
        <v>0</v>
      </c>
      <c r="BN11" s="126">
        <f t="shared" si="36"/>
        <v>0</v>
      </c>
      <c r="BO11" s="125">
        <f t="shared" si="37"/>
        <v>68.88</v>
      </c>
      <c r="BP11" s="126">
        <f t="shared" si="38"/>
        <v>44.88</v>
      </c>
      <c r="BQ11" s="125">
        <f t="shared" si="39"/>
        <v>0</v>
      </c>
      <c r="BR11" s="126">
        <f t="shared" si="40"/>
        <v>0</v>
      </c>
    </row>
    <row r="12" spans="1:70" ht="20.100000000000001" customHeight="1" thickTop="1" thickBot="1" x14ac:dyDescent="0.35">
      <c r="A12" s="138">
        <v>11</v>
      </c>
      <c r="B12" s="139">
        <v>2</v>
      </c>
      <c r="C12" s="139">
        <v>201810189</v>
      </c>
      <c r="D12" s="132" t="str">
        <f t="shared" si="0"/>
        <v>컴퓨터학과</v>
      </c>
      <c r="E12" s="140" t="s">
        <v>21</v>
      </c>
      <c r="F12" s="141">
        <v>134</v>
      </c>
      <c r="G12" s="134">
        <f t="shared" si="1"/>
        <v>67</v>
      </c>
      <c r="H12" s="141">
        <v>62</v>
      </c>
      <c r="I12" s="134">
        <f t="shared" si="2"/>
        <v>56.36</v>
      </c>
      <c r="J12" s="141">
        <v>98.89</v>
      </c>
      <c r="K12" s="141">
        <v>46</v>
      </c>
      <c r="L12" s="134">
        <f t="shared" si="3"/>
        <v>41.82</v>
      </c>
      <c r="M12" s="141">
        <v>28</v>
      </c>
      <c r="N12" s="142">
        <v>80</v>
      </c>
      <c r="O12" s="8">
        <f t="shared" si="4"/>
        <v>60.7</v>
      </c>
      <c r="P12" s="136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37" t="str">
        <f t="shared" si="8"/>
        <v>101</v>
      </c>
      <c r="U12" s="8" t="b">
        <f t="shared" si="9"/>
        <v>1</v>
      </c>
      <c r="V12" s="8" t="str">
        <f t="shared" si="10"/>
        <v>C</v>
      </c>
      <c r="W12" s="8" t="str">
        <f t="shared" si="11"/>
        <v>C+</v>
      </c>
      <c r="AM12" s="178"/>
      <c r="AN12" s="182">
        <v>4</v>
      </c>
      <c r="AO12" s="76" t="s">
        <v>95</v>
      </c>
      <c r="AP12" s="89">
        <f t="shared" ref="AP12" si="46">COUNTIFS($B$2:$B$54,"="&amp;$AN12,$T$2:$T$54,"="&amp;$AM$3,$W$2:$W$54,"="&amp;AP$2)</f>
        <v>0</v>
      </c>
      <c r="AQ12" s="79">
        <f t="shared" si="30"/>
        <v>1</v>
      </c>
      <c r="AR12" s="79">
        <f t="shared" si="30"/>
        <v>1</v>
      </c>
      <c r="AS12" s="79">
        <f t="shared" si="30"/>
        <v>0</v>
      </c>
      <c r="AT12" s="79">
        <f t="shared" si="30"/>
        <v>1</v>
      </c>
      <c r="AU12" s="79">
        <f t="shared" si="30"/>
        <v>2</v>
      </c>
      <c r="AV12" s="79">
        <f t="shared" si="30"/>
        <v>0</v>
      </c>
      <c r="AW12" s="79">
        <f t="shared" si="30"/>
        <v>1</v>
      </c>
      <c r="AX12" s="78">
        <f t="shared" si="30"/>
        <v>0</v>
      </c>
      <c r="BD12" s="199"/>
      <c r="BE12" s="99">
        <v>2</v>
      </c>
      <c r="BF12" s="119">
        <f t="shared" ref="BF12:BF14" si="47">_xlfn.MAXIFS($O$2:$O$54,$T$2:$T$54,"="&amp;$BD$11,$B$2:$B$54,"="&amp;$BE12)</f>
        <v>72.14</v>
      </c>
      <c r="BG12" s="99">
        <f t="shared" ref="BG12:BG14" si="48">_xlfn.MINIFS($O$2:$O$54,$T$2:$T$54,"="&amp;$BD$11,$B$2:$B$54,"="&amp;$BE12)</f>
        <v>26.57</v>
      </c>
      <c r="BI12" s="199">
        <v>103</v>
      </c>
      <c r="BJ12" s="97">
        <v>1</v>
      </c>
      <c r="BK12" s="96">
        <f>_xlfn.MAXIFS($O$2:$O$54,$T$2:$T$54,"="&amp;$BI$12,$B$2:$B$54,"="&amp;$BJ12,$S$2:$S$54,"="&amp;BK$2)</f>
        <v>0</v>
      </c>
      <c r="BL12" s="97">
        <f>_xlfn.MINIFS($O$2:$O$54,$T$2:$T$54,"="&amp;$BI$12,$B$2:$B$54,"="&amp;$BJ12,$S$2:$S$54,"="&amp;BK$2)</f>
        <v>0</v>
      </c>
      <c r="BM12" s="96">
        <f t="shared" ref="BM12:BM15" si="49">_xlfn.MAXIFS($O$2:$O$54,$T$2:$T$54,"="&amp;$BI$12,$B$2:$B$54,"="&amp;$BJ12,$S$2:$S$54,"="&amp;BM$2)</f>
        <v>0</v>
      </c>
      <c r="BN12" s="97">
        <f t="shared" ref="BN12:BN15" si="50">_xlfn.MINIFS($O$2:$O$54,$T$2:$T$54,"="&amp;$BI$12,$B$2:$B$54,"="&amp;$BJ12,$S$2:$S$54,"="&amp;BM$2)</f>
        <v>0</v>
      </c>
      <c r="BO12" s="96">
        <f t="shared" ref="BO12:BO15" si="51">_xlfn.MAXIFS($O$2:$O$54,$T$2:$T$54,"="&amp;$BI$12,$B$2:$B$54,"="&amp;$BJ12,$S$2:$S$54,"="&amp;BO$2)</f>
        <v>0</v>
      </c>
      <c r="BP12" s="97">
        <f t="shared" ref="BP12:BP15" si="52">_xlfn.MINIFS($O$2:$O$54,$T$2:$T$54,"="&amp;$BI$12,$B$2:$B$54,"="&amp;$BJ12,$S$2:$S$54,"="&amp;BO$2)</f>
        <v>0</v>
      </c>
      <c r="BQ12" s="96">
        <f t="shared" ref="BQ12:BQ15" si="53">_xlfn.MAXIFS($O$2:$O$54,$T$2:$T$54,"="&amp;$BI$12,$B$2:$B$54,"="&amp;$BJ12,$S$2:$S$54,"="&amp;BQ$2)</f>
        <v>0</v>
      </c>
      <c r="BR12" s="97">
        <f t="shared" ref="BR12:BR15" si="54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38">
        <v>12</v>
      </c>
      <c r="B13" s="139">
        <v>2</v>
      </c>
      <c r="C13" s="139">
        <v>201810293</v>
      </c>
      <c r="D13" s="132" t="str">
        <f t="shared" si="0"/>
        <v>보안학과</v>
      </c>
      <c r="E13" s="140" t="s">
        <v>22</v>
      </c>
      <c r="F13" s="141">
        <v>106</v>
      </c>
      <c r="G13" s="134">
        <f t="shared" si="1"/>
        <v>53</v>
      </c>
      <c r="H13" s="141">
        <v>92</v>
      </c>
      <c r="I13" s="134">
        <f t="shared" si="2"/>
        <v>83.64</v>
      </c>
      <c r="J13" s="141">
        <v>98.89</v>
      </c>
      <c r="K13" s="141">
        <v>28</v>
      </c>
      <c r="L13" s="134">
        <f t="shared" si="3"/>
        <v>25.45</v>
      </c>
      <c r="M13" s="141">
        <v>42</v>
      </c>
      <c r="N13" s="142">
        <v>80</v>
      </c>
      <c r="O13" s="8">
        <f t="shared" si="4"/>
        <v>65.81</v>
      </c>
      <c r="P13" s="136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37" t="str">
        <f t="shared" si="8"/>
        <v>102</v>
      </c>
      <c r="U13" s="8" t="b">
        <f t="shared" si="9"/>
        <v>1</v>
      </c>
      <c r="V13" s="8" t="str">
        <f t="shared" si="10"/>
        <v>B</v>
      </c>
      <c r="W13" s="8" t="str">
        <f t="shared" si="11"/>
        <v>B0</v>
      </c>
      <c r="AA13" s="206" t="s">
        <v>84</v>
      </c>
      <c r="AB13" s="207"/>
      <c r="AC13" s="17">
        <f>COUNTA(R2:R54)</f>
        <v>11</v>
      </c>
      <c r="AM13" s="178"/>
      <c r="AN13" s="180"/>
      <c r="AO13" s="70" t="s">
        <v>88</v>
      </c>
      <c r="AP13" s="85">
        <f t="shared" ref="AP13:AX13" si="55">SUMIFS($O$2:$O$54,$B$2:$B$54,"="&amp;$AN12,$T$2:$T$54,"="&amp;$AM$3,$W$2:$W$54,"="&amp;AP$2)</f>
        <v>0</v>
      </c>
      <c r="AQ13" s="71">
        <f t="shared" si="55"/>
        <v>77.959999999999994</v>
      </c>
      <c r="AR13" s="71">
        <f t="shared" si="55"/>
        <v>69</v>
      </c>
      <c r="AS13" s="71">
        <f t="shared" si="55"/>
        <v>0</v>
      </c>
      <c r="AT13" s="71">
        <f t="shared" si="55"/>
        <v>55.31</v>
      </c>
      <c r="AU13" s="71">
        <f t="shared" si="55"/>
        <v>107.03999999999999</v>
      </c>
      <c r="AV13" s="71">
        <f t="shared" si="55"/>
        <v>0</v>
      </c>
      <c r="AW13" s="71">
        <f t="shared" si="55"/>
        <v>38.93</v>
      </c>
      <c r="AX13" s="70">
        <f t="shared" si="55"/>
        <v>0</v>
      </c>
      <c r="AZ13" s="92"/>
      <c r="BA13" s="93" t="s">
        <v>106</v>
      </c>
      <c r="BB13" s="94" t="s">
        <v>109</v>
      </c>
      <c r="BD13" s="199"/>
      <c r="BE13" s="99">
        <v>3</v>
      </c>
      <c r="BF13" s="119">
        <f t="shared" si="47"/>
        <v>81.27</v>
      </c>
      <c r="BG13" s="99">
        <f t="shared" si="48"/>
        <v>73.77</v>
      </c>
      <c r="BI13" s="199"/>
      <c r="BJ13" s="99">
        <v>2</v>
      </c>
      <c r="BK13" s="96">
        <f t="shared" ref="BK13:BK15" si="56">_xlfn.MAXIFS($O$2:$O$54,$T$2:$T$54,"="&amp;$BI$12,$B$2:$B$54,"="&amp;$BJ13,$S$2:$S$54,"="&amp;BK$2)</f>
        <v>59.99</v>
      </c>
      <c r="BL13" s="97">
        <f t="shared" ref="BL13:BL15" si="57">_xlfn.MINIFS($O$2:$O$54,$T$2:$T$54,"="&amp;$BI$12,$B$2:$B$54,"="&amp;$BJ13,$S$2:$S$54,"="&amp;BK$2)</f>
        <v>45.71</v>
      </c>
      <c r="BM13" s="96">
        <f t="shared" si="49"/>
        <v>72.14</v>
      </c>
      <c r="BN13" s="97">
        <f t="shared" si="50"/>
        <v>26.57</v>
      </c>
      <c r="BO13" s="96">
        <f t="shared" si="51"/>
        <v>0</v>
      </c>
      <c r="BP13" s="97">
        <f t="shared" si="52"/>
        <v>0</v>
      </c>
      <c r="BQ13" s="96">
        <f t="shared" si="53"/>
        <v>0</v>
      </c>
      <c r="BR13" s="97">
        <f t="shared" si="54"/>
        <v>0</v>
      </c>
    </row>
    <row r="14" spans="1:70" ht="20.100000000000001" customHeight="1" thickTop="1" thickBot="1" x14ac:dyDescent="0.35">
      <c r="A14" s="138">
        <v>13</v>
      </c>
      <c r="B14" s="139">
        <v>2</v>
      </c>
      <c r="C14" s="139">
        <v>201810402</v>
      </c>
      <c r="D14" s="132" t="str">
        <f t="shared" si="0"/>
        <v>게임학과</v>
      </c>
      <c r="E14" s="140" t="s">
        <v>23</v>
      </c>
      <c r="F14" s="141">
        <v>65</v>
      </c>
      <c r="G14" s="134">
        <f t="shared" si="1"/>
        <v>32.5</v>
      </c>
      <c r="H14" s="141">
        <v>18</v>
      </c>
      <c r="I14" s="134">
        <f t="shared" si="2"/>
        <v>16.36</v>
      </c>
      <c r="J14" s="141">
        <v>87.78</v>
      </c>
      <c r="K14" s="141">
        <v>15</v>
      </c>
      <c r="L14" s="134">
        <f t="shared" si="3"/>
        <v>13.64</v>
      </c>
      <c r="M14" s="141">
        <v>14</v>
      </c>
      <c r="N14" s="142">
        <v>60</v>
      </c>
      <c r="O14" s="8">
        <f t="shared" si="4"/>
        <v>30.02</v>
      </c>
      <c r="P14" s="136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37" t="str">
        <f t="shared" si="8"/>
        <v>104</v>
      </c>
      <c r="U14" s="8" t="b">
        <f t="shared" si="9"/>
        <v>1</v>
      </c>
      <c r="V14" s="8" t="str">
        <f t="shared" si="10"/>
        <v>F</v>
      </c>
      <c r="W14" s="8" t="str">
        <f t="shared" si="11"/>
        <v>F</v>
      </c>
      <c r="AA14" s="208" t="s">
        <v>85</v>
      </c>
      <c r="AB14" s="209"/>
      <c r="AC14" s="18">
        <f>COUNTBLANK(R2:R54)</f>
        <v>42</v>
      </c>
      <c r="AM14" s="178"/>
      <c r="AN14" s="180"/>
      <c r="AO14" s="74" t="s">
        <v>89</v>
      </c>
      <c r="AP14" s="87" t="str">
        <f t="shared" ref="AP14:AX14" si="58">IFERROR(ROUND(AVERAGEIFS($O$2:$O$54,$B$2:$B$54,"="&amp;$AN12,$T$2:$T$54,"="&amp;$AM$3,$W$2:$W$54,"="&amp;AP$2),2),"-")</f>
        <v>-</v>
      </c>
      <c r="AQ14" s="75">
        <f t="shared" si="58"/>
        <v>77.959999999999994</v>
      </c>
      <c r="AR14" s="75">
        <f t="shared" si="58"/>
        <v>69</v>
      </c>
      <c r="AS14" s="75" t="str">
        <f t="shared" si="58"/>
        <v>-</v>
      </c>
      <c r="AT14" s="75">
        <f t="shared" si="58"/>
        <v>55.31</v>
      </c>
      <c r="AU14" s="75">
        <f t="shared" si="58"/>
        <v>53.52</v>
      </c>
      <c r="AV14" s="75" t="str">
        <f t="shared" si="58"/>
        <v>-</v>
      </c>
      <c r="AW14" s="75">
        <f t="shared" si="58"/>
        <v>38.93</v>
      </c>
      <c r="AX14" s="74" t="str">
        <f t="shared" si="58"/>
        <v>-</v>
      </c>
      <c r="AZ14" s="95" t="s">
        <v>108</v>
      </c>
      <c r="BA14" s="96">
        <f>_xlfn.MAXIFS($O$2:$O$54,$R$2:$R$54,"=Y")</f>
        <v>82.26</v>
      </c>
      <c r="BB14" s="117">
        <f>_xlfn.MINIFS($O$2:$O$54,$R$2:$R$54,"=Y")</f>
        <v>39.770000000000003</v>
      </c>
      <c r="BD14" s="199"/>
      <c r="BE14" s="103">
        <v>4</v>
      </c>
      <c r="BF14" s="120">
        <f t="shared" si="47"/>
        <v>75.33</v>
      </c>
      <c r="BG14" s="103">
        <f t="shared" si="48"/>
        <v>62.86</v>
      </c>
      <c r="BI14" s="199"/>
      <c r="BJ14" s="99">
        <v>3</v>
      </c>
      <c r="BK14" s="96">
        <f t="shared" si="56"/>
        <v>0</v>
      </c>
      <c r="BL14" s="97">
        <f t="shared" si="57"/>
        <v>0</v>
      </c>
      <c r="BM14" s="96">
        <f t="shared" si="49"/>
        <v>73.77</v>
      </c>
      <c r="BN14" s="97">
        <f t="shared" si="50"/>
        <v>73.77</v>
      </c>
      <c r="BO14" s="96">
        <f t="shared" si="51"/>
        <v>0</v>
      </c>
      <c r="BP14" s="97">
        <f t="shared" si="52"/>
        <v>0</v>
      </c>
      <c r="BQ14" s="96">
        <f t="shared" si="53"/>
        <v>81.27</v>
      </c>
      <c r="BR14" s="97">
        <f t="shared" si="54"/>
        <v>81.27</v>
      </c>
    </row>
    <row r="15" spans="1:70" ht="20.100000000000001" customHeight="1" thickTop="1" thickBot="1" x14ac:dyDescent="0.35">
      <c r="A15" s="138">
        <v>14</v>
      </c>
      <c r="B15" s="139">
        <v>1</v>
      </c>
      <c r="C15" s="139">
        <v>201710504</v>
      </c>
      <c r="D15" s="132" t="str">
        <f t="shared" si="0"/>
        <v>통신학과</v>
      </c>
      <c r="E15" s="140" t="s">
        <v>24</v>
      </c>
      <c r="F15" s="141">
        <v>71</v>
      </c>
      <c r="G15" s="134">
        <f t="shared" si="1"/>
        <v>35.5</v>
      </c>
      <c r="H15" s="141">
        <v>0</v>
      </c>
      <c r="I15" s="134">
        <f t="shared" si="2"/>
        <v>0</v>
      </c>
      <c r="J15" s="141">
        <v>93.33</v>
      </c>
      <c r="K15" s="141">
        <v>26</v>
      </c>
      <c r="L15" s="134">
        <f t="shared" si="3"/>
        <v>23.64</v>
      </c>
      <c r="M15" s="141">
        <v>29</v>
      </c>
      <c r="N15" s="142">
        <v>60</v>
      </c>
      <c r="O15" s="8">
        <f t="shared" si="4"/>
        <v>28.25</v>
      </c>
      <c r="P15" s="136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37" t="str">
        <f t="shared" si="8"/>
        <v>105</v>
      </c>
      <c r="U15" s="8" t="b">
        <f t="shared" si="9"/>
        <v>1</v>
      </c>
      <c r="V15" s="8" t="str">
        <f t="shared" si="10"/>
        <v>F</v>
      </c>
      <c r="W15" s="8" t="str">
        <f t="shared" si="11"/>
        <v>F</v>
      </c>
      <c r="AM15" s="183">
        <v>102</v>
      </c>
      <c r="AN15" s="185">
        <v>1</v>
      </c>
      <c r="AO15" s="80" t="s">
        <v>95</v>
      </c>
      <c r="AP15" s="90">
        <f>COUNTIFS($B$2:$B$54,"="&amp;$AN15,$T$2:$T$54,"="&amp;$AM$15,$W$2:$W$54,"="&amp;AP$2)</f>
        <v>0</v>
      </c>
      <c r="AQ15" s="81">
        <f t="shared" ref="AQ15:AX15" si="59">COUNTIFS($B$2:$B$54,"="&amp;$AN15,$T$2:$T$54,"="&amp;$AM$15,$W$2:$W$54,"="&amp;AQ$2)</f>
        <v>0</v>
      </c>
      <c r="AR15" s="81">
        <f t="shared" si="59"/>
        <v>0</v>
      </c>
      <c r="AS15" s="81">
        <f t="shared" si="59"/>
        <v>0</v>
      </c>
      <c r="AT15" s="81">
        <f t="shared" si="59"/>
        <v>0</v>
      </c>
      <c r="AU15" s="81">
        <f t="shared" si="59"/>
        <v>0</v>
      </c>
      <c r="AV15" s="81">
        <f t="shared" si="59"/>
        <v>0</v>
      </c>
      <c r="AW15" s="81">
        <f t="shared" si="59"/>
        <v>0</v>
      </c>
      <c r="AX15" s="80">
        <f t="shared" si="59"/>
        <v>0</v>
      </c>
      <c r="AZ15" s="100" t="s">
        <v>107</v>
      </c>
      <c r="BA15" s="102">
        <f>_xlfn.MAXIFS($O$2:$O$54,$R$2:$R$54,"=")</f>
        <v>89.82</v>
      </c>
      <c r="BB15" s="39">
        <f>_xlfn.MINIFS($O$2:$O$54,$R$2:$R$54,"=")</f>
        <v>26.57</v>
      </c>
      <c r="BD15" s="198">
        <v>104</v>
      </c>
      <c r="BE15" s="104">
        <v>1</v>
      </c>
      <c r="BF15" s="118">
        <f>_xlfn.MAXIFS($O$2:$O$54,$T$2:$T$54,"="&amp;$BD$15,$B$2:$B$54,"="&amp;$BE15)</f>
        <v>53.09</v>
      </c>
      <c r="BG15" s="104">
        <f>_xlfn.MINIFS($O$2:$O$54,$T$2:$T$54,"="&amp;$BD$15,$B$2:$B$54,"="&amp;$BE15)</f>
        <v>53.09</v>
      </c>
      <c r="BI15" s="199"/>
      <c r="BJ15" s="103">
        <v>4</v>
      </c>
      <c r="BK15" s="123">
        <f t="shared" si="56"/>
        <v>0</v>
      </c>
      <c r="BL15" s="124">
        <f t="shared" si="57"/>
        <v>0</v>
      </c>
      <c r="BM15" s="123">
        <f t="shared" si="49"/>
        <v>0</v>
      </c>
      <c r="BN15" s="124">
        <f t="shared" si="50"/>
        <v>0</v>
      </c>
      <c r="BO15" s="123">
        <f t="shared" si="51"/>
        <v>0</v>
      </c>
      <c r="BP15" s="124">
        <f t="shared" si="52"/>
        <v>0</v>
      </c>
      <c r="BQ15" s="123">
        <f t="shared" si="53"/>
        <v>75.33</v>
      </c>
      <c r="BR15" s="124">
        <f t="shared" si="54"/>
        <v>62.86</v>
      </c>
    </row>
    <row r="16" spans="1:70" ht="20.100000000000001" customHeight="1" thickTop="1" thickBot="1" x14ac:dyDescent="0.35">
      <c r="A16" s="138">
        <v>15</v>
      </c>
      <c r="B16" s="139">
        <v>3</v>
      </c>
      <c r="C16" s="139">
        <v>201610205</v>
      </c>
      <c r="D16" s="132" t="str">
        <f t="shared" si="0"/>
        <v>보안학과</v>
      </c>
      <c r="E16" s="140" t="s">
        <v>25</v>
      </c>
      <c r="F16" s="141">
        <v>108</v>
      </c>
      <c r="G16" s="134">
        <f t="shared" si="1"/>
        <v>54</v>
      </c>
      <c r="H16" s="141">
        <v>64</v>
      </c>
      <c r="I16" s="134">
        <f t="shared" si="2"/>
        <v>58.18</v>
      </c>
      <c r="J16" s="141">
        <v>100</v>
      </c>
      <c r="K16" s="141">
        <v>44</v>
      </c>
      <c r="L16" s="134">
        <f t="shared" si="3"/>
        <v>40</v>
      </c>
      <c r="M16" s="141">
        <v>48</v>
      </c>
      <c r="N16" s="142">
        <v>100</v>
      </c>
      <c r="O16" s="8">
        <f t="shared" si="4"/>
        <v>60.36</v>
      </c>
      <c r="P16" s="136">
        <f t="shared" si="5"/>
        <v>33</v>
      </c>
      <c r="Q16" s="8">
        <f t="shared" si="6"/>
        <v>33</v>
      </c>
      <c r="R16" s="9" t="s">
        <v>71</v>
      </c>
      <c r="S16" s="8" t="str">
        <f t="shared" si="7"/>
        <v>2016</v>
      </c>
      <c r="T16" s="137" t="str">
        <f t="shared" si="8"/>
        <v>102</v>
      </c>
      <c r="U16" s="8" t="b">
        <f t="shared" si="9"/>
        <v>0</v>
      </c>
      <c r="V16" s="8" t="str">
        <f t="shared" si="10"/>
        <v>C</v>
      </c>
      <c r="W16" s="8" t="str">
        <f t="shared" si="11"/>
        <v>C+</v>
      </c>
      <c r="AA16" s="34"/>
      <c r="AM16" s="178"/>
      <c r="AN16" s="180"/>
      <c r="AO16" s="70" t="s">
        <v>88</v>
      </c>
      <c r="AP16" s="85">
        <f>SUMIFS($O$2:$O$54,$B$2:$B$54,"="&amp;$AN15,$T$2:$T$54,"="&amp;$AM$15,$W$2:$W$54,"="&amp;AP$2)</f>
        <v>0</v>
      </c>
      <c r="AQ16" s="71">
        <f t="shared" ref="AQ16:AX16" si="60">SUMIFS($O$2:$O$54,$B$2:$B$54,"="&amp;$AN15,$T$2:$T$54,"="&amp;$AM$15,$W$2:$W$54,"="&amp;AQ$2)</f>
        <v>0</v>
      </c>
      <c r="AR16" s="71">
        <f t="shared" si="60"/>
        <v>0</v>
      </c>
      <c r="AS16" s="71">
        <f t="shared" si="60"/>
        <v>0</v>
      </c>
      <c r="AT16" s="71">
        <f t="shared" si="60"/>
        <v>0</v>
      </c>
      <c r="AU16" s="71">
        <f t="shared" si="60"/>
        <v>0</v>
      </c>
      <c r="AV16" s="71">
        <f t="shared" si="60"/>
        <v>0</v>
      </c>
      <c r="AW16" s="71">
        <f t="shared" si="60"/>
        <v>0</v>
      </c>
      <c r="AX16" s="70">
        <f t="shared" si="60"/>
        <v>0</v>
      </c>
      <c r="BD16" s="199"/>
      <c r="BE16" s="99">
        <v>2</v>
      </c>
      <c r="BF16" s="119">
        <f t="shared" ref="BF16:BF18" si="61">_xlfn.MAXIFS($O$2:$O$54,$T$2:$T$54,"="&amp;$BD$15,$B$2:$B$54,"="&amp;$BE16)</f>
        <v>68.099999999999994</v>
      </c>
      <c r="BG16" s="99">
        <f t="shared" ref="BG16:BG18" si="62">_xlfn.MINIFS($O$2:$O$54,$T$2:$T$54,"="&amp;$BD$15,$B$2:$B$54,"="&amp;$BE16)</f>
        <v>30.02</v>
      </c>
      <c r="BI16" s="198">
        <v>104</v>
      </c>
      <c r="BJ16" s="104">
        <v>1</v>
      </c>
      <c r="BK16" s="105">
        <f>_xlfn.MAXIFS($O$2:$O$54,$T$2:$T$54,"="&amp;$BI$16,$B$2:$B$54,"="&amp;$BJ16,$S$2:$S$54,"="&amp;BK$2)</f>
        <v>53.09</v>
      </c>
      <c r="BL16" s="104">
        <f>_xlfn.MINIFS($O$2:$O$54,$T$2:$T$54,"="&amp;$BI$16,$B$2:$B$54,"="&amp;$BJ16,$S$2:$S$54,"="&amp;BK$2)</f>
        <v>53.09</v>
      </c>
      <c r="BM16" s="105">
        <f t="shared" ref="BM16:BM19" si="63">_xlfn.MAXIFS($O$2:$O$54,$T$2:$T$54,"="&amp;$BI$16,$B$2:$B$54,"="&amp;$BJ16,$S$2:$S$54,"="&amp;BM$2)</f>
        <v>0</v>
      </c>
      <c r="BN16" s="104">
        <f t="shared" ref="BN16:BN19" si="64">_xlfn.MINIFS($O$2:$O$54,$T$2:$T$54,"="&amp;$BI$16,$B$2:$B$54,"="&amp;$BJ16,$S$2:$S$54,"="&amp;BM$2)</f>
        <v>0</v>
      </c>
      <c r="BO16" s="105">
        <f t="shared" ref="BO16:BO19" si="65">_xlfn.MAXIFS($O$2:$O$54,$T$2:$T$54,"="&amp;$BI$16,$B$2:$B$54,"="&amp;$BJ16,$S$2:$S$54,"="&amp;BO$2)</f>
        <v>0</v>
      </c>
      <c r="BP16" s="104">
        <f t="shared" ref="BP16:BP19" si="66">_xlfn.MINIFS($O$2:$O$54,$T$2:$T$54,"="&amp;$BI$16,$B$2:$B$54,"="&amp;$BJ16,$S$2:$S$54,"="&amp;BO$2)</f>
        <v>0</v>
      </c>
      <c r="BQ16" s="105">
        <f t="shared" ref="BQ16:BQ19" si="67">_xlfn.MAXIFS($O$2:$O$54,$T$2:$T$54,"="&amp;$BI$16,$B$2:$B$54,"="&amp;$BJ16,$S$2:$S$54,"="&amp;BQ$2)</f>
        <v>0</v>
      </c>
      <c r="BR16" s="104">
        <f t="shared" ref="BR16:BR19" si="68">_xlfn.MINIFS($O$2:$O$54,$T$2:$T$54,"="&amp;$BI$16,$B$2:$B$54,"="&amp;$BJ16,$S$2:$S$54,"="&amp;BQ$2)</f>
        <v>0</v>
      </c>
    </row>
    <row r="17" spans="1:70" ht="20.100000000000001" customHeight="1" thickTop="1" x14ac:dyDescent="0.3">
      <c r="A17" s="138">
        <v>16</v>
      </c>
      <c r="B17" s="139">
        <v>2</v>
      </c>
      <c r="C17" s="139">
        <v>201710306</v>
      </c>
      <c r="D17" s="132" t="str">
        <f t="shared" si="0"/>
        <v>전자학과</v>
      </c>
      <c r="E17" s="140" t="s">
        <v>4</v>
      </c>
      <c r="F17" s="141">
        <v>134</v>
      </c>
      <c r="G17" s="134">
        <f t="shared" si="1"/>
        <v>67</v>
      </c>
      <c r="H17" s="141">
        <v>54</v>
      </c>
      <c r="I17" s="134">
        <f t="shared" si="2"/>
        <v>49.09</v>
      </c>
      <c r="J17" s="141">
        <v>100</v>
      </c>
      <c r="K17" s="141">
        <v>59</v>
      </c>
      <c r="L17" s="134">
        <f t="shared" si="3"/>
        <v>53.64</v>
      </c>
      <c r="M17" s="141">
        <v>63</v>
      </c>
      <c r="N17" s="142">
        <v>100</v>
      </c>
      <c r="O17" s="8">
        <f t="shared" si="4"/>
        <v>63.95</v>
      </c>
      <c r="P17" s="136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37" t="str">
        <f t="shared" si="8"/>
        <v>103</v>
      </c>
      <c r="U17" s="8" t="b">
        <f t="shared" si="9"/>
        <v>1</v>
      </c>
      <c r="V17" s="8" t="str">
        <f t="shared" si="10"/>
        <v>B</v>
      </c>
      <c r="W17" s="8" t="str">
        <f t="shared" si="11"/>
        <v>B0</v>
      </c>
      <c r="AA17" s="201" t="s">
        <v>105</v>
      </c>
      <c r="AB17" s="35">
        <v>101</v>
      </c>
      <c r="AC17" s="35">
        <v>102</v>
      </c>
      <c r="AD17" s="36">
        <v>103</v>
      </c>
      <c r="AE17" s="36">
        <v>104</v>
      </c>
      <c r="AF17" s="163">
        <v>105</v>
      </c>
      <c r="AM17" s="178"/>
      <c r="AN17" s="181"/>
      <c r="AO17" s="72" t="s">
        <v>89</v>
      </c>
      <c r="AP17" s="87" t="str">
        <f>IFERROR(ROUND(AVERAGEIFS($O$2:$O$54,$B$2:$B$54,"="&amp;$AN15,$T$2:$T$54,"="&amp;$AM$15,$W$2:$W$54,"="&amp;AP$2),2),"-")</f>
        <v>-</v>
      </c>
      <c r="AQ17" s="75" t="str">
        <f t="shared" ref="AQ17:AX17" si="69">IFERROR(ROUND(AVERAGEIFS($O$2:$O$54,$B$2:$B$54,"="&amp;$AN15,$T$2:$T$54,"="&amp;$AM$15,$W$2:$W$54,"="&amp;AQ$2),2),"-")</f>
        <v>-</v>
      </c>
      <c r="AR17" s="75" t="str">
        <f t="shared" si="69"/>
        <v>-</v>
      </c>
      <c r="AS17" s="75" t="str">
        <f t="shared" si="69"/>
        <v>-</v>
      </c>
      <c r="AT17" s="75" t="str">
        <f t="shared" si="69"/>
        <v>-</v>
      </c>
      <c r="AU17" s="75" t="str">
        <f t="shared" si="69"/>
        <v>-</v>
      </c>
      <c r="AV17" s="75" t="str">
        <f t="shared" si="69"/>
        <v>-</v>
      </c>
      <c r="AW17" s="75" t="str">
        <f t="shared" si="69"/>
        <v>-</v>
      </c>
      <c r="AX17" s="74" t="str">
        <f t="shared" si="69"/>
        <v>-</v>
      </c>
      <c r="BD17" s="199"/>
      <c r="BE17" s="99">
        <v>3</v>
      </c>
      <c r="BF17" s="119">
        <f t="shared" si="61"/>
        <v>82.26</v>
      </c>
      <c r="BG17" s="99">
        <f t="shared" si="62"/>
        <v>82.26</v>
      </c>
      <c r="BI17" s="199"/>
      <c r="BJ17" s="99">
        <v>2</v>
      </c>
      <c r="BK17" s="96">
        <f t="shared" ref="BK17:BK19" si="70">_xlfn.MAXIFS($O$2:$O$54,$T$2:$T$54,"="&amp;$BI$16,$B$2:$B$54,"="&amp;$BJ17,$S$2:$S$54,"="&amp;BK$2)</f>
        <v>43.09</v>
      </c>
      <c r="BL17" s="97">
        <f t="shared" ref="BL17:BL19" si="71">_xlfn.MINIFS($O$2:$O$54,$T$2:$T$54,"="&amp;$BI$16,$B$2:$B$54,"="&amp;$BJ17,$S$2:$S$54,"="&amp;BK$2)</f>
        <v>30.02</v>
      </c>
      <c r="BM17" s="96">
        <f t="shared" si="63"/>
        <v>68.099999999999994</v>
      </c>
      <c r="BN17" s="97">
        <f t="shared" si="64"/>
        <v>68.099999999999994</v>
      </c>
      <c r="BO17" s="96">
        <f t="shared" si="65"/>
        <v>0</v>
      </c>
      <c r="BP17" s="97">
        <f t="shared" si="66"/>
        <v>0</v>
      </c>
      <c r="BQ17" s="96">
        <f t="shared" si="67"/>
        <v>0</v>
      </c>
      <c r="BR17" s="97">
        <f t="shared" si="68"/>
        <v>0</v>
      </c>
    </row>
    <row r="18" spans="1:70" ht="20.100000000000001" customHeight="1" thickBot="1" x14ac:dyDescent="0.35">
      <c r="A18" s="138">
        <v>17</v>
      </c>
      <c r="B18" s="139">
        <v>4</v>
      </c>
      <c r="C18" s="139">
        <v>201510412</v>
      </c>
      <c r="D18" s="132" t="str">
        <f t="shared" si="0"/>
        <v>게임학과</v>
      </c>
      <c r="E18" s="140" t="s">
        <v>26</v>
      </c>
      <c r="F18" s="141">
        <v>141</v>
      </c>
      <c r="G18" s="134">
        <f t="shared" si="1"/>
        <v>70.5</v>
      </c>
      <c r="H18" s="141">
        <v>64</v>
      </c>
      <c r="I18" s="134">
        <f t="shared" si="2"/>
        <v>58.18</v>
      </c>
      <c r="J18" s="141">
        <v>100</v>
      </c>
      <c r="K18" s="141">
        <v>61</v>
      </c>
      <c r="L18" s="134">
        <f t="shared" si="3"/>
        <v>55.45</v>
      </c>
      <c r="M18" s="141">
        <v>26</v>
      </c>
      <c r="N18" s="142">
        <v>100</v>
      </c>
      <c r="O18" s="8">
        <f t="shared" si="4"/>
        <v>64.66</v>
      </c>
      <c r="P18" s="136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37" t="str">
        <f t="shared" si="8"/>
        <v>104</v>
      </c>
      <c r="U18" s="8" t="b">
        <f t="shared" si="9"/>
        <v>1</v>
      </c>
      <c r="V18" s="8" t="str">
        <f t="shared" si="10"/>
        <v>B</v>
      </c>
      <c r="W18" s="8" t="str">
        <f t="shared" si="11"/>
        <v>B0</v>
      </c>
      <c r="AA18" s="202"/>
      <c r="AB18" s="37" t="s">
        <v>75</v>
      </c>
      <c r="AC18" s="37" t="s">
        <v>76</v>
      </c>
      <c r="AD18" s="38" t="s">
        <v>77</v>
      </c>
      <c r="AE18" s="38" t="s">
        <v>78</v>
      </c>
      <c r="AF18" s="39" t="s">
        <v>79</v>
      </c>
      <c r="AM18" s="178"/>
      <c r="AN18" s="182">
        <v>2</v>
      </c>
      <c r="AO18" s="76" t="s">
        <v>95</v>
      </c>
      <c r="AP18" s="88">
        <f t="shared" ref="AP18:AX24" si="72">COUNTIFS($B$2:$B$54,"="&amp;$AN18,$T$2:$T$54,"="&amp;$AM$15,$W$2:$W$54,"="&amp;AP$2)</f>
        <v>0</v>
      </c>
      <c r="AQ18" s="77">
        <f t="shared" si="72"/>
        <v>2</v>
      </c>
      <c r="AR18" s="77">
        <f t="shared" si="72"/>
        <v>0</v>
      </c>
      <c r="AS18" s="77">
        <f t="shared" si="72"/>
        <v>2</v>
      </c>
      <c r="AT18" s="77">
        <f t="shared" si="72"/>
        <v>1</v>
      </c>
      <c r="AU18" s="77">
        <f t="shared" si="72"/>
        <v>0</v>
      </c>
      <c r="AV18" s="77">
        <f t="shared" si="72"/>
        <v>0</v>
      </c>
      <c r="AW18" s="77">
        <f t="shared" si="72"/>
        <v>1</v>
      </c>
      <c r="AX18" s="76">
        <f t="shared" si="72"/>
        <v>0</v>
      </c>
      <c r="BD18" s="200"/>
      <c r="BE18" s="106">
        <v>4</v>
      </c>
      <c r="BF18" s="121">
        <f t="shared" si="61"/>
        <v>64.66</v>
      </c>
      <c r="BG18" s="106">
        <f t="shared" si="62"/>
        <v>48.16</v>
      </c>
      <c r="BI18" s="199"/>
      <c r="BJ18" s="99">
        <v>3</v>
      </c>
      <c r="BK18" s="96">
        <f t="shared" si="70"/>
        <v>0</v>
      </c>
      <c r="BL18" s="97">
        <f t="shared" si="71"/>
        <v>0</v>
      </c>
      <c r="BM18" s="96">
        <f t="shared" si="63"/>
        <v>82.26</v>
      </c>
      <c r="BN18" s="97">
        <f t="shared" si="64"/>
        <v>82.26</v>
      </c>
      <c r="BO18" s="96">
        <f t="shared" si="65"/>
        <v>0</v>
      </c>
      <c r="BP18" s="97">
        <f t="shared" si="66"/>
        <v>0</v>
      </c>
      <c r="BQ18" s="96">
        <f t="shared" si="67"/>
        <v>0</v>
      </c>
      <c r="BR18" s="97">
        <f t="shared" si="68"/>
        <v>0</v>
      </c>
    </row>
    <row r="19" spans="1:70" ht="20.100000000000001" customHeight="1" thickTop="1" thickBot="1" x14ac:dyDescent="0.35">
      <c r="A19" s="138">
        <v>18</v>
      </c>
      <c r="B19" s="139">
        <v>3</v>
      </c>
      <c r="C19" s="139">
        <v>201710214</v>
      </c>
      <c r="D19" s="132" t="str">
        <f t="shared" si="0"/>
        <v>보안학과</v>
      </c>
      <c r="E19" s="140" t="s">
        <v>27</v>
      </c>
      <c r="F19" s="141">
        <v>117</v>
      </c>
      <c r="G19" s="134">
        <f t="shared" si="1"/>
        <v>58.5</v>
      </c>
      <c r="H19" s="141">
        <v>71</v>
      </c>
      <c r="I19" s="134">
        <f t="shared" si="2"/>
        <v>64.55</v>
      </c>
      <c r="J19" s="141">
        <v>100</v>
      </c>
      <c r="K19" s="141">
        <v>80</v>
      </c>
      <c r="L19" s="134">
        <f t="shared" si="3"/>
        <v>72.73</v>
      </c>
      <c r="M19" s="141">
        <v>74</v>
      </c>
      <c r="N19" s="142">
        <v>100</v>
      </c>
      <c r="O19" s="8">
        <f t="shared" si="4"/>
        <v>69.819999999999993</v>
      </c>
      <c r="P19" s="136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37" t="str">
        <f t="shared" si="8"/>
        <v>102</v>
      </c>
      <c r="U19" s="8" t="b">
        <f t="shared" si="9"/>
        <v>1</v>
      </c>
      <c r="V19" s="8" t="str">
        <f t="shared" si="10"/>
        <v>B</v>
      </c>
      <c r="W19" s="8" t="str">
        <f t="shared" si="11"/>
        <v>B+</v>
      </c>
      <c r="AA19" s="44" t="s">
        <v>97</v>
      </c>
      <c r="AB19" s="165">
        <f>COUNTIFS($T$2:$T$54,"="&amp;AB$17, $W$2:$W$54,"="&amp;$AA19)</f>
        <v>1</v>
      </c>
      <c r="AC19" s="35">
        <f t="shared" ref="AC19:AF27" si="73">COUNTIFS($T$2:$T$54,"="&amp;AC$17, $W$2:$W$54,"="&amp;$AA19)</f>
        <v>0</v>
      </c>
      <c r="AD19" s="35">
        <f t="shared" si="73"/>
        <v>1</v>
      </c>
      <c r="AE19" s="35">
        <f t="shared" si="73"/>
        <v>0</v>
      </c>
      <c r="AF19" s="47">
        <f t="shared" si="73"/>
        <v>1</v>
      </c>
      <c r="AM19" s="178"/>
      <c r="AN19" s="180"/>
      <c r="AO19" s="70" t="s">
        <v>88</v>
      </c>
      <c r="AP19" s="85">
        <f t="shared" ref="AP19:AX19" si="74">SUMIFS($O$2:$O$54,$B$2:$B$54,"="&amp;$AN18,$T$2:$T$54,"="&amp;$AM$15,$W$2:$W$54,"="&amp;AP$2)</f>
        <v>0</v>
      </c>
      <c r="AQ19" s="71">
        <f t="shared" si="74"/>
        <v>149.42000000000002</v>
      </c>
      <c r="AR19" s="71">
        <f t="shared" si="74"/>
        <v>0</v>
      </c>
      <c r="AS19" s="71">
        <f t="shared" si="74"/>
        <v>133.43</v>
      </c>
      <c r="AT19" s="71">
        <f t="shared" si="74"/>
        <v>56.97</v>
      </c>
      <c r="AU19" s="71">
        <f t="shared" si="74"/>
        <v>0</v>
      </c>
      <c r="AV19" s="71">
        <f t="shared" si="74"/>
        <v>0</v>
      </c>
      <c r="AW19" s="71">
        <f t="shared" si="74"/>
        <v>39.770000000000003</v>
      </c>
      <c r="AX19" s="70">
        <f t="shared" si="74"/>
        <v>0</v>
      </c>
      <c r="BD19" s="199">
        <v>105</v>
      </c>
      <c r="BE19" s="97">
        <v>1</v>
      </c>
      <c r="BF19" s="115">
        <f>_xlfn.MAXIFS($O$2:$O$54,$T$2:$T$54,"="&amp;$BD$19,$B$2:$B$54,"="&amp;$BE19)</f>
        <v>72.69</v>
      </c>
      <c r="BG19" s="97">
        <f>_xlfn.MINIFS($O$2:$O$54,$T$2:$T$54,"="&amp;$BD$19,$B$2:$B$54,"="&amp;$BE19)</f>
        <v>28.25</v>
      </c>
      <c r="BI19" s="200"/>
      <c r="BJ19" s="106">
        <v>4</v>
      </c>
      <c r="BK19" s="125">
        <f t="shared" si="70"/>
        <v>0</v>
      </c>
      <c r="BL19" s="126">
        <f t="shared" si="71"/>
        <v>0</v>
      </c>
      <c r="BM19" s="125">
        <f t="shared" si="63"/>
        <v>0</v>
      </c>
      <c r="BN19" s="126">
        <f t="shared" si="64"/>
        <v>0</v>
      </c>
      <c r="BO19" s="125">
        <f t="shared" si="65"/>
        <v>0</v>
      </c>
      <c r="BP19" s="126">
        <f t="shared" si="66"/>
        <v>0</v>
      </c>
      <c r="BQ19" s="125">
        <f t="shared" si="67"/>
        <v>64.66</v>
      </c>
      <c r="BR19" s="126">
        <f t="shared" si="68"/>
        <v>48.16</v>
      </c>
    </row>
    <row r="20" spans="1:70" ht="20.100000000000001" customHeight="1" thickTop="1" x14ac:dyDescent="0.3">
      <c r="A20" s="138">
        <v>19</v>
      </c>
      <c r="B20" s="139">
        <v>2</v>
      </c>
      <c r="C20" s="139">
        <v>201810117</v>
      </c>
      <c r="D20" s="132" t="str">
        <f t="shared" si="0"/>
        <v>컴퓨터학과</v>
      </c>
      <c r="E20" s="140" t="s">
        <v>28</v>
      </c>
      <c r="F20" s="141">
        <v>139</v>
      </c>
      <c r="G20" s="134">
        <f t="shared" si="1"/>
        <v>69.5</v>
      </c>
      <c r="H20" s="141">
        <v>89</v>
      </c>
      <c r="I20" s="134">
        <f t="shared" si="2"/>
        <v>80.91</v>
      </c>
      <c r="J20" s="141">
        <v>96.67</v>
      </c>
      <c r="K20" s="141">
        <v>60</v>
      </c>
      <c r="L20" s="134">
        <f t="shared" si="3"/>
        <v>54.55</v>
      </c>
      <c r="M20" s="141">
        <v>87</v>
      </c>
      <c r="N20" s="142">
        <v>100</v>
      </c>
      <c r="O20" s="8">
        <f t="shared" si="4"/>
        <v>77.989999999999995</v>
      </c>
      <c r="P20" s="136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37" t="str">
        <f t="shared" si="8"/>
        <v>101</v>
      </c>
      <c r="U20" s="8" t="b">
        <f t="shared" si="9"/>
        <v>1</v>
      </c>
      <c r="V20" s="8" t="str">
        <f t="shared" si="10"/>
        <v>A</v>
      </c>
      <c r="W20" s="8" t="str">
        <f t="shared" si="11"/>
        <v>A0</v>
      </c>
      <c r="AA20" s="45" t="s">
        <v>98</v>
      </c>
      <c r="AB20" s="40">
        <f t="shared" ref="AB20:AB27" si="75">COUNTIFS($T$2:$T$54,"="&amp;AB$17, $W$2:$W$54,"="&amp;$AA20)</f>
        <v>4</v>
      </c>
      <c r="AC20" s="41">
        <f t="shared" si="73"/>
        <v>2</v>
      </c>
      <c r="AD20" s="41">
        <f t="shared" si="73"/>
        <v>2</v>
      </c>
      <c r="AE20" s="41">
        <f t="shared" si="73"/>
        <v>0</v>
      </c>
      <c r="AF20" s="48">
        <f t="shared" si="73"/>
        <v>3</v>
      </c>
      <c r="AM20" s="178"/>
      <c r="AN20" s="181"/>
      <c r="AO20" s="72" t="s">
        <v>89</v>
      </c>
      <c r="AP20" s="86" t="str">
        <f t="shared" ref="AP20:AX20" si="76">IFERROR(ROUND(AVERAGEIFS($O$2:$O$54,$B$2:$B$54,"="&amp;$AN18,$T$2:$T$54,"="&amp;$AM$15,$W$2:$W$54,"="&amp;AP$2),2),"-")</f>
        <v>-</v>
      </c>
      <c r="AQ20" s="73">
        <f t="shared" si="76"/>
        <v>74.709999999999994</v>
      </c>
      <c r="AR20" s="73" t="str">
        <f t="shared" si="76"/>
        <v>-</v>
      </c>
      <c r="AS20" s="73">
        <f t="shared" si="76"/>
        <v>66.72</v>
      </c>
      <c r="AT20" s="73">
        <f t="shared" si="76"/>
        <v>56.97</v>
      </c>
      <c r="AU20" s="73" t="str">
        <f t="shared" si="76"/>
        <v>-</v>
      </c>
      <c r="AV20" s="73" t="str">
        <f t="shared" si="76"/>
        <v>-</v>
      </c>
      <c r="AW20" s="73">
        <f t="shared" si="76"/>
        <v>39.770000000000003</v>
      </c>
      <c r="AX20" s="72" t="str">
        <f t="shared" si="76"/>
        <v>-</v>
      </c>
      <c r="BD20" s="199"/>
      <c r="BE20" s="99">
        <v>2</v>
      </c>
      <c r="BF20" s="119">
        <f t="shared" ref="BF20:BF22" si="77">_xlfn.MAXIFS($O$2:$O$54,$T$2:$T$54,"="&amp;$BD$19,$B$2:$B$54,"="&amp;$BE20)</f>
        <v>87.02</v>
      </c>
      <c r="BG20" s="99">
        <f t="shared" ref="BG20:BG22" si="78">_xlfn.MINIFS($O$2:$O$54,$T$2:$T$54,"="&amp;$BD$19,$B$2:$B$54,"="&amp;$BE20)</f>
        <v>43.86</v>
      </c>
      <c r="BI20" s="199">
        <v>105</v>
      </c>
      <c r="BJ20" s="97">
        <v>1</v>
      </c>
      <c r="BK20" s="115">
        <f>_xlfn.MAXIFS($O$2:$O$54,$T$2:$T$54,"="&amp;$BI$20,$B$2:$B$54,"="&amp;$BJ20,$S$2:$S$54,"="&amp;BK$2)</f>
        <v>72.69</v>
      </c>
      <c r="BL20" s="97">
        <f>_xlfn.MINIFS($O$2:$O$54,$T$2:$T$54,"="&amp;$BI$20,$B$2:$B$54,"="&amp;$BJ20,$S$2:$S$54,"="&amp;BK$2)</f>
        <v>72.69</v>
      </c>
      <c r="BM20" s="96">
        <f t="shared" ref="BM20:BM23" si="79">_xlfn.MAXIFS($O$2:$O$54,$T$2:$T$54,"="&amp;$BI$20,$B$2:$B$54,"="&amp;$BJ20,$S$2:$S$54,"="&amp;BM$2)</f>
        <v>28.25</v>
      </c>
      <c r="BN20" s="97">
        <f t="shared" ref="BN20:BN23" si="80">_xlfn.MINIFS($O$2:$O$54,$T$2:$T$54,"="&amp;$BI$20,$B$2:$B$54,"="&amp;$BJ20,$S$2:$S$54,"="&amp;BM$2)</f>
        <v>28.25</v>
      </c>
      <c r="BO20" s="96">
        <f t="shared" ref="BO20:BO23" si="81">_xlfn.MAXIFS($O$2:$O$54,$T$2:$T$54,"="&amp;$BI$20,$B$2:$B$54,"="&amp;$BJ20,$S$2:$S$54,"="&amp;BO$2)</f>
        <v>0</v>
      </c>
      <c r="BP20" s="97">
        <f t="shared" ref="BP20:BP23" si="82">_xlfn.MINIFS($O$2:$O$54,$T$2:$T$54,"="&amp;$BI$20,$B$2:$B$54,"="&amp;$BJ20,$S$2:$S$54,"="&amp;BO$2)</f>
        <v>0</v>
      </c>
      <c r="BQ20" s="96">
        <f t="shared" ref="BQ20:BQ23" si="83">_xlfn.MAXIFS($O$2:$O$54,$T$2:$T$54,"="&amp;$BI$20,$B$2:$B$54,"="&amp;$BJ20,$S$2:$S$54,"="&amp;BQ$2)</f>
        <v>0</v>
      </c>
      <c r="BR20" s="97">
        <f t="shared" ref="BR20:BR23" si="84">_xlfn.MINIFS($O$2:$O$54,$T$2:$T$54,"="&amp;$BI$20,$B$2:$B$54,"="&amp;$BJ20,$S$2:$S$54,"="&amp;BQ$2)</f>
        <v>0</v>
      </c>
    </row>
    <row r="21" spans="1:70" ht="20.100000000000001" customHeight="1" x14ac:dyDescent="0.3">
      <c r="A21" s="138">
        <v>20</v>
      </c>
      <c r="B21" s="139">
        <v>4</v>
      </c>
      <c r="C21" s="139">
        <v>201610118</v>
      </c>
      <c r="D21" s="132" t="str">
        <f t="shared" si="0"/>
        <v>컴퓨터학과</v>
      </c>
      <c r="E21" s="140" t="s">
        <v>29</v>
      </c>
      <c r="F21" s="141">
        <v>145</v>
      </c>
      <c r="G21" s="134">
        <f t="shared" si="1"/>
        <v>72.5</v>
      </c>
      <c r="H21" s="141">
        <v>93</v>
      </c>
      <c r="I21" s="134">
        <f t="shared" si="2"/>
        <v>84.55</v>
      </c>
      <c r="J21" s="141">
        <v>98.89</v>
      </c>
      <c r="K21" s="141">
        <v>74</v>
      </c>
      <c r="L21" s="134">
        <f t="shared" si="3"/>
        <v>67.27</v>
      </c>
      <c r="M21" s="141">
        <v>50</v>
      </c>
      <c r="N21" s="142">
        <v>100</v>
      </c>
      <c r="O21" s="8">
        <f t="shared" si="4"/>
        <v>77.959999999999994</v>
      </c>
      <c r="P21" s="136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37" t="str">
        <f t="shared" si="8"/>
        <v>101</v>
      </c>
      <c r="U21" s="8" t="b">
        <f t="shared" si="9"/>
        <v>1</v>
      </c>
      <c r="V21" s="8" t="str">
        <f t="shared" si="10"/>
        <v>A</v>
      </c>
      <c r="W21" s="8" t="str">
        <f t="shared" si="11"/>
        <v>A0</v>
      </c>
      <c r="AA21" s="45" t="s">
        <v>99</v>
      </c>
      <c r="AB21" s="40">
        <f t="shared" si="75"/>
        <v>2</v>
      </c>
      <c r="AC21" s="41">
        <f t="shared" si="73"/>
        <v>3</v>
      </c>
      <c r="AD21" s="41">
        <f t="shared" si="73"/>
        <v>1</v>
      </c>
      <c r="AE21" s="41">
        <f t="shared" si="73"/>
        <v>1</v>
      </c>
      <c r="AF21" s="48">
        <f t="shared" si="73"/>
        <v>2</v>
      </c>
      <c r="AM21" s="178"/>
      <c r="AN21" s="182">
        <v>3</v>
      </c>
      <c r="AO21" s="76" t="s">
        <v>95</v>
      </c>
      <c r="AP21" s="88">
        <f t="shared" ref="AP21" si="85">COUNTIFS($B$2:$B$54,"="&amp;$AN21,$T$2:$T$54,"="&amp;$AM$15,$W$2:$W$54,"="&amp;AP$2)</f>
        <v>0</v>
      </c>
      <c r="AQ21" s="77">
        <f t="shared" si="72"/>
        <v>0</v>
      </c>
      <c r="AR21" s="77">
        <f t="shared" si="72"/>
        <v>2</v>
      </c>
      <c r="AS21" s="77">
        <f t="shared" si="72"/>
        <v>0</v>
      </c>
      <c r="AT21" s="77">
        <f t="shared" si="72"/>
        <v>1</v>
      </c>
      <c r="AU21" s="77">
        <f t="shared" si="72"/>
        <v>0</v>
      </c>
      <c r="AV21" s="77">
        <f t="shared" si="72"/>
        <v>0</v>
      </c>
      <c r="AW21" s="77">
        <f t="shared" si="72"/>
        <v>0</v>
      </c>
      <c r="AX21" s="76">
        <f t="shared" si="72"/>
        <v>0</v>
      </c>
      <c r="BD21" s="199"/>
      <c r="BE21" s="99">
        <v>3</v>
      </c>
      <c r="BF21" s="119">
        <f t="shared" si="77"/>
        <v>68.150000000000006</v>
      </c>
      <c r="BG21" s="99">
        <f t="shared" si="78"/>
        <v>67.44</v>
      </c>
      <c r="BI21" s="199"/>
      <c r="BJ21" s="99">
        <v>2</v>
      </c>
      <c r="BK21" s="115">
        <f t="shared" ref="BK21:BK23" si="86">_xlfn.MAXIFS($O$2:$O$54,$T$2:$T$54,"="&amp;$BI$20,$B$2:$B$54,"="&amp;$BJ21,$S$2:$S$54,"="&amp;BK$2)</f>
        <v>87.02</v>
      </c>
      <c r="BL21" s="97">
        <f t="shared" ref="BL21:BL23" si="87">_xlfn.MINIFS($O$2:$O$54,$T$2:$T$54,"="&amp;$BI$20,$B$2:$B$54,"="&amp;$BJ21,$S$2:$S$54,"="&amp;BK$2)</f>
        <v>43.86</v>
      </c>
      <c r="BM21" s="96">
        <f t="shared" si="79"/>
        <v>0</v>
      </c>
      <c r="BN21" s="97">
        <f t="shared" si="80"/>
        <v>0</v>
      </c>
      <c r="BO21" s="96">
        <f t="shared" si="81"/>
        <v>70.52</v>
      </c>
      <c r="BP21" s="97">
        <f t="shared" si="82"/>
        <v>70.52</v>
      </c>
      <c r="BQ21" s="96">
        <f t="shared" si="83"/>
        <v>0</v>
      </c>
      <c r="BR21" s="97">
        <f t="shared" si="84"/>
        <v>0</v>
      </c>
    </row>
    <row r="22" spans="1:70" ht="20.100000000000001" customHeight="1" thickBot="1" x14ac:dyDescent="0.35">
      <c r="A22" s="138">
        <v>21</v>
      </c>
      <c r="B22" s="139">
        <v>4</v>
      </c>
      <c r="C22" s="139">
        <v>201510420</v>
      </c>
      <c r="D22" s="132" t="str">
        <f t="shared" si="0"/>
        <v>게임학과</v>
      </c>
      <c r="E22" s="140" t="s">
        <v>30</v>
      </c>
      <c r="F22" s="141">
        <v>82</v>
      </c>
      <c r="G22" s="134">
        <f t="shared" si="1"/>
        <v>41</v>
      </c>
      <c r="H22" s="141">
        <v>50</v>
      </c>
      <c r="I22" s="134">
        <f t="shared" si="2"/>
        <v>45.45</v>
      </c>
      <c r="J22" s="141">
        <v>94.44</v>
      </c>
      <c r="K22" s="141">
        <v>54</v>
      </c>
      <c r="L22" s="134">
        <f t="shared" si="3"/>
        <v>49.09</v>
      </c>
      <c r="M22" s="141">
        <v>26</v>
      </c>
      <c r="N22" s="142">
        <v>60</v>
      </c>
      <c r="O22" s="8">
        <f t="shared" si="4"/>
        <v>48.16</v>
      </c>
      <c r="P22" s="136">
        <f t="shared" si="5"/>
        <v>41</v>
      </c>
      <c r="Q22" s="8">
        <f t="shared" si="6"/>
        <v>41</v>
      </c>
      <c r="R22" s="9" t="s">
        <v>71</v>
      </c>
      <c r="S22" s="8" t="str">
        <f t="shared" si="7"/>
        <v>2015</v>
      </c>
      <c r="T22" s="137" t="str">
        <f t="shared" si="8"/>
        <v>104</v>
      </c>
      <c r="U22" s="8" t="b">
        <f t="shared" si="9"/>
        <v>1</v>
      </c>
      <c r="V22" s="8" t="str">
        <f t="shared" si="10"/>
        <v>C</v>
      </c>
      <c r="W22" s="8" t="str">
        <f t="shared" si="11"/>
        <v>C0</v>
      </c>
      <c r="AA22" s="45" t="s">
        <v>100</v>
      </c>
      <c r="AB22" s="40">
        <f t="shared" si="75"/>
        <v>0</v>
      </c>
      <c r="AC22" s="41">
        <f t="shared" si="73"/>
        <v>2</v>
      </c>
      <c r="AD22" s="41">
        <f t="shared" si="73"/>
        <v>2</v>
      </c>
      <c r="AE22" s="41">
        <f t="shared" si="73"/>
        <v>2</v>
      </c>
      <c r="AF22" s="48">
        <f t="shared" si="73"/>
        <v>2</v>
      </c>
      <c r="AM22" s="178"/>
      <c r="AN22" s="180"/>
      <c r="AO22" s="70" t="s">
        <v>88</v>
      </c>
      <c r="AP22" s="85">
        <f t="shared" ref="AP22:AX22" si="88">SUMIFS($O$2:$O$54,$B$2:$B$54,"="&amp;$AN21,$T$2:$T$54,"="&amp;$AM$15,$W$2:$W$54,"="&amp;AP$2)</f>
        <v>0</v>
      </c>
      <c r="AQ22" s="71">
        <f t="shared" si="88"/>
        <v>0</v>
      </c>
      <c r="AR22" s="71">
        <f t="shared" si="88"/>
        <v>142.27999999999997</v>
      </c>
      <c r="AS22" s="71">
        <f t="shared" si="88"/>
        <v>0</v>
      </c>
      <c r="AT22" s="71">
        <f t="shared" si="88"/>
        <v>60.36</v>
      </c>
      <c r="AU22" s="71">
        <f t="shared" si="88"/>
        <v>0</v>
      </c>
      <c r="AV22" s="71">
        <f t="shared" si="88"/>
        <v>0</v>
      </c>
      <c r="AW22" s="71">
        <f t="shared" si="88"/>
        <v>0</v>
      </c>
      <c r="AX22" s="70">
        <f t="shared" si="88"/>
        <v>0</v>
      </c>
      <c r="BD22" s="203"/>
      <c r="BE22" s="39">
        <v>4</v>
      </c>
      <c r="BF22" s="102">
        <f t="shared" si="77"/>
        <v>0</v>
      </c>
      <c r="BG22" s="39">
        <f t="shared" si="78"/>
        <v>0</v>
      </c>
      <c r="BI22" s="199"/>
      <c r="BJ22" s="99">
        <v>3</v>
      </c>
      <c r="BK22" s="115">
        <f t="shared" si="86"/>
        <v>0</v>
      </c>
      <c r="BL22" s="97">
        <f t="shared" si="87"/>
        <v>0</v>
      </c>
      <c r="BM22" s="96">
        <f t="shared" si="79"/>
        <v>0</v>
      </c>
      <c r="BN22" s="97">
        <f t="shared" si="80"/>
        <v>0</v>
      </c>
      <c r="BO22" s="96">
        <f t="shared" si="81"/>
        <v>0</v>
      </c>
      <c r="BP22" s="97">
        <f t="shared" si="82"/>
        <v>0</v>
      </c>
      <c r="BQ22" s="96">
        <f t="shared" si="83"/>
        <v>68.150000000000006</v>
      </c>
      <c r="BR22" s="97">
        <f t="shared" si="84"/>
        <v>67.44</v>
      </c>
    </row>
    <row r="23" spans="1:70" ht="20.100000000000001" customHeight="1" thickTop="1" thickBot="1" x14ac:dyDescent="0.35">
      <c r="A23" s="138">
        <v>22</v>
      </c>
      <c r="B23" s="139">
        <v>2</v>
      </c>
      <c r="C23" s="139">
        <v>201810321</v>
      </c>
      <c r="D23" s="132" t="str">
        <f t="shared" si="0"/>
        <v>전자학과</v>
      </c>
      <c r="E23" s="140" t="s">
        <v>31</v>
      </c>
      <c r="F23" s="141">
        <v>131</v>
      </c>
      <c r="G23" s="134">
        <f t="shared" si="1"/>
        <v>65.5</v>
      </c>
      <c r="H23" s="141">
        <v>56</v>
      </c>
      <c r="I23" s="134">
        <f t="shared" si="2"/>
        <v>50.91</v>
      </c>
      <c r="J23" s="141">
        <v>94.44</v>
      </c>
      <c r="K23" s="141">
        <v>47</v>
      </c>
      <c r="L23" s="134">
        <f t="shared" si="3"/>
        <v>42.73</v>
      </c>
      <c r="M23" s="141">
        <v>48</v>
      </c>
      <c r="N23" s="142">
        <v>80</v>
      </c>
      <c r="O23" s="8">
        <f t="shared" si="4"/>
        <v>59.99</v>
      </c>
      <c r="P23" s="136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37" t="str">
        <f t="shared" si="8"/>
        <v>103</v>
      </c>
      <c r="U23" s="8" t="b">
        <f t="shared" si="9"/>
        <v>1</v>
      </c>
      <c r="V23" s="8" t="str">
        <f t="shared" si="10"/>
        <v>C</v>
      </c>
      <c r="W23" s="8" t="str">
        <f t="shared" si="11"/>
        <v>C+</v>
      </c>
      <c r="AA23" s="45" t="s">
        <v>101</v>
      </c>
      <c r="AB23" s="40">
        <f t="shared" si="75"/>
        <v>3</v>
      </c>
      <c r="AC23" s="41">
        <f t="shared" si="73"/>
        <v>2</v>
      </c>
      <c r="AD23" s="41">
        <f t="shared" si="73"/>
        <v>1</v>
      </c>
      <c r="AE23" s="41">
        <f t="shared" si="73"/>
        <v>0</v>
      </c>
      <c r="AF23" s="48">
        <f t="shared" si="73"/>
        <v>0</v>
      </c>
      <c r="AM23" s="178"/>
      <c r="AN23" s="181"/>
      <c r="AO23" s="72" t="s">
        <v>89</v>
      </c>
      <c r="AP23" s="86" t="str">
        <f t="shared" ref="AP23:AX23" si="89">IFERROR(ROUND(AVERAGEIFS($O$2:$O$54,$B$2:$B$54,"="&amp;$AN21,$T$2:$T$54,"="&amp;$AM$15,$W$2:$W$54,"="&amp;AP$2),2),"-")</f>
        <v>-</v>
      </c>
      <c r="AQ23" s="73" t="str">
        <f t="shared" si="89"/>
        <v>-</v>
      </c>
      <c r="AR23" s="73">
        <f t="shared" si="89"/>
        <v>71.14</v>
      </c>
      <c r="AS23" s="73" t="str">
        <f t="shared" si="89"/>
        <v>-</v>
      </c>
      <c r="AT23" s="73">
        <f t="shared" si="89"/>
        <v>60.36</v>
      </c>
      <c r="AU23" s="73" t="str">
        <f t="shared" si="89"/>
        <v>-</v>
      </c>
      <c r="AV23" s="73" t="str">
        <f t="shared" si="89"/>
        <v>-</v>
      </c>
      <c r="AW23" s="73" t="str">
        <f t="shared" si="89"/>
        <v>-</v>
      </c>
      <c r="AX23" s="72" t="str">
        <f t="shared" si="89"/>
        <v>-</v>
      </c>
      <c r="BI23" s="203"/>
      <c r="BJ23" s="39">
        <v>4</v>
      </c>
      <c r="BK23" s="160">
        <f t="shared" si="86"/>
        <v>0</v>
      </c>
      <c r="BL23" s="116">
        <f t="shared" si="87"/>
        <v>0</v>
      </c>
      <c r="BM23" s="122">
        <f t="shared" si="79"/>
        <v>0</v>
      </c>
      <c r="BN23" s="116">
        <f t="shared" si="80"/>
        <v>0</v>
      </c>
      <c r="BO23" s="122">
        <f t="shared" si="81"/>
        <v>0</v>
      </c>
      <c r="BP23" s="116">
        <f t="shared" si="82"/>
        <v>0</v>
      </c>
      <c r="BQ23" s="122">
        <f t="shared" si="83"/>
        <v>0</v>
      </c>
      <c r="BR23" s="116">
        <f t="shared" si="84"/>
        <v>0</v>
      </c>
    </row>
    <row r="24" spans="1:70" ht="20.100000000000001" customHeight="1" thickTop="1" x14ac:dyDescent="0.3">
      <c r="A24" s="138">
        <v>23</v>
      </c>
      <c r="B24" s="139">
        <v>3</v>
      </c>
      <c r="C24" s="139">
        <v>201610124</v>
      </c>
      <c r="D24" s="132" t="str">
        <f t="shared" si="0"/>
        <v>컴퓨터학과</v>
      </c>
      <c r="E24" s="140" t="s">
        <v>32</v>
      </c>
      <c r="F24" s="141">
        <v>111</v>
      </c>
      <c r="G24" s="134">
        <f t="shared" si="1"/>
        <v>55.5</v>
      </c>
      <c r="H24" s="141">
        <v>60</v>
      </c>
      <c r="I24" s="134">
        <f t="shared" si="2"/>
        <v>54.55</v>
      </c>
      <c r="J24" s="141">
        <v>94.44</v>
      </c>
      <c r="K24" s="141">
        <v>47</v>
      </c>
      <c r="L24" s="134">
        <f t="shared" si="3"/>
        <v>42.73</v>
      </c>
      <c r="M24" s="141">
        <v>30</v>
      </c>
      <c r="N24" s="142">
        <v>80</v>
      </c>
      <c r="O24" s="8">
        <f t="shared" si="4"/>
        <v>56.46</v>
      </c>
      <c r="P24" s="136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37" t="str">
        <f t="shared" si="8"/>
        <v>101</v>
      </c>
      <c r="U24" s="8" t="b">
        <f t="shared" si="9"/>
        <v>1</v>
      </c>
      <c r="V24" s="8" t="str">
        <f t="shared" si="10"/>
        <v>C</v>
      </c>
      <c r="W24" s="8" t="str">
        <f t="shared" si="11"/>
        <v>C+</v>
      </c>
      <c r="AA24" s="45" t="s">
        <v>102</v>
      </c>
      <c r="AB24" s="40">
        <f t="shared" si="75"/>
        <v>2</v>
      </c>
      <c r="AC24" s="41">
        <f t="shared" si="73"/>
        <v>0</v>
      </c>
      <c r="AD24" s="41">
        <f t="shared" si="73"/>
        <v>1</v>
      </c>
      <c r="AE24" s="41">
        <f t="shared" si="73"/>
        <v>2</v>
      </c>
      <c r="AF24" s="48">
        <f t="shared" si="73"/>
        <v>0</v>
      </c>
      <c r="AM24" s="178"/>
      <c r="AN24" s="182">
        <v>4</v>
      </c>
      <c r="AO24" s="76" t="s">
        <v>95</v>
      </c>
      <c r="AP24" s="89">
        <f t="shared" ref="AP24" si="90">COUNTIFS($B$2:$B$54,"="&amp;$AN24,$T$2:$T$54,"="&amp;$AM$15,$W$2:$W$54,"="&amp;AP$2)</f>
        <v>0</v>
      </c>
      <c r="AQ24" s="79">
        <f t="shared" si="72"/>
        <v>0</v>
      </c>
      <c r="AR24" s="79">
        <f t="shared" si="72"/>
        <v>1</v>
      </c>
      <c r="AS24" s="79">
        <f t="shared" si="72"/>
        <v>0</v>
      </c>
      <c r="AT24" s="79">
        <f t="shared" si="72"/>
        <v>0</v>
      </c>
      <c r="AU24" s="79">
        <f t="shared" si="72"/>
        <v>0</v>
      </c>
      <c r="AV24" s="79">
        <f t="shared" si="72"/>
        <v>1</v>
      </c>
      <c r="AW24" s="79">
        <f t="shared" si="72"/>
        <v>0</v>
      </c>
      <c r="AX24" s="78">
        <f t="shared" si="72"/>
        <v>0</v>
      </c>
    </row>
    <row r="25" spans="1:70" ht="20.100000000000001" customHeight="1" x14ac:dyDescent="0.3">
      <c r="A25" s="138">
        <v>24</v>
      </c>
      <c r="B25" s="139">
        <v>2</v>
      </c>
      <c r="C25" s="139">
        <v>201710128</v>
      </c>
      <c r="D25" s="132" t="str">
        <f t="shared" si="0"/>
        <v>컴퓨터학과</v>
      </c>
      <c r="E25" s="140" t="s">
        <v>33</v>
      </c>
      <c r="F25" s="141">
        <v>130</v>
      </c>
      <c r="G25" s="134">
        <f t="shared" si="1"/>
        <v>65</v>
      </c>
      <c r="H25" s="141">
        <v>0</v>
      </c>
      <c r="I25" s="134">
        <f t="shared" si="2"/>
        <v>0</v>
      </c>
      <c r="J25" s="141">
        <v>60</v>
      </c>
      <c r="K25" s="141">
        <v>57</v>
      </c>
      <c r="L25" s="134">
        <f t="shared" si="3"/>
        <v>51.82</v>
      </c>
      <c r="M25" s="141">
        <v>0</v>
      </c>
      <c r="N25" s="142">
        <v>0</v>
      </c>
      <c r="O25" s="8">
        <f t="shared" si="4"/>
        <v>30.68</v>
      </c>
      <c r="P25" s="136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37" t="str">
        <f t="shared" si="8"/>
        <v>101</v>
      </c>
      <c r="U25" s="8" t="b">
        <f t="shared" si="9"/>
        <v>1</v>
      </c>
      <c r="V25" s="8" t="str">
        <f t="shared" si="10"/>
        <v>F</v>
      </c>
      <c r="W25" s="8" t="str">
        <f t="shared" si="11"/>
        <v>F</v>
      </c>
      <c r="AA25" s="45" t="s">
        <v>103</v>
      </c>
      <c r="AB25" s="40">
        <f t="shared" si="75"/>
        <v>0</v>
      </c>
      <c r="AC25" s="41">
        <f t="shared" si="73"/>
        <v>1</v>
      </c>
      <c r="AD25" s="41">
        <f t="shared" si="73"/>
        <v>0</v>
      </c>
      <c r="AE25" s="41">
        <f t="shared" si="73"/>
        <v>1</v>
      </c>
      <c r="AF25" s="48">
        <f t="shared" si="73"/>
        <v>1</v>
      </c>
      <c r="AM25" s="178"/>
      <c r="AN25" s="180"/>
      <c r="AO25" s="70" t="s">
        <v>88</v>
      </c>
      <c r="AP25" s="85">
        <f t="shared" ref="AP25:AX25" si="91">SUMIFS($O$2:$O$54,$B$2:$B$54,"="&amp;$AN24,$T$2:$T$54,"="&amp;$AM$15,$W$2:$W$54,"="&amp;AP$2)</f>
        <v>0</v>
      </c>
      <c r="AQ25" s="71">
        <f t="shared" si="91"/>
        <v>0</v>
      </c>
      <c r="AR25" s="71">
        <f t="shared" si="91"/>
        <v>68.88</v>
      </c>
      <c r="AS25" s="71">
        <f t="shared" si="91"/>
        <v>0</v>
      </c>
      <c r="AT25" s="71">
        <f t="shared" si="91"/>
        <v>0</v>
      </c>
      <c r="AU25" s="71">
        <f t="shared" si="91"/>
        <v>0</v>
      </c>
      <c r="AV25" s="71">
        <f t="shared" si="91"/>
        <v>44.88</v>
      </c>
      <c r="AW25" s="71">
        <f t="shared" si="91"/>
        <v>0</v>
      </c>
      <c r="AX25" s="70">
        <f t="shared" si="91"/>
        <v>0</v>
      </c>
    </row>
    <row r="26" spans="1:70" ht="20.100000000000001" customHeight="1" thickBot="1" x14ac:dyDescent="0.35">
      <c r="A26" s="138">
        <v>25</v>
      </c>
      <c r="B26" s="139">
        <v>2</v>
      </c>
      <c r="C26" s="139">
        <v>201610130</v>
      </c>
      <c r="D26" s="132" t="str">
        <f t="shared" si="0"/>
        <v>컴퓨터학과</v>
      </c>
      <c r="E26" s="140" t="s">
        <v>34</v>
      </c>
      <c r="F26" s="141">
        <v>162</v>
      </c>
      <c r="G26" s="134">
        <f t="shared" si="1"/>
        <v>81</v>
      </c>
      <c r="H26" s="141">
        <v>80</v>
      </c>
      <c r="I26" s="134">
        <f t="shared" si="2"/>
        <v>72.73</v>
      </c>
      <c r="J26" s="141">
        <v>96.67</v>
      </c>
      <c r="K26" s="141">
        <v>55</v>
      </c>
      <c r="L26" s="134">
        <f t="shared" si="3"/>
        <v>50</v>
      </c>
      <c r="M26" s="141">
        <v>83</v>
      </c>
      <c r="N26" s="142">
        <v>100</v>
      </c>
      <c r="O26" s="8">
        <f t="shared" si="4"/>
        <v>77.72</v>
      </c>
      <c r="P26" s="136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37" t="str">
        <f t="shared" si="8"/>
        <v>101</v>
      </c>
      <c r="U26" s="8" t="b">
        <f t="shared" si="9"/>
        <v>1</v>
      </c>
      <c r="V26" s="8" t="str">
        <f t="shared" si="10"/>
        <v>A</v>
      </c>
      <c r="W26" s="8" t="str">
        <f t="shared" si="11"/>
        <v>A0</v>
      </c>
      <c r="AA26" s="45" t="s">
        <v>104</v>
      </c>
      <c r="AB26" s="40">
        <f t="shared" si="75"/>
        <v>1</v>
      </c>
      <c r="AC26" s="41">
        <f t="shared" si="73"/>
        <v>1</v>
      </c>
      <c r="AD26" s="41">
        <f t="shared" si="73"/>
        <v>0</v>
      </c>
      <c r="AE26" s="41">
        <f t="shared" si="73"/>
        <v>0</v>
      </c>
      <c r="AF26" s="48">
        <f t="shared" si="73"/>
        <v>0</v>
      </c>
      <c r="AM26" s="184"/>
      <c r="AN26" s="186"/>
      <c r="AO26" s="82" t="s">
        <v>89</v>
      </c>
      <c r="AP26" s="91" t="str">
        <f t="shared" ref="AP26:AX26" si="92">IFERROR(ROUND(AVERAGEIFS($O$2:$O$54,$B$2:$B$54,"="&amp;$AN24,$T$2:$T$54,"="&amp;$AM$15,$W$2:$W$54,"="&amp;AP$2),2),"-")</f>
        <v>-</v>
      </c>
      <c r="AQ26" s="83" t="str">
        <f t="shared" si="92"/>
        <v>-</v>
      </c>
      <c r="AR26" s="83">
        <f t="shared" si="92"/>
        <v>68.88</v>
      </c>
      <c r="AS26" s="83" t="str">
        <f t="shared" si="92"/>
        <v>-</v>
      </c>
      <c r="AT26" s="83" t="str">
        <f t="shared" si="92"/>
        <v>-</v>
      </c>
      <c r="AU26" s="83" t="str">
        <f t="shared" si="92"/>
        <v>-</v>
      </c>
      <c r="AV26" s="83">
        <f t="shared" si="92"/>
        <v>44.88</v>
      </c>
      <c r="AW26" s="83" t="str">
        <f t="shared" si="92"/>
        <v>-</v>
      </c>
      <c r="AX26" s="82" t="str">
        <f t="shared" si="92"/>
        <v>-</v>
      </c>
    </row>
    <row r="27" spans="1:70" ht="20.100000000000001" customHeight="1" thickTop="1" thickBot="1" x14ac:dyDescent="0.35">
      <c r="A27" s="138">
        <v>26</v>
      </c>
      <c r="B27" s="139">
        <v>2</v>
      </c>
      <c r="C27" s="139">
        <v>201810531</v>
      </c>
      <c r="D27" s="132" t="str">
        <f t="shared" si="0"/>
        <v>통신학과</v>
      </c>
      <c r="E27" s="140" t="s">
        <v>35</v>
      </c>
      <c r="F27" s="141">
        <v>141</v>
      </c>
      <c r="G27" s="134">
        <f t="shared" si="1"/>
        <v>70.5</v>
      </c>
      <c r="H27" s="141">
        <v>85</v>
      </c>
      <c r="I27" s="134">
        <f t="shared" si="2"/>
        <v>77.27</v>
      </c>
      <c r="J27" s="141">
        <v>100</v>
      </c>
      <c r="K27" s="141">
        <v>70</v>
      </c>
      <c r="L27" s="134">
        <f t="shared" si="3"/>
        <v>63.64</v>
      </c>
      <c r="M27" s="141">
        <v>77</v>
      </c>
      <c r="N27" s="142">
        <v>100</v>
      </c>
      <c r="O27" s="8">
        <f t="shared" si="4"/>
        <v>77.260000000000005</v>
      </c>
      <c r="P27" s="136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37" t="str">
        <f t="shared" si="8"/>
        <v>105</v>
      </c>
      <c r="U27" s="8" t="b">
        <f t="shared" si="9"/>
        <v>1</v>
      </c>
      <c r="V27" s="8" t="str">
        <f t="shared" si="10"/>
        <v>A</v>
      </c>
      <c r="W27" s="8" t="str">
        <f t="shared" si="11"/>
        <v>A0</v>
      </c>
      <c r="AA27" s="46" t="s">
        <v>94</v>
      </c>
      <c r="AB27" s="49">
        <f t="shared" si="75"/>
        <v>3</v>
      </c>
      <c r="AC27" s="50">
        <f t="shared" si="73"/>
        <v>0</v>
      </c>
      <c r="AD27" s="50">
        <f t="shared" si="73"/>
        <v>1</v>
      </c>
      <c r="AE27" s="50">
        <f t="shared" si="73"/>
        <v>1</v>
      </c>
      <c r="AF27" s="51">
        <f t="shared" si="73"/>
        <v>1</v>
      </c>
      <c r="AM27" s="178">
        <v>103</v>
      </c>
      <c r="AN27" s="180">
        <v>1</v>
      </c>
      <c r="AO27" s="78" t="s">
        <v>95</v>
      </c>
      <c r="AP27" s="90">
        <f>COUNTIFS($B$2:$B$54,"="&amp;$AN27,$T$2:$T$54,"="&amp;$AM$27,$W$2:$W$54,"="&amp;AP$2)</f>
        <v>0</v>
      </c>
      <c r="AQ27" s="81">
        <f t="shared" ref="AQ27:AX27" si="93">COUNTIFS($B$2:$B$54,"="&amp;$AN27,$T$2:$T$54,"="&amp;$AM$27,$W$2:$W$54,"="&amp;AQ$2)</f>
        <v>0</v>
      </c>
      <c r="AR27" s="81">
        <f t="shared" si="93"/>
        <v>0</v>
      </c>
      <c r="AS27" s="81">
        <f t="shared" si="93"/>
        <v>0</v>
      </c>
      <c r="AT27" s="81">
        <f t="shared" si="93"/>
        <v>0</v>
      </c>
      <c r="AU27" s="81">
        <f t="shared" si="93"/>
        <v>0</v>
      </c>
      <c r="AV27" s="81">
        <f t="shared" si="93"/>
        <v>0</v>
      </c>
      <c r="AW27" s="81">
        <f t="shared" si="93"/>
        <v>0</v>
      </c>
      <c r="AX27" s="80">
        <f t="shared" si="93"/>
        <v>0</v>
      </c>
    </row>
    <row r="28" spans="1:70" ht="20.100000000000001" customHeight="1" thickTop="1" thickBot="1" x14ac:dyDescent="0.35">
      <c r="A28" s="138">
        <v>27</v>
      </c>
      <c r="B28" s="139">
        <v>2</v>
      </c>
      <c r="C28" s="139">
        <v>201810538</v>
      </c>
      <c r="D28" s="132" t="str">
        <f t="shared" si="0"/>
        <v>통신학과</v>
      </c>
      <c r="E28" s="140" t="s">
        <v>36</v>
      </c>
      <c r="F28" s="141">
        <v>153</v>
      </c>
      <c r="G28" s="134">
        <f t="shared" si="1"/>
        <v>76.5</v>
      </c>
      <c r="H28" s="141">
        <v>105</v>
      </c>
      <c r="I28" s="134">
        <f t="shared" si="2"/>
        <v>95.45</v>
      </c>
      <c r="J28" s="141">
        <v>100</v>
      </c>
      <c r="K28" s="141">
        <v>81</v>
      </c>
      <c r="L28" s="134">
        <f t="shared" si="3"/>
        <v>73.64</v>
      </c>
      <c r="M28" s="141">
        <v>83</v>
      </c>
      <c r="N28" s="142">
        <v>100</v>
      </c>
      <c r="O28" s="8">
        <f t="shared" si="4"/>
        <v>87.02</v>
      </c>
      <c r="P28" s="136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37" t="str">
        <f t="shared" si="8"/>
        <v>105</v>
      </c>
      <c r="U28" s="8" t="b">
        <f t="shared" si="9"/>
        <v>1</v>
      </c>
      <c r="V28" s="8" t="str">
        <f t="shared" si="10"/>
        <v>A</v>
      </c>
      <c r="W28" s="8" t="str">
        <f t="shared" si="11"/>
        <v>A+</v>
      </c>
      <c r="AM28" s="178"/>
      <c r="AN28" s="180"/>
      <c r="AO28" s="70" t="s">
        <v>88</v>
      </c>
      <c r="AP28" s="85">
        <f>SUMIFS($O$2:$O$54,$B$2:$B$54,"="&amp;$AN27,$T$2:$T$54,"="&amp;$AM$27,$W$2:$W$54,"="&amp;AP$2)</f>
        <v>0</v>
      </c>
      <c r="AQ28" s="71">
        <f t="shared" ref="AQ28:AX28" si="94">SUMIFS($O$2:$O$54,$B$2:$B$54,"="&amp;$AN27,$T$2:$T$54,"="&amp;$AM$27,$W$2:$W$54,"="&amp;AQ$2)</f>
        <v>0</v>
      </c>
      <c r="AR28" s="71">
        <f t="shared" si="94"/>
        <v>0</v>
      </c>
      <c r="AS28" s="71">
        <f t="shared" si="94"/>
        <v>0</v>
      </c>
      <c r="AT28" s="71">
        <f t="shared" si="94"/>
        <v>0</v>
      </c>
      <c r="AU28" s="71">
        <f t="shared" si="94"/>
        <v>0</v>
      </c>
      <c r="AV28" s="71">
        <f t="shared" si="94"/>
        <v>0</v>
      </c>
      <c r="AW28" s="71">
        <f t="shared" si="94"/>
        <v>0</v>
      </c>
      <c r="AX28" s="70">
        <f t="shared" si="94"/>
        <v>0</v>
      </c>
    </row>
    <row r="29" spans="1:70" ht="20.100000000000001" customHeight="1" thickTop="1" x14ac:dyDescent="0.3">
      <c r="A29" s="138">
        <v>28</v>
      </c>
      <c r="B29" s="139">
        <v>2</v>
      </c>
      <c r="C29" s="139">
        <v>201810139</v>
      </c>
      <c r="D29" s="132" t="str">
        <f t="shared" si="0"/>
        <v>컴퓨터학과</v>
      </c>
      <c r="E29" s="140" t="s">
        <v>37</v>
      </c>
      <c r="F29" s="141">
        <v>86</v>
      </c>
      <c r="G29" s="134">
        <f t="shared" si="1"/>
        <v>43</v>
      </c>
      <c r="H29" s="141">
        <v>21</v>
      </c>
      <c r="I29" s="134">
        <f t="shared" si="2"/>
        <v>19.09</v>
      </c>
      <c r="J29" s="141">
        <v>78.89</v>
      </c>
      <c r="K29" s="141">
        <v>56</v>
      </c>
      <c r="L29" s="134">
        <f t="shared" si="3"/>
        <v>50.91</v>
      </c>
      <c r="M29" s="141">
        <v>13</v>
      </c>
      <c r="N29" s="142">
        <v>40</v>
      </c>
      <c r="O29" s="8">
        <f t="shared" si="4"/>
        <v>35.86</v>
      </c>
      <c r="P29" s="136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37" t="str">
        <f t="shared" si="8"/>
        <v>101</v>
      </c>
      <c r="U29" s="8" t="b">
        <f t="shared" si="9"/>
        <v>1</v>
      </c>
      <c r="V29" s="8" t="str">
        <f t="shared" si="10"/>
        <v>F</v>
      </c>
      <c r="W29" s="8" t="str">
        <f t="shared" si="11"/>
        <v>F</v>
      </c>
      <c r="AA29" s="187" t="s">
        <v>105</v>
      </c>
      <c r="AB29" s="189">
        <v>101</v>
      </c>
      <c r="AC29" s="190"/>
      <c r="AD29" s="191">
        <v>102</v>
      </c>
      <c r="AE29" s="192"/>
      <c r="AF29" s="193">
        <v>103</v>
      </c>
      <c r="AG29" s="194"/>
      <c r="AH29" s="195">
        <v>104</v>
      </c>
      <c r="AI29" s="196"/>
      <c r="AJ29" s="193">
        <v>105</v>
      </c>
      <c r="AK29" s="197"/>
      <c r="AM29" s="178"/>
      <c r="AN29" s="181"/>
      <c r="AO29" s="72" t="s">
        <v>89</v>
      </c>
      <c r="AP29" s="87" t="str">
        <f>IFERROR(ROUND(AVERAGEIFS($O$2:$O$54,$B$2:$B$54,"="&amp;$AN27,$T$2:$T$54,"="&amp;$AM$27,$W$2:$W$54,"="&amp;AP$2),2),"-")</f>
        <v>-</v>
      </c>
      <c r="AQ29" s="75" t="str">
        <f t="shared" ref="AQ29:AX29" si="95">IFERROR(ROUND(AVERAGEIFS($O$2:$O$54,$B$2:$B$54,"="&amp;$AN27,$T$2:$T$54,"="&amp;$AM$27,$W$2:$W$54,"="&amp;AQ$2),2),"-")</f>
        <v>-</v>
      </c>
      <c r="AR29" s="75" t="str">
        <f t="shared" si="95"/>
        <v>-</v>
      </c>
      <c r="AS29" s="75" t="str">
        <f t="shared" si="95"/>
        <v>-</v>
      </c>
      <c r="AT29" s="75" t="str">
        <f t="shared" si="95"/>
        <v>-</v>
      </c>
      <c r="AU29" s="75" t="str">
        <f t="shared" si="95"/>
        <v>-</v>
      </c>
      <c r="AV29" s="75" t="str">
        <f t="shared" si="95"/>
        <v>-</v>
      </c>
      <c r="AW29" s="75" t="str">
        <f t="shared" si="95"/>
        <v>-</v>
      </c>
      <c r="AX29" s="74" t="str">
        <f t="shared" si="95"/>
        <v>-</v>
      </c>
    </row>
    <row r="30" spans="1:70" ht="20.100000000000001" customHeight="1" thickBot="1" x14ac:dyDescent="0.35">
      <c r="A30" s="138">
        <v>29</v>
      </c>
      <c r="B30" s="141">
        <v>3</v>
      </c>
      <c r="C30" s="143">
        <v>201710327</v>
      </c>
      <c r="D30" s="132" t="str">
        <f t="shared" si="0"/>
        <v>전자학과</v>
      </c>
      <c r="E30" s="141" t="s">
        <v>39</v>
      </c>
      <c r="F30" s="141">
        <v>113</v>
      </c>
      <c r="G30" s="134">
        <f t="shared" si="1"/>
        <v>56.5</v>
      </c>
      <c r="H30" s="141">
        <v>89</v>
      </c>
      <c r="I30" s="134">
        <f t="shared" si="2"/>
        <v>80.91</v>
      </c>
      <c r="J30" s="141">
        <v>100</v>
      </c>
      <c r="K30" s="141">
        <v>66</v>
      </c>
      <c r="L30" s="134">
        <f t="shared" si="3"/>
        <v>60</v>
      </c>
      <c r="M30" s="141">
        <v>75</v>
      </c>
      <c r="N30" s="142">
        <v>100</v>
      </c>
      <c r="O30" s="8">
        <f t="shared" si="4"/>
        <v>73.77</v>
      </c>
      <c r="P30" s="136">
        <f t="shared" si="5"/>
        <v>13</v>
      </c>
      <c r="Q30" s="8">
        <f t="shared" si="6"/>
        <v>13</v>
      </c>
      <c r="R30" s="9" t="s">
        <v>71</v>
      </c>
      <c r="S30" s="8" t="str">
        <f t="shared" si="7"/>
        <v>2017</v>
      </c>
      <c r="T30" s="137" t="str">
        <f t="shared" si="8"/>
        <v>103</v>
      </c>
      <c r="U30" s="8" t="b">
        <f t="shared" si="9"/>
        <v>0</v>
      </c>
      <c r="V30" s="8" t="str">
        <f t="shared" si="10"/>
        <v>A</v>
      </c>
      <c r="W30" s="8" t="str">
        <f t="shared" si="11"/>
        <v>A0</v>
      </c>
      <c r="AA30" s="188"/>
      <c r="AB30" s="43" t="s">
        <v>88</v>
      </c>
      <c r="AC30" s="54" t="s">
        <v>89</v>
      </c>
      <c r="AD30" s="58" t="s">
        <v>88</v>
      </c>
      <c r="AE30" s="59" t="s">
        <v>89</v>
      </c>
      <c r="AF30" s="56" t="s">
        <v>88</v>
      </c>
      <c r="AG30" s="54" t="s">
        <v>89</v>
      </c>
      <c r="AH30" s="58" t="s">
        <v>88</v>
      </c>
      <c r="AI30" s="59" t="s">
        <v>89</v>
      </c>
      <c r="AJ30" s="56" t="s">
        <v>88</v>
      </c>
      <c r="AK30" s="53" t="s">
        <v>89</v>
      </c>
      <c r="AM30" s="178"/>
      <c r="AN30" s="182">
        <v>2</v>
      </c>
      <c r="AO30" s="76" t="s">
        <v>95</v>
      </c>
      <c r="AP30" s="88">
        <f t="shared" ref="AP30:AX36" si="96">COUNTIFS($B$2:$B$54,"="&amp;$AN30,$T$2:$T$54,"="&amp;$AM$27,$W$2:$W$54,"="&amp;AP$2)</f>
        <v>0</v>
      </c>
      <c r="AQ30" s="77">
        <f t="shared" si="96"/>
        <v>0</v>
      </c>
      <c r="AR30" s="77">
        <f t="shared" si="96"/>
        <v>1</v>
      </c>
      <c r="AS30" s="77">
        <f t="shared" si="96"/>
        <v>1</v>
      </c>
      <c r="AT30" s="77">
        <f t="shared" si="96"/>
        <v>1</v>
      </c>
      <c r="AU30" s="77">
        <f t="shared" si="96"/>
        <v>1</v>
      </c>
      <c r="AV30" s="77">
        <f t="shared" si="96"/>
        <v>0</v>
      </c>
      <c r="AW30" s="77">
        <f t="shared" si="96"/>
        <v>0</v>
      </c>
      <c r="AX30" s="76">
        <f t="shared" si="96"/>
        <v>1</v>
      </c>
    </row>
    <row r="31" spans="1:70" ht="20.100000000000001" customHeight="1" thickTop="1" x14ac:dyDescent="0.3">
      <c r="A31" s="138">
        <v>30</v>
      </c>
      <c r="B31" s="141">
        <v>2</v>
      </c>
      <c r="C31" s="143">
        <v>201810573</v>
      </c>
      <c r="D31" s="132" t="str">
        <f t="shared" si="0"/>
        <v>통신학과</v>
      </c>
      <c r="E31" s="141" t="s">
        <v>40</v>
      </c>
      <c r="F31" s="141">
        <v>124</v>
      </c>
      <c r="G31" s="134">
        <f t="shared" si="1"/>
        <v>62</v>
      </c>
      <c r="H31" s="141">
        <v>97</v>
      </c>
      <c r="I31" s="134">
        <f t="shared" si="2"/>
        <v>88.18</v>
      </c>
      <c r="J31" s="141">
        <v>96.67</v>
      </c>
      <c r="K31" s="141">
        <v>60</v>
      </c>
      <c r="L31" s="134">
        <f t="shared" si="3"/>
        <v>54.55</v>
      </c>
      <c r="M31" s="141">
        <v>74</v>
      </c>
      <c r="N31" s="142">
        <v>100</v>
      </c>
      <c r="O31" s="8">
        <f t="shared" si="4"/>
        <v>76.989999999999995</v>
      </c>
      <c r="P31" s="136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37" t="str">
        <f t="shared" si="8"/>
        <v>105</v>
      </c>
      <c r="U31" s="8" t="b">
        <f t="shared" si="9"/>
        <v>1</v>
      </c>
      <c r="V31" s="8" t="str">
        <f t="shared" si="10"/>
        <v>A</v>
      </c>
      <c r="W31" s="8" t="str">
        <f t="shared" si="11"/>
        <v>A0</v>
      </c>
      <c r="AA31" s="44" t="s">
        <v>97</v>
      </c>
      <c r="AB31" s="165">
        <f>SUMIFS($O$2:$O$54,$T$2:$T$54,"="&amp;AB$29,$W$2:$W$54,"="&amp;$AA31)</f>
        <v>89.82</v>
      </c>
      <c r="AC31" s="166">
        <f>IFERROR(ROUND(AVERAGEIFS($O$2:$O$54,$T$2:$T$54,"="&amp;AB$29,$W$2:$W$54,"="&amp;$AA31),2),"NV")</f>
        <v>89.82</v>
      </c>
      <c r="AD31" s="161">
        <f t="shared" ref="AD31:AD39" si="97">SUMIFS($O$2:$O$54,$T$2:$T$54,"="&amp;AD$29,$W$2:$W$54,"="&amp;$AA31)</f>
        <v>0</v>
      </c>
      <c r="AE31" s="162" t="str">
        <f t="shared" ref="AE31:AE39" si="98">IFERROR(ROUND(AVERAGEIFS($O$2:$O$54,$T$2:$T$54,"="&amp;AD$29,$W$2:$W$54,"="&amp;$AA31),2),"NV")</f>
        <v>NV</v>
      </c>
      <c r="AF31" s="62">
        <f t="shared" ref="AF31:AF39" si="99">SUMIFS($O$2:$O$54,$T$2:$T$54,"="&amp;AF$29,$W$2:$W$54,"="&amp;$AA31)</f>
        <v>81.27</v>
      </c>
      <c r="AG31" s="166">
        <f t="shared" ref="AG31:AG39" si="100">IFERROR(ROUND(AVERAGEIFS($O$2:$O$54,$T$2:$T$54,"="&amp;AF$29,$W$2:$W$54,"="&amp;$AA31),2),"NV")</f>
        <v>81.27</v>
      </c>
      <c r="AH31" s="161">
        <f t="shared" ref="AH31:AH39" si="101">SUMIFS($O$2:$O$54,$T$2:$T$54,"="&amp;AH$29,$W$2:$W$54,"="&amp;$AA31)</f>
        <v>0</v>
      </c>
      <c r="AI31" s="162" t="str">
        <f t="shared" ref="AI31:AI39" si="102">IFERROR(ROUND(AVERAGEIFS($O$2:$O$54,$T$2:$T$54,"="&amp;AH$29,$W$2:$W$54,"="&amp;$AA31),2),"NV")</f>
        <v>NV</v>
      </c>
      <c r="AJ31" s="62">
        <f t="shared" ref="AJ31:AJ39" si="103">SUMIFS($O$2:$O$54,$T$2:$T$54,"="&amp;AJ$29,$W$2:$W$54,"="&amp;$AA31)</f>
        <v>87.02</v>
      </c>
      <c r="AK31" s="47">
        <f t="shared" ref="AK31:AK39" si="104">IFERROR(ROUND(AVERAGEIFS($O$2:$O$54,$T$2:$T$54,"="&amp;AJ$29,$W$2:$W$54,"="&amp;$AA31),2),"NV")</f>
        <v>87.02</v>
      </c>
      <c r="AM31" s="178"/>
      <c r="AN31" s="180"/>
      <c r="AO31" s="70" t="s">
        <v>88</v>
      </c>
      <c r="AP31" s="85">
        <f t="shared" ref="AP31:AX31" si="105">SUMIFS($O$2:$O$54,$B$2:$B$54,"="&amp;$AN30,$T$2:$T$54,"="&amp;$AM$27,$W$2:$W$54,"="&amp;AP$2)</f>
        <v>0</v>
      </c>
      <c r="AQ31" s="71">
        <f t="shared" si="105"/>
        <v>0</v>
      </c>
      <c r="AR31" s="71">
        <f t="shared" si="105"/>
        <v>72.14</v>
      </c>
      <c r="AS31" s="71">
        <f t="shared" si="105"/>
        <v>63.95</v>
      </c>
      <c r="AT31" s="71">
        <f t="shared" si="105"/>
        <v>59.99</v>
      </c>
      <c r="AU31" s="71">
        <f t="shared" si="105"/>
        <v>45.71</v>
      </c>
      <c r="AV31" s="71">
        <f t="shared" si="105"/>
        <v>0</v>
      </c>
      <c r="AW31" s="71">
        <f t="shared" si="105"/>
        <v>0</v>
      </c>
      <c r="AX31" s="70">
        <f t="shared" si="105"/>
        <v>26.57</v>
      </c>
    </row>
    <row r="32" spans="1:70" ht="20.100000000000001" customHeight="1" x14ac:dyDescent="0.3">
      <c r="A32" s="138">
        <v>31</v>
      </c>
      <c r="B32" s="141">
        <v>4</v>
      </c>
      <c r="C32" s="143">
        <v>201610256</v>
      </c>
      <c r="D32" s="132" t="str">
        <f t="shared" si="0"/>
        <v>보안학과</v>
      </c>
      <c r="E32" s="141" t="s">
        <v>41</v>
      </c>
      <c r="F32" s="141">
        <v>57</v>
      </c>
      <c r="G32" s="134">
        <f t="shared" si="1"/>
        <v>28.5</v>
      </c>
      <c r="H32" s="141">
        <v>47</v>
      </c>
      <c r="I32" s="134">
        <f t="shared" si="2"/>
        <v>42.73</v>
      </c>
      <c r="J32" s="141">
        <v>90</v>
      </c>
      <c r="K32" s="141">
        <v>58</v>
      </c>
      <c r="L32" s="134">
        <f t="shared" si="3"/>
        <v>52.73</v>
      </c>
      <c r="M32" s="141">
        <v>21</v>
      </c>
      <c r="N32" s="142">
        <v>100</v>
      </c>
      <c r="O32" s="8">
        <f t="shared" si="4"/>
        <v>44.88</v>
      </c>
      <c r="P32" s="136">
        <f t="shared" si="5"/>
        <v>43</v>
      </c>
      <c r="Q32" s="8">
        <f t="shared" si="6"/>
        <v>43</v>
      </c>
      <c r="R32" s="9" t="s">
        <v>71</v>
      </c>
      <c r="S32" s="8" t="str">
        <f t="shared" si="7"/>
        <v>2016</v>
      </c>
      <c r="T32" s="137" t="str">
        <f t="shared" si="8"/>
        <v>102</v>
      </c>
      <c r="U32" s="8" t="b">
        <f t="shared" si="9"/>
        <v>0</v>
      </c>
      <c r="V32" s="8" t="str">
        <f t="shared" si="10"/>
        <v>D</v>
      </c>
      <c r="W32" s="8" t="str">
        <f t="shared" si="11"/>
        <v>D+</v>
      </c>
      <c r="AA32" s="45" t="s">
        <v>98</v>
      </c>
      <c r="AB32" s="42">
        <f t="shared" ref="AB32:AB39" si="106">SUMIFS($O$2:$O$54,$T$2:$T$54,"="&amp;AB$29,$W$2:$W$54,"="&amp;$AA32)</f>
        <v>312.51</v>
      </c>
      <c r="AC32" s="55">
        <f t="shared" ref="AC32:AC39" si="107">IFERROR(ROUND(AVERAGEIFS($O$2:$O$54,$T$2:$T$54,"="&amp;AB$29,$W$2:$W$54,"="&amp;$AA32),2),"NV")</f>
        <v>78.13</v>
      </c>
      <c r="AD32" s="60">
        <f t="shared" si="97"/>
        <v>149.42000000000002</v>
      </c>
      <c r="AE32" s="61">
        <f t="shared" si="98"/>
        <v>74.709999999999994</v>
      </c>
      <c r="AF32" s="57">
        <f t="shared" si="99"/>
        <v>149.1</v>
      </c>
      <c r="AG32" s="55">
        <f t="shared" si="100"/>
        <v>74.55</v>
      </c>
      <c r="AH32" s="60">
        <f t="shared" si="101"/>
        <v>0</v>
      </c>
      <c r="AI32" s="61" t="str">
        <f t="shared" si="102"/>
        <v>NV</v>
      </c>
      <c r="AJ32" s="57">
        <f t="shared" si="103"/>
        <v>226.94</v>
      </c>
      <c r="AK32" s="52">
        <f t="shared" si="104"/>
        <v>75.650000000000006</v>
      </c>
      <c r="AM32" s="178"/>
      <c r="AN32" s="181"/>
      <c r="AO32" s="72" t="s">
        <v>89</v>
      </c>
      <c r="AP32" s="86" t="str">
        <f t="shared" ref="AP32:AX32" si="108">IFERROR(ROUND(AVERAGEIFS($O$2:$O$54,$B$2:$B$54,"="&amp;$AN30,$T$2:$T$54,"="&amp;$AM$27,$W$2:$W$54,"="&amp;AP$2),2),"-")</f>
        <v>-</v>
      </c>
      <c r="AQ32" s="73" t="str">
        <f t="shared" si="108"/>
        <v>-</v>
      </c>
      <c r="AR32" s="73">
        <f t="shared" si="108"/>
        <v>72.14</v>
      </c>
      <c r="AS32" s="73">
        <f t="shared" si="108"/>
        <v>63.95</v>
      </c>
      <c r="AT32" s="73">
        <f t="shared" si="108"/>
        <v>59.99</v>
      </c>
      <c r="AU32" s="73">
        <f t="shared" si="108"/>
        <v>45.71</v>
      </c>
      <c r="AV32" s="73" t="str">
        <f t="shared" si="108"/>
        <v>-</v>
      </c>
      <c r="AW32" s="73" t="str">
        <f t="shared" si="108"/>
        <v>-</v>
      </c>
      <c r="AX32" s="72">
        <f t="shared" si="108"/>
        <v>26.57</v>
      </c>
    </row>
    <row r="33" spans="1:50" ht="20.100000000000001" customHeight="1" x14ac:dyDescent="0.3">
      <c r="A33" s="138">
        <v>32</v>
      </c>
      <c r="B33" s="141">
        <v>4</v>
      </c>
      <c r="C33" s="143">
        <v>201610162</v>
      </c>
      <c r="D33" s="132" t="str">
        <f t="shared" si="0"/>
        <v>컴퓨터학과</v>
      </c>
      <c r="E33" s="141" t="s">
        <v>42</v>
      </c>
      <c r="F33" s="141">
        <v>111</v>
      </c>
      <c r="G33" s="134">
        <f t="shared" si="1"/>
        <v>55.5</v>
      </c>
      <c r="H33" s="141">
        <v>52</v>
      </c>
      <c r="I33" s="134">
        <f t="shared" si="2"/>
        <v>47.27</v>
      </c>
      <c r="J33" s="141">
        <v>96.67</v>
      </c>
      <c r="K33" s="141">
        <v>23</v>
      </c>
      <c r="L33" s="134">
        <f t="shared" si="3"/>
        <v>20.91</v>
      </c>
      <c r="M33" s="141">
        <v>59</v>
      </c>
      <c r="N33" s="142">
        <v>70</v>
      </c>
      <c r="O33" s="8">
        <f t="shared" si="4"/>
        <v>54.35</v>
      </c>
      <c r="P33" s="136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37" t="str">
        <f t="shared" si="8"/>
        <v>101</v>
      </c>
      <c r="U33" s="8" t="b">
        <f t="shared" si="9"/>
        <v>1</v>
      </c>
      <c r="V33" s="8" t="str">
        <f t="shared" si="10"/>
        <v>C</v>
      </c>
      <c r="W33" s="8" t="str">
        <f t="shared" si="11"/>
        <v>C0</v>
      </c>
      <c r="AA33" s="45" t="s">
        <v>99</v>
      </c>
      <c r="AB33" s="42">
        <f t="shared" si="106"/>
        <v>141.30000000000001</v>
      </c>
      <c r="AC33" s="55">
        <f t="shared" si="107"/>
        <v>70.650000000000006</v>
      </c>
      <c r="AD33" s="60">
        <f t="shared" si="97"/>
        <v>211.15999999999997</v>
      </c>
      <c r="AE33" s="61">
        <f t="shared" si="98"/>
        <v>70.39</v>
      </c>
      <c r="AF33" s="57">
        <f t="shared" si="99"/>
        <v>72.14</v>
      </c>
      <c r="AG33" s="55">
        <f t="shared" si="100"/>
        <v>72.14</v>
      </c>
      <c r="AH33" s="60">
        <f t="shared" si="101"/>
        <v>82.26</v>
      </c>
      <c r="AI33" s="61">
        <f t="shared" si="102"/>
        <v>82.26</v>
      </c>
      <c r="AJ33" s="57">
        <f t="shared" si="103"/>
        <v>139.26</v>
      </c>
      <c r="AK33" s="52">
        <f t="shared" si="104"/>
        <v>69.63</v>
      </c>
      <c r="AM33" s="178"/>
      <c r="AN33" s="182">
        <v>3</v>
      </c>
      <c r="AO33" s="76" t="s">
        <v>95</v>
      </c>
      <c r="AP33" s="88">
        <f t="shared" ref="AP33" si="109">COUNTIFS($B$2:$B$54,"="&amp;$AN33,$T$2:$T$54,"="&amp;$AM$27,$W$2:$W$54,"="&amp;AP$2)</f>
        <v>1</v>
      </c>
      <c r="AQ33" s="77">
        <f t="shared" si="96"/>
        <v>1</v>
      </c>
      <c r="AR33" s="77">
        <f t="shared" si="96"/>
        <v>0</v>
      </c>
      <c r="AS33" s="77">
        <f t="shared" si="96"/>
        <v>0</v>
      </c>
      <c r="AT33" s="77">
        <f t="shared" si="96"/>
        <v>0</v>
      </c>
      <c r="AU33" s="77">
        <f t="shared" si="96"/>
        <v>0</v>
      </c>
      <c r="AV33" s="77">
        <f t="shared" si="96"/>
        <v>0</v>
      </c>
      <c r="AW33" s="77">
        <f t="shared" si="96"/>
        <v>0</v>
      </c>
      <c r="AX33" s="76">
        <f t="shared" si="96"/>
        <v>0</v>
      </c>
    </row>
    <row r="34" spans="1:50" ht="20.100000000000001" customHeight="1" x14ac:dyDescent="0.3">
      <c r="A34" s="138">
        <v>33</v>
      </c>
      <c r="B34" s="141">
        <v>4</v>
      </c>
      <c r="C34" s="143">
        <v>201610102</v>
      </c>
      <c r="D34" s="132" t="str">
        <f t="shared" si="0"/>
        <v>컴퓨터학과</v>
      </c>
      <c r="E34" s="141" t="s">
        <v>43</v>
      </c>
      <c r="F34" s="141">
        <v>46</v>
      </c>
      <c r="G34" s="134">
        <f t="shared" si="1"/>
        <v>23</v>
      </c>
      <c r="H34" s="141">
        <v>58</v>
      </c>
      <c r="I34" s="134">
        <f t="shared" si="2"/>
        <v>52.73</v>
      </c>
      <c r="J34" s="141">
        <v>86.67</v>
      </c>
      <c r="K34" s="141">
        <v>10</v>
      </c>
      <c r="L34" s="134">
        <f t="shared" si="3"/>
        <v>9.09</v>
      </c>
      <c r="M34" s="141">
        <v>10</v>
      </c>
      <c r="N34" s="142">
        <v>60</v>
      </c>
      <c r="O34" s="8">
        <f t="shared" si="4"/>
        <v>38.93</v>
      </c>
      <c r="P34" s="136">
        <f t="shared" si="5"/>
        <v>47</v>
      </c>
      <c r="Q34" s="8">
        <f t="shared" si="6"/>
        <v>47</v>
      </c>
      <c r="R34" s="9"/>
      <c r="S34" s="8" t="str">
        <f t="shared" si="7"/>
        <v>2016</v>
      </c>
      <c r="T34" s="137" t="str">
        <f t="shared" si="8"/>
        <v>101</v>
      </c>
      <c r="U34" s="8" t="b">
        <f t="shared" si="9"/>
        <v>1</v>
      </c>
      <c r="V34" s="8" t="str">
        <f t="shared" si="10"/>
        <v>D</v>
      </c>
      <c r="W34" s="8" t="str">
        <f t="shared" si="11"/>
        <v>D0</v>
      </c>
      <c r="AA34" s="45" t="s">
        <v>100</v>
      </c>
      <c r="AB34" s="42">
        <f t="shared" si="106"/>
        <v>0</v>
      </c>
      <c r="AC34" s="55" t="str">
        <f t="shared" si="107"/>
        <v>NV</v>
      </c>
      <c r="AD34" s="60">
        <f t="shared" si="97"/>
        <v>133.43</v>
      </c>
      <c r="AE34" s="61">
        <f t="shared" si="98"/>
        <v>66.72</v>
      </c>
      <c r="AF34" s="57">
        <f t="shared" si="99"/>
        <v>126.81</v>
      </c>
      <c r="AG34" s="55">
        <f t="shared" si="100"/>
        <v>63.41</v>
      </c>
      <c r="AH34" s="60">
        <f t="shared" si="101"/>
        <v>132.76</v>
      </c>
      <c r="AI34" s="61">
        <f t="shared" si="102"/>
        <v>66.38</v>
      </c>
      <c r="AJ34" s="57">
        <f t="shared" si="103"/>
        <v>135.59</v>
      </c>
      <c r="AK34" s="52">
        <f t="shared" si="104"/>
        <v>67.8</v>
      </c>
      <c r="AM34" s="178"/>
      <c r="AN34" s="180"/>
      <c r="AO34" s="70" t="s">
        <v>88</v>
      </c>
      <c r="AP34" s="85">
        <f t="shared" ref="AP34:AX34" si="110">SUMIFS($O$2:$O$54,$B$2:$B$54,"="&amp;$AN33,$T$2:$T$54,"="&amp;$AM$27,$W$2:$W$54,"="&amp;AP$2)</f>
        <v>81.27</v>
      </c>
      <c r="AQ34" s="71">
        <f t="shared" si="110"/>
        <v>73.77</v>
      </c>
      <c r="AR34" s="71">
        <f t="shared" si="110"/>
        <v>0</v>
      </c>
      <c r="AS34" s="71">
        <f t="shared" si="110"/>
        <v>0</v>
      </c>
      <c r="AT34" s="71">
        <f t="shared" si="110"/>
        <v>0</v>
      </c>
      <c r="AU34" s="71">
        <f t="shared" si="110"/>
        <v>0</v>
      </c>
      <c r="AV34" s="71">
        <f t="shared" si="110"/>
        <v>0</v>
      </c>
      <c r="AW34" s="71">
        <f t="shared" si="110"/>
        <v>0</v>
      </c>
      <c r="AX34" s="70">
        <f t="shared" si="110"/>
        <v>0</v>
      </c>
    </row>
    <row r="35" spans="1:50" ht="20.100000000000001" customHeight="1" x14ac:dyDescent="0.3">
      <c r="A35" s="138">
        <v>34</v>
      </c>
      <c r="B35" s="141">
        <v>1</v>
      </c>
      <c r="C35" s="143">
        <v>201810418</v>
      </c>
      <c r="D35" s="132" t="str">
        <f t="shared" si="0"/>
        <v>게임학과</v>
      </c>
      <c r="E35" s="141" t="s">
        <v>44</v>
      </c>
      <c r="F35" s="141">
        <v>85</v>
      </c>
      <c r="G35" s="134">
        <f t="shared" si="1"/>
        <v>42.5</v>
      </c>
      <c r="H35" s="141">
        <v>58</v>
      </c>
      <c r="I35" s="134">
        <f t="shared" si="2"/>
        <v>52.73</v>
      </c>
      <c r="J35" s="141">
        <v>94.44</v>
      </c>
      <c r="K35" s="141">
        <v>40</v>
      </c>
      <c r="L35" s="134">
        <f t="shared" si="3"/>
        <v>36.36</v>
      </c>
      <c r="M35" s="141">
        <v>58</v>
      </c>
      <c r="N35" s="142">
        <v>60</v>
      </c>
      <c r="O35" s="8">
        <f t="shared" si="4"/>
        <v>53.09</v>
      </c>
      <c r="P35" s="136">
        <f t="shared" si="5"/>
        <v>39</v>
      </c>
      <c r="Q35" s="8">
        <f t="shared" si="6"/>
        <v>39</v>
      </c>
      <c r="R35" s="9"/>
      <c r="S35" s="8" t="str">
        <f t="shared" si="7"/>
        <v>2018</v>
      </c>
      <c r="T35" s="137" t="str">
        <f t="shared" si="8"/>
        <v>104</v>
      </c>
      <c r="U35" s="8" t="b">
        <f t="shared" si="9"/>
        <v>1</v>
      </c>
      <c r="V35" s="8" t="str">
        <f t="shared" si="10"/>
        <v>C</v>
      </c>
      <c r="W35" s="8" t="str">
        <f t="shared" si="11"/>
        <v>C0</v>
      </c>
      <c r="AA35" s="45" t="s">
        <v>101</v>
      </c>
      <c r="AB35" s="42">
        <f t="shared" si="106"/>
        <v>172.47</v>
      </c>
      <c r="AC35" s="55">
        <f t="shared" si="107"/>
        <v>57.49</v>
      </c>
      <c r="AD35" s="60">
        <f t="shared" si="97"/>
        <v>117.33</v>
      </c>
      <c r="AE35" s="61">
        <f t="shared" si="98"/>
        <v>58.67</v>
      </c>
      <c r="AF35" s="57">
        <f t="shared" si="99"/>
        <v>59.99</v>
      </c>
      <c r="AG35" s="55">
        <f t="shared" si="100"/>
        <v>59.99</v>
      </c>
      <c r="AH35" s="60">
        <f t="shared" si="101"/>
        <v>0</v>
      </c>
      <c r="AI35" s="61" t="str">
        <f t="shared" si="102"/>
        <v>NV</v>
      </c>
      <c r="AJ35" s="57">
        <f t="shared" si="103"/>
        <v>0</v>
      </c>
      <c r="AK35" s="52" t="str">
        <f t="shared" si="104"/>
        <v>NV</v>
      </c>
      <c r="AM35" s="178"/>
      <c r="AN35" s="181"/>
      <c r="AO35" s="72" t="s">
        <v>89</v>
      </c>
      <c r="AP35" s="86">
        <f t="shared" ref="AP35:AX35" si="111">IFERROR(ROUND(AVERAGEIFS($O$2:$O$54,$B$2:$B$54,"="&amp;$AN33,$T$2:$T$54,"="&amp;$AM$27,$W$2:$W$54,"="&amp;AP$2),2),"-")</f>
        <v>81.27</v>
      </c>
      <c r="AQ35" s="73">
        <f t="shared" si="111"/>
        <v>73.77</v>
      </c>
      <c r="AR35" s="73" t="str">
        <f t="shared" si="111"/>
        <v>-</v>
      </c>
      <c r="AS35" s="73" t="str">
        <f t="shared" si="111"/>
        <v>-</v>
      </c>
      <c r="AT35" s="73" t="str">
        <f t="shared" si="111"/>
        <v>-</v>
      </c>
      <c r="AU35" s="73" t="str">
        <f t="shared" si="111"/>
        <v>-</v>
      </c>
      <c r="AV35" s="73" t="str">
        <f t="shared" si="111"/>
        <v>-</v>
      </c>
      <c r="AW35" s="73" t="str">
        <f t="shared" si="111"/>
        <v>-</v>
      </c>
      <c r="AX35" s="72" t="str">
        <f t="shared" si="111"/>
        <v>-</v>
      </c>
    </row>
    <row r="36" spans="1:50" ht="20.100000000000001" customHeight="1" x14ac:dyDescent="0.3">
      <c r="A36" s="138">
        <v>35</v>
      </c>
      <c r="B36" s="141">
        <v>2</v>
      </c>
      <c r="C36" s="143">
        <v>201710223</v>
      </c>
      <c r="D36" s="132" t="str">
        <f t="shared" si="0"/>
        <v>보안학과</v>
      </c>
      <c r="E36" s="141" t="s">
        <v>45</v>
      </c>
      <c r="F36" s="141">
        <v>52</v>
      </c>
      <c r="G36" s="134">
        <f t="shared" si="1"/>
        <v>26</v>
      </c>
      <c r="H36" s="141">
        <v>56</v>
      </c>
      <c r="I36" s="134">
        <f t="shared" si="2"/>
        <v>50.91</v>
      </c>
      <c r="J36" s="141">
        <v>83.33</v>
      </c>
      <c r="K36" s="141">
        <v>31</v>
      </c>
      <c r="L36" s="134">
        <f t="shared" si="3"/>
        <v>28.18</v>
      </c>
      <c r="M36" s="141">
        <v>0</v>
      </c>
      <c r="N36" s="142">
        <v>60</v>
      </c>
      <c r="O36" s="8">
        <f t="shared" si="4"/>
        <v>39.770000000000003</v>
      </c>
      <c r="P36" s="136">
        <f t="shared" si="5"/>
        <v>46</v>
      </c>
      <c r="Q36" s="8">
        <f t="shared" si="6"/>
        <v>46</v>
      </c>
      <c r="R36" s="9" t="s">
        <v>71</v>
      </c>
      <c r="S36" s="8" t="str">
        <f t="shared" si="7"/>
        <v>2017</v>
      </c>
      <c r="T36" s="137" t="str">
        <f t="shared" si="8"/>
        <v>102</v>
      </c>
      <c r="U36" s="8" t="b">
        <f t="shared" si="9"/>
        <v>0</v>
      </c>
      <c r="V36" s="8" t="str">
        <f t="shared" si="10"/>
        <v>D</v>
      </c>
      <c r="W36" s="8" t="str">
        <f t="shared" si="11"/>
        <v>D0</v>
      </c>
      <c r="AA36" s="45" t="s">
        <v>102</v>
      </c>
      <c r="AB36" s="42">
        <f t="shared" si="106"/>
        <v>107.03999999999999</v>
      </c>
      <c r="AC36" s="55">
        <f t="shared" si="107"/>
        <v>53.52</v>
      </c>
      <c r="AD36" s="60">
        <f t="shared" si="97"/>
        <v>0</v>
      </c>
      <c r="AE36" s="61" t="str">
        <f t="shared" si="98"/>
        <v>NV</v>
      </c>
      <c r="AF36" s="57">
        <f t="shared" si="99"/>
        <v>45.71</v>
      </c>
      <c r="AG36" s="55">
        <f t="shared" si="100"/>
        <v>45.71</v>
      </c>
      <c r="AH36" s="60">
        <f t="shared" si="101"/>
        <v>101.25</v>
      </c>
      <c r="AI36" s="61">
        <f t="shared" si="102"/>
        <v>50.63</v>
      </c>
      <c r="AJ36" s="57">
        <f t="shared" si="103"/>
        <v>0</v>
      </c>
      <c r="AK36" s="52" t="str">
        <f t="shared" si="104"/>
        <v>NV</v>
      </c>
      <c r="AM36" s="178"/>
      <c r="AN36" s="182">
        <v>4</v>
      </c>
      <c r="AO36" s="76" t="s">
        <v>95</v>
      </c>
      <c r="AP36" s="89">
        <f t="shared" ref="AP36" si="112">COUNTIFS($B$2:$B$54,"="&amp;$AN36,$T$2:$T$54,"="&amp;$AM$27,$W$2:$W$54,"="&amp;AP$2)</f>
        <v>0</v>
      </c>
      <c r="AQ36" s="79">
        <f t="shared" si="96"/>
        <v>1</v>
      </c>
      <c r="AR36" s="79">
        <f t="shared" si="96"/>
        <v>0</v>
      </c>
      <c r="AS36" s="79">
        <f t="shared" si="96"/>
        <v>1</v>
      </c>
      <c r="AT36" s="79">
        <f t="shared" si="96"/>
        <v>0</v>
      </c>
      <c r="AU36" s="79">
        <f t="shared" si="96"/>
        <v>0</v>
      </c>
      <c r="AV36" s="79">
        <f t="shared" si="96"/>
        <v>0</v>
      </c>
      <c r="AW36" s="79">
        <f t="shared" si="96"/>
        <v>0</v>
      </c>
      <c r="AX36" s="78">
        <f t="shared" si="96"/>
        <v>0</v>
      </c>
    </row>
    <row r="37" spans="1:50" ht="20.100000000000001" customHeight="1" x14ac:dyDescent="0.3">
      <c r="A37" s="138">
        <v>36</v>
      </c>
      <c r="B37" s="141">
        <v>2</v>
      </c>
      <c r="C37" s="143">
        <v>201710339</v>
      </c>
      <c r="D37" s="132" t="str">
        <f t="shared" si="0"/>
        <v>전자학과</v>
      </c>
      <c r="E37" s="141" t="s">
        <v>46</v>
      </c>
      <c r="F37" s="141">
        <v>16</v>
      </c>
      <c r="G37" s="134">
        <f t="shared" si="1"/>
        <v>8</v>
      </c>
      <c r="H37" s="141">
        <v>20</v>
      </c>
      <c r="I37" s="134">
        <f t="shared" si="2"/>
        <v>18.18</v>
      </c>
      <c r="J37" s="141">
        <v>88.89</v>
      </c>
      <c r="K37" s="141">
        <v>20</v>
      </c>
      <c r="L37" s="134">
        <f t="shared" si="3"/>
        <v>18.18</v>
      </c>
      <c r="M37" s="141">
        <v>21</v>
      </c>
      <c r="N37" s="142">
        <v>100</v>
      </c>
      <c r="O37" s="8">
        <f t="shared" si="4"/>
        <v>26.57</v>
      </c>
      <c r="P37" s="136">
        <f t="shared" si="5"/>
        <v>53</v>
      </c>
      <c r="Q37" s="8">
        <f t="shared" si="6"/>
        <v>53</v>
      </c>
      <c r="R37" s="9"/>
      <c r="S37" s="8" t="str">
        <f t="shared" si="7"/>
        <v>2017</v>
      </c>
      <c r="T37" s="137" t="str">
        <f t="shared" si="8"/>
        <v>103</v>
      </c>
      <c r="U37" s="8" t="b">
        <f t="shared" si="9"/>
        <v>1</v>
      </c>
      <c r="V37" s="8" t="str">
        <f t="shared" si="10"/>
        <v>F</v>
      </c>
      <c r="W37" s="8" t="str">
        <f t="shared" si="11"/>
        <v>F</v>
      </c>
      <c r="AA37" s="45" t="s">
        <v>103</v>
      </c>
      <c r="AB37" s="42">
        <f t="shared" si="106"/>
        <v>0</v>
      </c>
      <c r="AC37" s="55" t="str">
        <f t="shared" si="107"/>
        <v>NV</v>
      </c>
      <c r="AD37" s="60">
        <f t="shared" si="97"/>
        <v>44.88</v>
      </c>
      <c r="AE37" s="61">
        <f t="shared" si="98"/>
        <v>44.88</v>
      </c>
      <c r="AF37" s="57">
        <f t="shared" si="99"/>
        <v>0</v>
      </c>
      <c r="AG37" s="55" t="str">
        <f t="shared" si="100"/>
        <v>NV</v>
      </c>
      <c r="AH37" s="60">
        <f t="shared" si="101"/>
        <v>43.09</v>
      </c>
      <c r="AI37" s="61">
        <f t="shared" si="102"/>
        <v>43.09</v>
      </c>
      <c r="AJ37" s="57">
        <f t="shared" si="103"/>
        <v>43.86</v>
      </c>
      <c r="AK37" s="52">
        <f t="shared" si="104"/>
        <v>43.86</v>
      </c>
      <c r="AM37" s="178"/>
      <c r="AN37" s="180"/>
      <c r="AO37" s="70" t="s">
        <v>88</v>
      </c>
      <c r="AP37" s="85">
        <f t="shared" ref="AP37:AX37" si="113">SUMIFS($O$2:$O$54,$B$2:$B$54,"="&amp;$AN36,$T$2:$T$54,"="&amp;$AM$27,$W$2:$W$54,"="&amp;AP$2)</f>
        <v>0</v>
      </c>
      <c r="AQ37" s="71">
        <f t="shared" si="113"/>
        <v>75.33</v>
      </c>
      <c r="AR37" s="71">
        <f t="shared" si="113"/>
        <v>0</v>
      </c>
      <c r="AS37" s="71">
        <f t="shared" si="113"/>
        <v>62.86</v>
      </c>
      <c r="AT37" s="71">
        <f t="shared" si="113"/>
        <v>0</v>
      </c>
      <c r="AU37" s="71">
        <f t="shared" si="113"/>
        <v>0</v>
      </c>
      <c r="AV37" s="71">
        <f t="shared" si="113"/>
        <v>0</v>
      </c>
      <c r="AW37" s="71">
        <f t="shared" si="113"/>
        <v>0</v>
      </c>
      <c r="AX37" s="70">
        <f t="shared" si="113"/>
        <v>0</v>
      </c>
    </row>
    <row r="38" spans="1:50" ht="20.100000000000001" customHeight="1" thickBot="1" x14ac:dyDescent="0.35">
      <c r="A38" s="138">
        <v>37</v>
      </c>
      <c r="B38" s="141">
        <v>2</v>
      </c>
      <c r="C38" s="143">
        <v>201810223</v>
      </c>
      <c r="D38" s="132" t="str">
        <f t="shared" si="0"/>
        <v>보안학과</v>
      </c>
      <c r="E38" s="141" t="s">
        <v>47</v>
      </c>
      <c r="F38" s="141">
        <v>143</v>
      </c>
      <c r="G38" s="134">
        <f t="shared" si="1"/>
        <v>71.5</v>
      </c>
      <c r="H38" s="141">
        <v>82</v>
      </c>
      <c r="I38" s="134">
        <f t="shared" si="2"/>
        <v>74.55</v>
      </c>
      <c r="J38" s="141">
        <v>100</v>
      </c>
      <c r="K38" s="141">
        <v>48</v>
      </c>
      <c r="L38" s="134">
        <f t="shared" si="3"/>
        <v>43.64</v>
      </c>
      <c r="M38" s="141">
        <v>65</v>
      </c>
      <c r="N38" s="142">
        <v>100</v>
      </c>
      <c r="O38" s="8">
        <f t="shared" si="4"/>
        <v>73.41</v>
      </c>
      <c r="P38" s="136">
        <f t="shared" si="5"/>
        <v>14</v>
      </c>
      <c r="Q38" s="8">
        <f t="shared" si="6"/>
        <v>14</v>
      </c>
      <c r="R38" s="9"/>
      <c r="S38" s="8" t="str">
        <f t="shared" si="7"/>
        <v>2018</v>
      </c>
      <c r="T38" s="137" t="str">
        <f t="shared" si="8"/>
        <v>102</v>
      </c>
      <c r="U38" s="8" t="b">
        <f t="shared" si="9"/>
        <v>1</v>
      </c>
      <c r="V38" s="8" t="str">
        <f t="shared" si="10"/>
        <v>A</v>
      </c>
      <c r="W38" s="8" t="str">
        <f t="shared" si="11"/>
        <v>A0</v>
      </c>
      <c r="AA38" s="45" t="s">
        <v>104</v>
      </c>
      <c r="AB38" s="42">
        <f t="shared" si="106"/>
        <v>38.93</v>
      </c>
      <c r="AC38" s="55">
        <f t="shared" si="107"/>
        <v>38.93</v>
      </c>
      <c r="AD38" s="60">
        <f t="shared" si="97"/>
        <v>39.770000000000003</v>
      </c>
      <c r="AE38" s="61">
        <f t="shared" si="98"/>
        <v>39.770000000000003</v>
      </c>
      <c r="AF38" s="57">
        <f t="shared" si="99"/>
        <v>0</v>
      </c>
      <c r="AG38" s="55" t="str">
        <f t="shared" si="100"/>
        <v>NV</v>
      </c>
      <c r="AH38" s="60">
        <f t="shared" si="101"/>
        <v>0</v>
      </c>
      <c r="AI38" s="61" t="str">
        <f t="shared" si="102"/>
        <v>NV</v>
      </c>
      <c r="AJ38" s="57">
        <f t="shared" si="103"/>
        <v>0</v>
      </c>
      <c r="AK38" s="52" t="str">
        <f t="shared" si="104"/>
        <v>NV</v>
      </c>
      <c r="AM38" s="178"/>
      <c r="AN38" s="180"/>
      <c r="AO38" s="74" t="s">
        <v>89</v>
      </c>
      <c r="AP38" s="91" t="str">
        <f t="shared" ref="AP38:AX38" si="114">IFERROR(ROUND(AVERAGEIFS($O$2:$O$54,$B$2:$B$54,"="&amp;$AN36,$T$2:$T$54,"="&amp;$AM$27,$W$2:$W$54,"="&amp;AP$2),2),"-")</f>
        <v>-</v>
      </c>
      <c r="AQ38" s="83">
        <f t="shared" si="114"/>
        <v>75.33</v>
      </c>
      <c r="AR38" s="83" t="str">
        <f t="shared" si="114"/>
        <v>-</v>
      </c>
      <c r="AS38" s="83">
        <f t="shared" si="114"/>
        <v>62.86</v>
      </c>
      <c r="AT38" s="83" t="str">
        <f t="shared" si="114"/>
        <v>-</v>
      </c>
      <c r="AU38" s="83" t="str">
        <f t="shared" si="114"/>
        <v>-</v>
      </c>
      <c r="AV38" s="83" t="str">
        <f t="shared" si="114"/>
        <v>-</v>
      </c>
      <c r="AW38" s="83" t="str">
        <f t="shared" si="114"/>
        <v>-</v>
      </c>
      <c r="AX38" s="82" t="str">
        <f t="shared" si="114"/>
        <v>-</v>
      </c>
    </row>
    <row r="39" spans="1:50" ht="20.100000000000001" customHeight="1" thickTop="1" thickBot="1" x14ac:dyDescent="0.35">
      <c r="A39" s="138">
        <v>38</v>
      </c>
      <c r="B39" s="141">
        <v>3</v>
      </c>
      <c r="C39" s="143">
        <v>201510196</v>
      </c>
      <c r="D39" s="132" t="str">
        <f t="shared" si="0"/>
        <v>컴퓨터학과</v>
      </c>
      <c r="E39" s="141" t="s">
        <v>48</v>
      </c>
      <c r="F39" s="141">
        <v>160</v>
      </c>
      <c r="G39" s="134">
        <f t="shared" si="1"/>
        <v>80</v>
      </c>
      <c r="H39" s="141">
        <v>79</v>
      </c>
      <c r="I39" s="134">
        <f t="shared" si="2"/>
        <v>71.819999999999993</v>
      </c>
      <c r="J39" s="141">
        <v>91.11</v>
      </c>
      <c r="K39" s="141">
        <v>67</v>
      </c>
      <c r="L39" s="134">
        <f t="shared" si="3"/>
        <v>60.91</v>
      </c>
      <c r="M39" s="141">
        <v>95</v>
      </c>
      <c r="N39" s="142">
        <v>100</v>
      </c>
      <c r="O39" s="8">
        <f t="shared" si="4"/>
        <v>78.84</v>
      </c>
      <c r="P39" s="136">
        <f t="shared" si="5"/>
        <v>5</v>
      </c>
      <c r="Q39" s="8">
        <f t="shared" si="6"/>
        <v>5</v>
      </c>
      <c r="R39" s="9" t="s">
        <v>71</v>
      </c>
      <c r="S39" s="8" t="str">
        <f t="shared" si="7"/>
        <v>2015</v>
      </c>
      <c r="T39" s="137" t="str">
        <f t="shared" si="8"/>
        <v>101</v>
      </c>
      <c r="U39" s="8" t="b">
        <f t="shared" si="9"/>
        <v>1</v>
      </c>
      <c r="V39" s="8" t="str">
        <f t="shared" si="10"/>
        <v>A</v>
      </c>
      <c r="W39" s="8" t="str">
        <f t="shared" si="11"/>
        <v>A0</v>
      </c>
      <c r="AA39" s="46" t="s">
        <v>94</v>
      </c>
      <c r="AB39" s="43">
        <f t="shared" si="106"/>
        <v>96.93</v>
      </c>
      <c r="AC39" s="54">
        <f t="shared" si="107"/>
        <v>32.31</v>
      </c>
      <c r="AD39" s="58">
        <f t="shared" si="97"/>
        <v>0</v>
      </c>
      <c r="AE39" s="59" t="str">
        <f t="shared" si="98"/>
        <v>NV</v>
      </c>
      <c r="AF39" s="56">
        <f t="shared" si="99"/>
        <v>26.57</v>
      </c>
      <c r="AG39" s="54">
        <f t="shared" si="100"/>
        <v>26.57</v>
      </c>
      <c r="AH39" s="58">
        <f t="shared" si="101"/>
        <v>30.02</v>
      </c>
      <c r="AI39" s="59">
        <f t="shared" si="102"/>
        <v>30.02</v>
      </c>
      <c r="AJ39" s="56">
        <f t="shared" si="103"/>
        <v>28.25</v>
      </c>
      <c r="AK39" s="53">
        <f t="shared" si="104"/>
        <v>28.25</v>
      </c>
      <c r="AM39" s="183">
        <v>104</v>
      </c>
      <c r="AN39" s="185">
        <v>1</v>
      </c>
      <c r="AO39" s="80" t="s">
        <v>95</v>
      </c>
      <c r="AP39" s="90">
        <f>COUNTIFS($B$2:$B$54,"="&amp;$AN39,$T$2:$T$54,"="&amp;$AM$39,$W$2:$W$54,"="&amp;AP$2)</f>
        <v>0</v>
      </c>
      <c r="AQ39" s="81">
        <f t="shared" ref="AQ39:AX39" si="115">COUNTIFS($B$2:$B$54,"="&amp;$AN39,$T$2:$T$54,"="&amp;$AM$39,$W$2:$W$54,"="&amp;AQ$2)</f>
        <v>0</v>
      </c>
      <c r="AR39" s="81">
        <f t="shared" si="115"/>
        <v>0</v>
      </c>
      <c r="AS39" s="81">
        <f t="shared" si="115"/>
        <v>0</v>
      </c>
      <c r="AT39" s="81">
        <f t="shared" si="115"/>
        <v>0</v>
      </c>
      <c r="AU39" s="81">
        <f t="shared" si="115"/>
        <v>1</v>
      </c>
      <c r="AV39" s="81">
        <f t="shared" si="115"/>
        <v>0</v>
      </c>
      <c r="AW39" s="81">
        <f t="shared" si="115"/>
        <v>0</v>
      </c>
      <c r="AX39" s="80">
        <f t="shared" si="115"/>
        <v>0</v>
      </c>
    </row>
    <row r="40" spans="1:50" ht="20.100000000000001" customHeight="1" thickTop="1" x14ac:dyDescent="0.3">
      <c r="A40" s="138">
        <v>39</v>
      </c>
      <c r="B40" s="141">
        <v>2</v>
      </c>
      <c r="C40" s="143">
        <v>201610106</v>
      </c>
      <c r="D40" s="132" t="str">
        <f t="shared" si="0"/>
        <v>컴퓨터학과</v>
      </c>
      <c r="E40" s="141" t="s">
        <v>49</v>
      </c>
      <c r="F40" s="141">
        <v>128</v>
      </c>
      <c r="G40" s="134">
        <f t="shared" si="1"/>
        <v>64</v>
      </c>
      <c r="H40" s="141">
        <v>85</v>
      </c>
      <c r="I40" s="134">
        <f t="shared" si="2"/>
        <v>77.27</v>
      </c>
      <c r="J40" s="141">
        <v>100</v>
      </c>
      <c r="K40" s="141">
        <v>60</v>
      </c>
      <c r="L40" s="134">
        <f t="shared" si="3"/>
        <v>54.55</v>
      </c>
      <c r="M40" s="141">
        <v>56</v>
      </c>
      <c r="N40" s="142">
        <v>100</v>
      </c>
      <c r="O40" s="8">
        <f t="shared" si="4"/>
        <v>72.3</v>
      </c>
      <c r="P40" s="136">
        <f t="shared" si="5"/>
        <v>17</v>
      </c>
      <c r="Q40" s="8">
        <f t="shared" si="6"/>
        <v>17</v>
      </c>
      <c r="R40" s="9"/>
      <c r="S40" s="8" t="str">
        <f t="shared" si="7"/>
        <v>2016</v>
      </c>
      <c r="T40" s="137" t="str">
        <f t="shared" si="8"/>
        <v>101</v>
      </c>
      <c r="U40" s="8" t="b">
        <f t="shared" si="9"/>
        <v>1</v>
      </c>
      <c r="V40" s="8" t="str">
        <f t="shared" si="10"/>
        <v>B</v>
      </c>
      <c r="W40" s="8" t="str">
        <f t="shared" si="11"/>
        <v>B+</v>
      </c>
      <c r="AM40" s="178"/>
      <c r="AN40" s="180"/>
      <c r="AO40" s="70" t="s">
        <v>88</v>
      </c>
      <c r="AP40" s="85">
        <f>SUMIFS($O$2:$O$54,$B$2:$B$54,"="&amp;$AN39,$T$2:$T$54,"="&amp;$AM$39,$W$2:$W$54,"="&amp;AP$2)</f>
        <v>0</v>
      </c>
      <c r="AQ40" s="71">
        <f t="shared" ref="AQ40:AX40" si="116">SUMIFS($O$2:$O$54,$B$2:$B$54,"="&amp;$AN39,$T$2:$T$54,"="&amp;$AM$39,$W$2:$W$54,"="&amp;AQ$2)</f>
        <v>0</v>
      </c>
      <c r="AR40" s="71">
        <f t="shared" si="116"/>
        <v>0</v>
      </c>
      <c r="AS40" s="71">
        <f t="shared" si="116"/>
        <v>0</v>
      </c>
      <c r="AT40" s="71">
        <f t="shared" si="116"/>
        <v>0</v>
      </c>
      <c r="AU40" s="71">
        <f t="shared" si="116"/>
        <v>53.09</v>
      </c>
      <c r="AV40" s="71">
        <f t="shared" si="116"/>
        <v>0</v>
      </c>
      <c r="AW40" s="71">
        <f t="shared" si="116"/>
        <v>0</v>
      </c>
      <c r="AX40" s="70">
        <f t="shared" si="116"/>
        <v>0</v>
      </c>
    </row>
    <row r="41" spans="1:50" ht="20.100000000000001" customHeight="1" x14ac:dyDescent="0.3">
      <c r="A41" s="138">
        <v>40</v>
      </c>
      <c r="B41" s="141">
        <v>2</v>
      </c>
      <c r="C41" s="143">
        <v>201710110</v>
      </c>
      <c r="D41" s="132" t="str">
        <f t="shared" si="0"/>
        <v>컴퓨터학과</v>
      </c>
      <c r="E41" s="141" t="s">
        <v>50</v>
      </c>
      <c r="F41" s="141">
        <v>167</v>
      </c>
      <c r="G41" s="134">
        <f t="shared" si="1"/>
        <v>83.5</v>
      </c>
      <c r="H41" s="141">
        <v>99</v>
      </c>
      <c r="I41" s="134">
        <f t="shared" si="2"/>
        <v>90</v>
      </c>
      <c r="J41" s="141">
        <v>100</v>
      </c>
      <c r="K41" s="141">
        <v>102</v>
      </c>
      <c r="L41" s="134">
        <f t="shared" si="3"/>
        <v>92.73</v>
      </c>
      <c r="M41" s="141">
        <v>90</v>
      </c>
      <c r="N41" s="142">
        <v>100</v>
      </c>
      <c r="O41" s="8">
        <f t="shared" si="4"/>
        <v>89.82</v>
      </c>
      <c r="P41" s="136">
        <f t="shared" si="5"/>
        <v>1</v>
      </c>
      <c r="Q41" s="8">
        <f t="shared" si="6"/>
        <v>1</v>
      </c>
      <c r="R41" s="9"/>
      <c r="S41" s="8" t="str">
        <f t="shared" si="7"/>
        <v>2017</v>
      </c>
      <c r="T41" s="137" t="str">
        <f t="shared" si="8"/>
        <v>101</v>
      </c>
      <c r="U41" s="8" t="b">
        <f t="shared" si="9"/>
        <v>1</v>
      </c>
      <c r="V41" s="8" t="str">
        <f t="shared" si="10"/>
        <v>A</v>
      </c>
      <c r="W41" s="8" t="str">
        <f t="shared" si="11"/>
        <v>A+</v>
      </c>
      <c r="AM41" s="178"/>
      <c r="AN41" s="181"/>
      <c r="AO41" s="72" t="s">
        <v>89</v>
      </c>
      <c r="AP41" s="87" t="str">
        <f>IFERROR(ROUND(AVERAGEIFS($O$2:$O$54,$B$2:$B$54,"="&amp;$AN39,$T$2:$T$54,"="&amp;$AM$39,$W$2:$W$54,"="&amp;AP$2),2),"-")</f>
        <v>-</v>
      </c>
      <c r="AQ41" s="75" t="str">
        <f t="shared" ref="AQ41:AX41" si="117">IFERROR(ROUND(AVERAGEIFS($O$2:$O$54,$B$2:$B$54,"="&amp;$AN39,$T$2:$T$54,"="&amp;$AM$39,$W$2:$W$54,"="&amp;AQ$2),2),"-")</f>
        <v>-</v>
      </c>
      <c r="AR41" s="75" t="str">
        <f t="shared" si="117"/>
        <v>-</v>
      </c>
      <c r="AS41" s="75" t="str">
        <f t="shared" si="117"/>
        <v>-</v>
      </c>
      <c r="AT41" s="75" t="str">
        <f t="shared" si="117"/>
        <v>-</v>
      </c>
      <c r="AU41" s="75">
        <f t="shared" si="117"/>
        <v>53.09</v>
      </c>
      <c r="AV41" s="75" t="str">
        <f t="shared" si="117"/>
        <v>-</v>
      </c>
      <c r="AW41" s="75" t="str">
        <f t="shared" si="117"/>
        <v>-</v>
      </c>
      <c r="AX41" s="74" t="str">
        <f t="shared" si="117"/>
        <v>-</v>
      </c>
    </row>
    <row r="42" spans="1:50" ht="20.100000000000001" customHeight="1" x14ac:dyDescent="0.3">
      <c r="A42" s="138">
        <v>41</v>
      </c>
      <c r="B42" s="141">
        <v>4</v>
      </c>
      <c r="C42" s="143">
        <v>201510311</v>
      </c>
      <c r="D42" s="132" t="str">
        <f t="shared" si="0"/>
        <v>전자학과</v>
      </c>
      <c r="E42" s="141" t="s">
        <v>51</v>
      </c>
      <c r="F42" s="141">
        <v>127</v>
      </c>
      <c r="G42" s="134">
        <f t="shared" si="1"/>
        <v>63.5</v>
      </c>
      <c r="H42" s="141">
        <v>80</v>
      </c>
      <c r="I42" s="134">
        <f t="shared" si="2"/>
        <v>72.73</v>
      </c>
      <c r="J42" s="141">
        <v>100</v>
      </c>
      <c r="K42" s="141">
        <v>74</v>
      </c>
      <c r="L42" s="134">
        <f t="shared" si="3"/>
        <v>67.27</v>
      </c>
      <c r="M42" s="141">
        <v>91</v>
      </c>
      <c r="N42" s="142">
        <v>100</v>
      </c>
      <c r="O42" s="8">
        <f t="shared" si="4"/>
        <v>75.33</v>
      </c>
      <c r="P42" s="136">
        <f t="shared" si="5"/>
        <v>12</v>
      </c>
      <c r="Q42" s="8">
        <f t="shared" si="6"/>
        <v>12</v>
      </c>
      <c r="R42" s="9" t="s">
        <v>71</v>
      </c>
      <c r="S42" s="8" t="str">
        <f t="shared" si="7"/>
        <v>2015</v>
      </c>
      <c r="T42" s="137" t="str">
        <f t="shared" si="8"/>
        <v>103</v>
      </c>
      <c r="U42" s="8" t="b">
        <f t="shared" si="9"/>
        <v>1</v>
      </c>
      <c r="V42" s="8" t="str">
        <f t="shared" si="10"/>
        <v>A</v>
      </c>
      <c r="W42" s="8" t="str">
        <f t="shared" si="11"/>
        <v>A0</v>
      </c>
      <c r="AM42" s="178"/>
      <c r="AN42" s="182">
        <v>2</v>
      </c>
      <c r="AO42" s="76" t="s">
        <v>95</v>
      </c>
      <c r="AP42" s="88">
        <f t="shared" ref="AP42:AX48" si="118">COUNTIFS($B$2:$B$54,"="&amp;$AN42,$T$2:$T$54,"="&amp;$AM$39,$W$2:$W$54,"="&amp;AP$2)</f>
        <v>0</v>
      </c>
      <c r="AQ42" s="77">
        <f t="shared" si="118"/>
        <v>0</v>
      </c>
      <c r="AR42" s="77">
        <f t="shared" si="118"/>
        <v>0</v>
      </c>
      <c r="AS42" s="77">
        <f t="shared" si="118"/>
        <v>1</v>
      </c>
      <c r="AT42" s="77">
        <f t="shared" si="118"/>
        <v>0</v>
      </c>
      <c r="AU42" s="77">
        <f t="shared" si="118"/>
        <v>0</v>
      </c>
      <c r="AV42" s="77">
        <f t="shared" si="118"/>
        <v>1</v>
      </c>
      <c r="AW42" s="77">
        <f t="shared" si="118"/>
        <v>0</v>
      </c>
      <c r="AX42" s="76">
        <f t="shared" si="118"/>
        <v>1</v>
      </c>
    </row>
    <row r="43" spans="1:50" ht="20.100000000000001" customHeight="1" x14ac:dyDescent="0.3">
      <c r="A43" s="138">
        <v>42</v>
      </c>
      <c r="B43" s="141">
        <v>4</v>
      </c>
      <c r="C43" s="143">
        <v>201510319</v>
      </c>
      <c r="D43" s="132" t="str">
        <f t="shared" si="0"/>
        <v>전자학과</v>
      </c>
      <c r="E43" s="141" t="s">
        <v>52</v>
      </c>
      <c r="F43" s="141">
        <v>86</v>
      </c>
      <c r="G43" s="134">
        <f t="shared" si="1"/>
        <v>43</v>
      </c>
      <c r="H43" s="141">
        <v>76</v>
      </c>
      <c r="I43" s="134">
        <f t="shared" si="2"/>
        <v>69.09</v>
      </c>
      <c r="J43" s="141">
        <v>98.89</v>
      </c>
      <c r="K43" s="141">
        <v>56</v>
      </c>
      <c r="L43" s="134">
        <f t="shared" si="3"/>
        <v>50.91</v>
      </c>
      <c r="M43" s="141">
        <v>58</v>
      </c>
      <c r="N43" s="142">
        <v>100</v>
      </c>
      <c r="O43" s="8">
        <f t="shared" si="4"/>
        <v>62.86</v>
      </c>
      <c r="P43" s="136">
        <f t="shared" si="5"/>
        <v>31</v>
      </c>
      <c r="Q43" s="8">
        <f t="shared" si="6"/>
        <v>31</v>
      </c>
      <c r="R43" s="9" t="s">
        <v>71</v>
      </c>
      <c r="S43" s="8" t="str">
        <f t="shared" si="7"/>
        <v>2015</v>
      </c>
      <c r="T43" s="137" t="str">
        <f t="shared" si="8"/>
        <v>103</v>
      </c>
      <c r="U43" s="8" t="b">
        <f t="shared" si="9"/>
        <v>1</v>
      </c>
      <c r="V43" s="8" t="str">
        <f t="shared" si="10"/>
        <v>B</v>
      </c>
      <c r="W43" s="8" t="str">
        <f t="shared" si="11"/>
        <v>B0</v>
      </c>
      <c r="AM43" s="178"/>
      <c r="AN43" s="180"/>
      <c r="AO43" s="70" t="s">
        <v>88</v>
      </c>
      <c r="AP43" s="85">
        <f t="shared" ref="AP43:AX43" si="119">SUMIFS($O$2:$O$54,$B$2:$B$54,"="&amp;$AN42,$T$2:$T$54,"="&amp;$AM$39,$W$2:$W$54,"="&amp;AP$2)</f>
        <v>0</v>
      </c>
      <c r="AQ43" s="71">
        <f t="shared" si="119"/>
        <v>0</v>
      </c>
      <c r="AR43" s="71">
        <f t="shared" si="119"/>
        <v>0</v>
      </c>
      <c r="AS43" s="71">
        <f t="shared" si="119"/>
        <v>68.099999999999994</v>
      </c>
      <c r="AT43" s="71">
        <f t="shared" si="119"/>
        <v>0</v>
      </c>
      <c r="AU43" s="71">
        <f t="shared" si="119"/>
        <v>0</v>
      </c>
      <c r="AV43" s="71">
        <f t="shared" si="119"/>
        <v>43.09</v>
      </c>
      <c r="AW43" s="71">
        <f t="shared" si="119"/>
        <v>0</v>
      </c>
      <c r="AX43" s="70">
        <f t="shared" si="119"/>
        <v>30.02</v>
      </c>
    </row>
    <row r="44" spans="1:50" ht="20.100000000000001" customHeight="1" x14ac:dyDescent="0.3">
      <c r="A44" s="138">
        <v>43</v>
      </c>
      <c r="B44" s="141">
        <v>3</v>
      </c>
      <c r="C44" s="143">
        <v>201510342</v>
      </c>
      <c r="D44" s="132" t="str">
        <f t="shared" si="0"/>
        <v>전자학과</v>
      </c>
      <c r="E44" s="141" t="s">
        <v>53</v>
      </c>
      <c r="F44" s="141">
        <v>160</v>
      </c>
      <c r="G44" s="134">
        <f t="shared" si="1"/>
        <v>80</v>
      </c>
      <c r="H44" s="141">
        <v>82</v>
      </c>
      <c r="I44" s="134">
        <f t="shared" si="2"/>
        <v>74.55</v>
      </c>
      <c r="J44" s="141">
        <v>100</v>
      </c>
      <c r="K44" s="141">
        <v>79</v>
      </c>
      <c r="L44" s="134">
        <f t="shared" si="3"/>
        <v>71.819999999999993</v>
      </c>
      <c r="M44" s="141">
        <v>90</v>
      </c>
      <c r="N44" s="142">
        <v>100</v>
      </c>
      <c r="O44" s="8">
        <f t="shared" si="4"/>
        <v>81.27</v>
      </c>
      <c r="P44" s="136">
        <f t="shared" si="5"/>
        <v>4</v>
      </c>
      <c r="Q44" s="8">
        <f t="shared" si="6"/>
        <v>4</v>
      </c>
      <c r="R44" s="9"/>
      <c r="S44" s="8" t="str">
        <f t="shared" si="7"/>
        <v>2015</v>
      </c>
      <c r="T44" s="137" t="str">
        <f t="shared" si="8"/>
        <v>103</v>
      </c>
      <c r="U44" s="8" t="b">
        <f t="shared" si="9"/>
        <v>1</v>
      </c>
      <c r="V44" s="8" t="str">
        <f t="shared" si="10"/>
        <v>A</v>
      </c>
      <c r="W44" s="8" t="str">
        <f t="shared" si="11"/>
        <v>A+</v>
      </c>
      <c r="AM44" s="178"/>
      <c r="AN44" s="181"/>
      <c r="AO44" s="72" t="s">
        <v>89</v>
      </c>
      <c r="AP44" s="86" t="str">
        <f t="shared" ref="AP44:AX44" si="120">IFERROR(ROUND(AVERAGEIFS($O$2:$O$54,$B$2:$B$54,"="&amp;$AN42,$T$2:$T$54,"="&amp;$AM$39,$W$2:$W$54,"="&amp;AP$2),2),"-")</f>
        <v>-</v>
      </c>
      <c r="AQ44" s="73" t="str">
        <f t="shared" si="120"/>
        <v>-</v>
      </c>
      <c r="AR44" s="73" t="str">
        <f t="shared" si="120"/>
        <v>-</v>
      </c>
      <c r="AS44" s="73">
        <f t="shared" si="120"/>
        <v>68.099999999999994</v>
      </c>
      <c r="AT44" s="73" t="str">
        <f t="shared" si="120"/>
        <v>-</v>
      </c>
      <c r="AU44" s="73" t="str">
        <f t="shared" si="120"/>
        <v>-</v>
      </c>
      <c r="AV44" s="73">
        <f t="shared" si="120"/>
        <v>43.09</v>
      </c>
      <c r="AW44" s="73" t="str">
        <f t="shared" si="120"/>
        <v>-</v>
      </c>
      <c r="AX44" s="72">
        <f t="shared" si="120"/>
        <v>30.02</v>
      </c>
    </row>
    <row r="45" spans="1:50" ht="20.100000000000001" customHeight="1" x14ac:dyDescent="0.3">
      <c r="A45" s="138">
        <v>44</v>
      </c>
      <c r="B45" s="141">
        <v>2</v>
      </c>
      <c r="C45" s="143">
        <v>201710460</v>
      </c>
      <c r="D45" s="132" t="str">
        <f t="shared" si="0"/>
        <v>게임학과</v>
      </c>
      <c r="E45" s="141" t="s">
        <v>54</v>
      </c>
      <c r="F45" s="141">
        <v>129</v>
      </c>
      <c r="G45" s="134">
        <f t="shared" si="1"/>
        <v>64.5</v>
      </c>
      <c r="H45" s="141">
        <v>70</v>
      </c>
      <c r="I45" s="134">
        <f t="shared" si="2"/>
        <v>63.64</v>
      </c>
      <c r="J45" s="141">
        <v>97.78</v>
      </c>
      <c r="K45" s="141">
        <v>66</v>
      </c>
      <c r="L45" s="134">
        <f t="shared" si="3"/>
        <v>60</v>
      </c>
      <c r="M45" s="141">
        <v>57</v>
      </c>
      <c r="N45" s="142">
        <v>100</v>
      </c>
      <c r="O45" s="8">
        <f t="shared" si="4"/>
        <v>68.099999999999994</v>
      </c>
      <c r="P45" s="136">
        <f t="shared" si="5"/>
        <v>25</v>
      </c>
      <c r="Q45" s="8">
        <f t="shared" si="6"/>
        <v>25</v>
      </c>
      <c r="R45" s="9"/>
      <c r="S45" s="8" t="str">
        <f t="shared" si="7"/>
        <v>2017</v>
      </c>
      <c r="T45" s="137" t="str">
        <f t="shared" si="8"/>
        <v>104</v>
      </c>
      <c r="U45" s="8" t="b">
        <f t="shared" si="9"/>
        <v>1</v>
      </c>
      <c r="V45" s="8" t="str">
        <f t="shared" si="10"/>
        <v>B</v>
      </c>
      <c r="W45" s="8" t="str">
        <f t="shared" si="11"/>
        <v>B0</v>
      </c>
      <c r="AM45" s="178"/>
      <c r="AN45" s="182">
        <v>3</v>
      </c>
      <c r="AO45" s="76" t="s">
        <v>95</v>
      </c>
      <c r="AP45" s="88">
        <f t="shared" ref="AP45" si="121">COUNTIFS($B$2:$B$54,"="&amp;$AN45,$T$2:$T$54,"="&amp;$AM$39,$W$2:$W$54,"="&amp;AP$2)</f>
        <v>0</v>
      </c>
      <c r="AQ45" s="77">
        <f t="shared" si="118"/>
        <v>0</v>
      </c>
      <c r="AR45" s="77">
        <f t="shared" si="118"/>
        <v>1</v>
      </c>
      <c r="AS45" s="77">
        <f t="shared" si="118"/>
        <v>0</v>
      </c>
      <c r="AT45" s="77">
        <f t="shared" si="118"/>
        <v>0</v>
      </c>
      <c r="AU45" s="77">
        <f t="shared" si="118"/>
        <v>0</v>
      </c>
      <c r="AV45" s="77">
        <f t="shared" si="118"/>
        <v>0</v>
      </c>
      <c r="AW45" s="77">
        <f t="shared" si="118"/>
        <v>0</v>
      </c>
      <c r="AX45" s="76">
        <f t="shared" si="118"/>
        <v>0</v>
      </c>
    </row>
    <row r="46" spans="1:50" ht="20.100000000000001" customHeight="1" x14ac:dyDescent="0.3">
      <c r="A46" s="138">
        <v>45</v>
      </c>
      <c r="B46" s="141">
        <v>3</v>
      </c>
      <c r="C46" s="143">
        <v>201710471</v>
      </c>
      <c r="D46" s="132" t="str">
        <f t="shared" si="0"/>
        <v>게임학과</v>
      </c>
      <c r="E46" s="141" t="s">
        <v>55</v>
      </c>
      <c r="F46" s="141">
        <v>155</v>
      </c>
      <c r="G46" s="134">
        <f t="shared" si="1"/>
        <v>77.5</v>
      </c>
      <c r="H46" s="141">
        <v>91</v>
      </c>
      <c r="I46" s="134">
        <f t="shared" si="2"/>
        <v>82.73</v>
      </c>
      <c r="J46" s="141">
        <v>100</v>
      </c>
      <c r="K46" s="141">
        <v>82</v>
      </c>
      <c r="L46" s="134">
        <f t="shared" si="3"/>
        <v>74.55</v>
      </c>
      <c r="M46" s="141">
        <v>76</v>
      </c>
      <c r="N46" s="142">
        <v>100</v>
      </c>
      <c r="O46" s="8">
        <f t="shared" si="4"/>
        <v>82.26</v>
      </c>
      <c r="P46" s="136">
        <f t="shared" si="5"/>
        <v>3</v>
      </c>
      <c r="Q46" s="8">
        <f t="shared" si="6"/>
        <v>3</v>
      </c>
      <c r="R46" s="9" t="s">
        <v>71</v>
      </c>
      <c r="S46" s="8" t="str">
        <f t="shared" si="7"/>
        <v>2017</v>
      </c>
      <c r="T46" s="137" t="str">
        <f t="shared" si="8"/>
        <v>104</v>
      </c>
      <c r="U46" s="8" t="b">
        <f t="shared" si="9"/>
        <v>0</v>
      </c>
      <c r="V46" s="8" t="str">
        <f t="shared" si="10"/>
        <v>A</v>
      </c>
      <c r="W46" s="8" t="str">
        <f t="shared" si="11"/>
        <v>B+</v>
      </c>
      <c r="AM46" s="178"/>
      <c r="AN46" s="180"/>
      <c r="AO46" s="70" t="s">
        <v>88</v>
      </c>
      <c r="AP46" s="85">
        <f t="shared" ref="AP46:AX46" si="122">SUMIFS($O$2:$O$54,$B$2:$B$54,"="&amp;$AN45,$T$2:$T$54,"="&amp;$AM$39,$W$2:$W$54,"="&amp;AP$2)</f>
        <v>0</v>
      </c>
      <c r="AQ46" s="71">
        <f t="shared" si="122"/>
        <v>0</v>
      </c>
      <c r="AR46" s="71">
        <f t="shared" si="122"/>
        <v>82.26</v>
      </c>
      <c r="AS46" s="71">
        <f t="shared" si="122"/>
        <v>0</v>
      </c>
      <c r="AT46" s="71">
        <f t="shared" si="122"/>
        <v>0</v>
      </c>
      <c r="AU46" s="71">
        <f t="shared" si="122"/>
        <v>0</v>
      </c>
      <c r="AV46" s="71">
        <f t="shared" si="122"/>
        <v>0</v>
      </c>
      <c r="AW46" s="71">
        <f t="shared" si="122"/>
        <v>0</v>
      </c>
      <c r="AX46" s="70">
        <f t="shared" si="122"/>
        <v>0</v>
      </c>
    </row>
    <row r="47" spans="1:50" ht="20.100000000000001" customHeight="1" x14ac:dyDescent="0.3">
      <c r="A47" s="138">
        <v>46</v>
      </c>
      <c r="B47" s="141">
        <v>2</v>
      </c>
      <c r="C47" s="143">
        <v>201710226</v>
      </c>
      <c r="D47" s="132" t="str">
        <f t="shared" si="0"/>
        <v>보안학과</v>
      </c>
      <c r="E47" s="141" t="s">
        <v>56</v>
      </c>
      <c r="F47" s="141">
        <v>105</v>
      </c>
      <c r="G47" s="134">
        <f t="shared" si="1"/>
        <v>52.5</v>
      </c>
      <c r="H47" s="141">
        <v>57</v>
      </c>
      <c r="I47" s="134">
        <f t="shared" si="2"/>
        <v>51.82</v>
      </c>
      <c r="J47" s="141">
        <v>97.78</v>
      </c>
      <c r="K47" s="141">
        <v>33</v>
      </c>
      <c r="L47" s="134">
        <f t="shared" si="3"/>
        <v>30</v>
      </c>
      <c r="M47" s="141">
        <v>53</v>
      </c>
      <c r="N47" s="142">
        <v>100</v>
      </c>
      <c r="O47" s="8">
        <f t="shared" si="4"/>
        <v>56.97</v>
      </c>
      <c r="P47" s="136">
        <f t="shared" si="5"/>
        <v>35</v>
      </c>
      <c r="Q47" s="8">
        <f t="shared" si="6"/>
        <v>35</v>
      </c>
      <c r="R47" s="9"/>
      <c r="S47" s="8" t="str">
        <f t="shared" si="7"/>
        <v>2017</v>
      </c>
      <c r="T47" s="137" t="str">
        <f t="shared" si="8"/>
        <v>102</v>
      </c>
      <c r="U47" s="8" t="b">
        <f t="shared" si="9"/>
        <v>1</v>
      </c>
      <c r="V47" s="8" t="str">
        <f t="shared" si="10"/>
        <v>C</v>
      </c>
      <c r="W47" s="8" t="str">
        <f t="shared" si="11"/>
        <v>C+</v>
      </c>
      <c r="AM47" s="178"/>
      <c r="AN47" s="181"/>
      <c r="AO47" s="72" t="s">
        <v>89</v>
      </c>
      <c r="AP47" s="86" t="str">
        <f t="shared" ref="AP47:AX47" si="123">IFERROR(ROUND(AVERAGEIFS($O$2:$O$54,$B$2:$B$54,"="&amp;$AN45,$T$2:$T$54,"="&amp;$AM$39,$W$2:$W$54,"="&amp;AP$2),2),"-")</f>
        <v>-</v>
      </c>
      <c r="AQ47" s="73" t="str">
        <f t="shared" si="123"/>
        <v>-</v>
      </c>
      <c r="AR47" s="73">
        <f t="shared" si="123"/>
        <v>82.26</v>
      </c>
      <c r="AS47" s="73" t="str">
        <f t="shared" si="123"/>
        <v>-</v>
      </c>
      <c r="AT47" s="73" t="str">
        <f t="shared" si="123"/>
        <v>-</v>
      </c>
      <c r="AU47" s="73" t="str">
        <f t="shared" si="123"/>
        <v>-</v>
      </c>
      <c r="AV47" s="73" t="str">
        <f t="shared" si="123"/>
        <v>-</v>
      </c>
      <c r="AW47" s="73" t="str">
        <f t="shared" si="123"/>
        <v>-</v>
      </c>
      <c r="AX47" s="72" t="str">
        <f t="shared" si="123"/>
        <v>-</v>
      </c>
    </row>
    <row r="48" spans="1:50" ht="20.100000000000001" customHeight="1" x14ac:dyDescent="0.3">
      <c r="A48" s="138">
        <v>47</v>
      </c>
      <c r="B48" s="141">
        <v>2</v>
      </c>
      <c r="C48" s="143">
        <v>201810529</v>
      </c>
      <c r="D48" s="132" t="str">
        <f t="shared" si="0"/>
        <v>통신학과</v>
      </c>
      <c r="E48" s="141" t="s">
        <v>57</v>
      </c>
      <c r="F48" s="141">
        <v>141</v>
      </c>
      <c r="G48" s="134">
        <f t="shared" si="1"/>
        <v>70.5</v>
      </c>
      <c r="H48" s="141">
        <v>67</v>
      </c>
      <c r="I48" s="134">
        <f t="shared" si="2"/>
        <v>60.91</v>
      </c>
      <c r="J48" s="141">
        <v>97.78</v>
      </c>
      <c r="K48" s="141">
        <v>78</v>
      </c>
      <c r="L48" s="134">
        <f t="shared" si="3"/>
        <v>70.91</v>
      </c>
      <c r="M48" s="141">
        <v>54</v>
      </c>
      <c r="N48" s="142">
        <v>80</v>
      </c>
      <c r="O48" s="8">
        <f t="shared" si="4"/>
        <v>68.739999999999995</v>
      </c>
      <c r="P48" s="136">
        <f t="shared" si="5"/>
        <v>23</v>
      </c>
      <c r="Q48" s="8">
        <f t="shared" si="6"/>
        <v>23</v>
      </c>
      <c r="R48" s="9"/>
      <c r="S48" s="8" t="str">
        <f t="shared" si="7"/>
        <v>2018</v>
      </c>
      <c r="T48" s="137" t="str">
        <f t="shared" si="8"/>
        <v>105</v>
      </c>
      <c r="U48" s="8" t="b">
        <f t="shared" si="9"/>
        <v>1</v>
      </c>
      <c r="V48" s="8" t="str">
        <f t="shared" si="10"/>
        <v>B</v>
      </c>
      <c r="W48" s="8" t="str">
        <f t="shared" si="11"/>
        <v>B+</v>
      </c>
      <c r="AM48" s="178"/>
      <c r="AN48" s="182">
        <v>4</v>
      </c>
      <c r="AO48" s="76" t="s">
        <v>95</v>
      </c>
      <c r="AP48" s="89">
        <f t="shared" ref="AP48" si="124">COUNTIFS($B$2:$B$54,"="&amp;$AN48,$T$2:$T$54,"="&amp;$AM$39,$W$2:$W$54,"="&amp;AP$2)</f>
        <v>0</v>
      </c>
      <c r="AQ48" s="79">
        <f t="shared" si="118"/>
        <v>0</v>
      </c>
      <c r="AR48" s="79">
        <f t="shared" si="118"/>
        <v>0</v>
      </c>
      <c r="AS48" s="79">
        <f t="shared" si="118"/>
        <v>1</v>
      </c>
      <c r="AT48" s="79">
        <f t="shared" si="118"/>
        <v>0</v>
      </c>
      <c r="AU48" s="79">
        <f t="shared" si="118"/>
        <v>1</v>
      </c>
      <c r="AV48" s="79">
        <f t="shared" si="118"/>
        <v>0</v>
      </c>
      <c r="AW48" s="79">
        <f t="shared" si="118"/>
        <v>0</v>
      </c>
      <c r="AX48" s="78">
        <f t="shared" si="118"/>
        <v>0</v>
      </c>
    </row>
    <row r="49" spans="1:50" ht="20.100000000000001" customHeight="1" x14ac:dyDescent="0.3">
      <c r="A49" s="138">
        <v>48</v>
      </c>
      <c r="B49" s="141">
        <v>1</v>
      </c>
      <c r="C49" s="143">
        <v>201810535</v>
      </c>
      <c r="D49" s="132" t="str">
        <f t="shared" si="0"/>
        <v>통신학과</v>
      </c>
      <c r="E49" s="141" t="s">
        <v>58</v>
      </c>
      <c r="F49" s="141">
        <v>114</v>
      </c>
      <c r="G49" s="134">
        <f t="shared" si="1"/>
        <v>57</v>
      </c>
      <c r="H49" s="141">
        <v>92</v>
      </c>
      <c r="I49" s="134">
        <f t="shared" si="2"/>
        <v>83.64</v>
      </c>
      <c r="J49" s="141">
        <v>95.56</v>
      </c>
      <c r="K49" s="141">
        <v>48</v>
      </c>
      <c r="L49" s="134">
        <f t="shared" si="3"/>
        <v>43.64</v>
      </c>
      <c r="M49" s="141">
        <v>74</v>
      </c>
      <c r="N49" s="142">
        <v>100</v>
      </c>
      <c r="O49" s="8">
        <f t="shared" si="4"/>
        <v>72.69</v>
      </c>
      <c r="P49" s="136">
        <f t="shared" si="5"/>
        <v>15</v>
      </c>
      <c r="Q49" s="8">
        <f t="shared" si="6"/>
        <v>15</v>
      </c>
      <c r="R49" s="9"/>
      <c r="S49" s="8" t="str">
        <f t="shared" si="7"/>
        <v>2018</v>
      </c>
      <c r="T49" s="137" t="str">
        <f t="shared" si="8"/>
        <v>105</v>
      </c>
      <c r="U49" s="8" t="b">
        <f t="shared" si="9"/>
        <v>1</v>
      </c>
      <c r="V49" s="8" t="str">
        <f t="shared" si="10"/>
        <v>A</v>
      </c>
      <c r="W49" s="8" t="str">
        <f t="shared" si="11"/>
        <v>A0</v>
      </c>
      <c r="AM49" s="178"/>
      <c r="AN49" s="180"/>
      <c r="AO49" s="70" t="s">
        <v>88</v>
      </c>
      <c r="AP49" s="85">
        <f t="shared" ref="AP49:AX49" si="125">SUMIFS($O$2:$O$54,$B$2:$B$54,"="&amp;$AN48,$T$2:$T$54,"="&amp;$AM$39,$W$2:$W$54,"="&amp;AP$2)</f>
        <v>0</v>
      </c>
      <c r="AQ49" s="71">
        <f t="shared" si="125"/>
        <v>0</v>
      </c>
      <c r="AR49" s="71">
        <f t="shared" si="125"/>
        <v>0</v>
      </c>
      <c r="AS49" s="71">
        <f t="shared" si="125"/>
        <v>64.66</v>
      </c>
      <c r="AT49" s="71">
        <f t="shared" si="125"/>
        <v>0</v>
      </c>
      <c r="AU49" s="71">
        <f t="shared" si="125"/>
        <v>48.16</v>
      </c>
      <c r="AV49" s="71">
        <f t="shared" si="125"/>
        <v>0</v>
      </c>
      <c r="AW49" s="71">
        <f t="shared" si="125"/>
        <v>0</v>
      </c>
      <c r="AX49" s="70">
        <f t="shared" si="125"/>
        <v>0</v>
      </c>
    </row>
    <row r="50" spans="1:50" ht="20.100000000000001" customHeight="1" thickBot="1" x14ac:dyDescent="0.35">
      <c r="A50" s="138">
        <v>49</v>
      </c>
      <c r="B50" s="141">
        <v>3</v>
      </c>
      <c r="C50" s="143">
        <v>201510546</v>
      </c>
      <c r="D50" s="132" t="str">
        <f t="shared" si="0"/>
        <v>통신학과</v>
      </c>
      <c r="E50" s="141" t="s">
        <v>59</v>
      </c>
      <c r="F50" s="141">
        <v>148</v>
      </c>
      <c r="G50" s="134">
        <f t="shared" si="1"/>
        <v>74</v>
      </c>
      <c r="H50" s="141">
        <v>66</v>
      </c>
      <c r="I50" s="134">
        <f t="shared" si="2"/>
        <v>60</v>
      </c>
      <c r="J50" s="141">
        <v>96.67</v>
      </c>
      <c r="K50" s="141">
        <v>57</v>
      </c>
      <c r="L50" s="134">
        <f t="shared" si="3"/>
        <v>51.82</v>
      </c>
      <c r="M50" s="141">
        <v>51</v>
      </c>
      <c r="N50" s="142">
        <v>100</v>
      </c>
      <c r="O50" s="8">
        <f t="shared" si="4"/>
        <v>68.150000000000006</v>
      </c>
      <c r="P50" s="136">
        <f t="shared" si="5"/>
        <v>24</v>
      </c>
      <c r="Q50" s="8">
        <f t="shared" si="6"/>
        <v>24</v>
      </c>
      <c r="R50" s="9" t="s">
        <v>71</v>
      </c>
      <c r="S50" s="8" t="str">
        <f t="shared" si="7"/>
        <v>2015</v>
      </c>
      <c r="T50" s="137" t="str">
        <f t="shared" si="8"/>
        <v>105</v>
      </c>
      <c r="U50" s="8" t="b">
        <f t="shared" si="9"/>
        <v>1</v>
      </c>
      <c r="V50" s="8" t="str">
        <f t="shared" si="10"/>
        <v>B</v>
      </c>
      <c r="W50" s="8" t="str">
        <f t="shared" si="11"/>
        <v>B0</v>
      </c>
      <c r="AM50" s="184"/>
      <c r="AN50" s="186"/>
      <c r="AO50" s="82" t="s">
        <v>89</v>
      </c>
      <c r="AP50" s="91" t="str">
        <f t="shared" ref="AP50:AX50" si="126">IFERROR(ROUND(AVERAGEIFS($O$2:$O$54,$B$2:$B$54,"="&amp;$AN48,$T$2:$T$54,"="&amp;$AM$39,$W$2:$W$54,"="&amp;AP$2),2),"-")</f>
        <v>-</v>
      </c>
      <c r="AQ50" s="83" t="str">
        <f t="shared" si="126"/>
        <v>-</v>
      </c>
      <c r="AR50" s="83" t="str">
        <f t="shared" si="126"/>
        <v>-</v>
      </c>
      <c r="AS50" s="83">
        <f t="shared" si="126"/>
        <v>64.66</v>
      </c>
      <c r="AT50" s="83" t="str">
        <f t="shared" si="126"/>
        <v>-</v>
      </c>
      <c r="AU50" s="83">
        <f t="shared" si="126"/>
        <v>48.16</v>
      </c>
      <c r="AV50" s="83" t="str">
        <f t="shared" si="126"/>
        <v>-</v>
      </c>
      <c r="AW50" s="83" t="str">
        <f t="shared" si="126"/>
        <v>-</v>
      </c>
      <c r="AX50" s="82" t="str">
        <f t="shared" si="126"/>
        <v>-</v>
      </c>
    </row>
    <row r="51" spans="1:50" ht="20.100000000000001" customHeight="1" thickTop="1" x14ac:dyDescent="0.3">
      <c r="A51" s="138">
        <v>50</v>
      </c>
      <c r="B51" s="141">
        <v>2</v>
      </c>
      <c r="C51" s="143">
        <v>201610266</v>
      </c>
      <c r="D51" s="132" t="str">
        <f t="shared" si="0"/>
        <v>보안학과</v>
      </c>
      <c r="E51" s="141" t="s">
        <v>60</v>
      </c>
      <c r="F51" s="141">
        <v>97</v>
      </c>
      <c r="G51" s="134">
        <f t="shared" si="1"/>
        <v>48.5</v>
      </c>
      <c r="H51" s="141">
        <v>101</v>
      </c>
      <c r="I51" s="134">
        <f t="shared" si="2"/>
        <v>91.82</v>
      </c>
      <c r="J51" s="141">
        <v>98.89</v>
      </c>
      <c r="K51" s="141">
        <v>73</v>
      </c>
      <c r="L51" s="134">
        <f t="shared" si="3"/>
        <v>66.36</v>
      </c>
      <c r="M51" s="141">
        <v>88</v>
      </c>
      <c r="N51" s="142">
        <v>80</v>
      </c>
      <c r="O51" s="8">
        <f t="shared" si="4"/>
        <v>76.010000000000005</v>
      </c>
      <c r="P51" s="136">
        <f t="shared" si="5"/>
        <v>11</v>
      </c>
      <c r="Q51" s="8">
        <f t="shared" si="6"/>
        <v>11</v>
      </c>
      <c r="R51" s="9"/>
      <c r="S51" s="8" t="str">
        <f t="shared" si="7"/>
        <v>2016</v>
      </c>
      <c r="T51" s="137" t="str">
        <f t="shared" si="8"/>
        <v>102</v>
      </c>
      <c r="U51" s="8" t="b">
        <f t="shared" si="9"/>
        <v>1</v>
      </c>
      <c r="V51" s="8" t="str">
        <f t="shared" si="10"/>
        <v>A</v>
      </c>
      <c r="W51" s="8" t="str">
        <f t="shared" si="11"/>
        <v>A0</v>
      </c>
      <c r="AM51" s="178">
        <v>105</v>
      </c>
      <c r="AN51" s="180">
        <v>1</v>
      </c>
      <c r="AO51" s="78" t="s">
        <v>95</v>
      </c>
      <c r="AP51" s="90">
        <f>COUNTIFS($B$2:$B$54,"="&amp;$AN51,$T$2:$T$54,"="&amp;$AM$51,$W$2:$W$54,"="&amp;AP$2)</f>
        <v>0</v>
      </c>
      <c r="AQ51" s="81">
        <f t="shared" ref="AQ51:AX51" si="127">COUNTIFS($B$2:$B$54,"="&amp;$AN51,$T$2:$T$54,"="&amp;$AM$51,$W$2:$W$54,"="&amp;AQ$2)</f>
        <v>1</v>
      </c>
      <c r="AR51" s="81">
        <f t="shared" si="127"/>
        <v>0</v>
      </c>
      <c r="AS51" s="81">
        <f t="shared" si="127"/>
        <v>0</v>
      </c>
      <c r="AT51" s="81">
        <f t="shared" si="127"/>
        <v>0</v>
      </c>
      <c r="AU51" s="81">
        <f t="shared" si="127"/>
        <v>0</v>
      </c>
      <c r="AV51" s="81">
        <f t="shared" si="127"/>
        <v>0</v>
      </c>
      <c r="AW51" s="81">
        <f t="shared" si="127"/>
        <v>0</v>
      </c>
      <c r="AX51" s="80">
        <f t="shared" si="127"/>
        <v>1</v>
      </c>
    </row>
    <row r="52" spans="1:50" ht="20.100000000000001" customHeight="1" x14ac:dyDescent="0.3">
      <c r="A52" s="138">
        <v>51</v>
      </c>
      <c r="B52" s="141">
        <v>4</v>
      </c>
      <c r="C52" s="143">
        <v>201610275</v>
      </c>
      <c r="D52" s="132" t="str">
        <f t="shared" si="0"/>
        <v>보안학과</v>
      </c>
      <c r="E52" s="141" t="s">
        <v>61</v>
      </c>
      <c r="F52" s="141">
        <v>154</v>
      </c>
      <c r="G52" s="134">
        <f t="shared" si="1"/>
        <v>77</v>
      </c>
      <c r="H52" s="141">
        <v>66</v>
      </c>
      <c r="I52" s="134">
        <f t="shared" si="2"/>
        <v>60</v>
      </c>
      <c r="J52" s="141">
        <v>100</v>
      </c>
      <c r="K52" s="141">
        <v>68</v>
      </c>
      <c r="L52" s="134">
        <f t="shared" si="3"/>
        <v>61.82</v>
      </c>
      <c r="M52" s="141">
        <v>36</v>
      </c>
      <c r="N52" s="142">
        <v>100</v>
      </c>
      <c r="O52" s="8">
        <f t="shared" si="4"/>
        <v>68.88</v>
      </c>
      <c r="P52" s="136">
        <f t="shared" si="5"/>
        <v>22</v>
      </c>
      <c r="Q52" s="8">
        <f t="shared" si="6"/>
        <v>22</v>
      </c>
      <c r="R52" s="9"/>
      <c r="S52" s="8" t="str">
        <f t="shared" si="7"/>
        <v>2016</v>
      </c>
      <c r="T52" s="137" t="str">
        <f t="shared" si="8"/>
        <v>102</v>
      </c>
      <c r="U52" s="8" t="b">
        <f t="shared" si="9"/>
        <v>1</v>
      </c>
      <c r="V52" s="8" t="str">
        <f t="shared" si="10"/>
        <v>B</v>
      </c>
      <c r="W52" s="8" t="str">
        <f t="shared" si="11"/>
        <v>B+</v>
      </c>
      <c r="AM52" s="178"/>
      <c r="AN52" s="180"/>
      <c r="AO52" s="70" t="s">
        <v>88</v>
      </c>
      <c r="AP52" s="85">
        <f>SUMIFS($O$2:$O$54,$B$2:$B$54,"="&amp;$AN51,$T$2:$T$54,"="&amp;$AM$51,$W$2:$W$54,"="&amp;AP$2)</f>
        <v>0</v>
      </c>
      <c r="AQ52" s="71">
        <f t="shared" ref="AQ52:AX52" si="128">SUMIFS($O$2:$O$54,$B$2:$B$54,"="&amp;$AN51,$T$2:$T$54,"="&amp;$AM$51,$W$2:$W$54,"="&amp;AQ$2)</f>
        <v>72.69</v>
      </c>
      <c r="AR52" s="71">
        <f t="shared" si="128"/>
        <v>0</v>
      </c>
      <c r="AS52" s="71">
        <f t="shared" si="128"/>
        <v>0</v>
      </c>
      <c r="AT52" s="71">
        <f t="shared" si="128"/>
        <v>0</v>
      </c>
      <c r="AU52" s="71">
        <f t="shared" si="128"/>
        <v>0</v>
      </c>
      <c r="AV52" s="71">
        <f t="shared" si="128"/>
        <v>0</v>
      </c>
      <c r="AW52" s="71">
        <f t="shared" si="128"/>
        <v>0</v>
      </c>
      <c r="AX52" s="70">
        <f t="shared" si="128"/>
        <v>28.25</v>
      </c>
    </row>
    <row r="53" spans="1:50" ht="20.100000000000001" customHeight="1" x14ac:dyDescent="0.3">
      <c r="A53" s="138">
        <v>52</v>
      </c>
      <c r="B53" s="141">
        <v>4</v>
      </c>
      <c r="C53" s="143">
        <v>201610177</v>
      </c>
      <c r="D53" s="132" t="str">
        <f t="shared" si="0"/>
        <v>컴퓨터학과</v>
      </c>
      <c r="E53" s="141" t="s">
        <v>62</v>
      </c>
      <c r="F53" s="141">
        <v>58</v>
      </c>
      <c r="G53" s="134">
        <f t="shared" si="1"/>
        <v>29</v>
      </c>
      <c r="H53" s="141">
        <v>62</v>
      </c>
      <c r="I53" s="134">
        <f t="shared" si="2"/>
        <v>56.36</v>
      </c>
      <c r="J53" s="141">
        <v>100</v>
      </c>
      <c r="K53" s="141">
        <v>48</v>
      </c>
      <c r="L53" s="134">
        <f t="shared" si="3"/>
        <v>43.64</v>
      </c>
      <c r="M53" s="141">
        <v>49</v>
      </c>
      <c r="N53" s="142">
        <v>100</v>
      </c>
      <c r="O53" s="8">
        <f t="shared" si="4"/>
        <v>52.69</v>
      </c>
      <c r="P53" s="136">
        <f t="shared" si="5"/>
        <v>40</v>
      </c>
      <c r="Q53" s="8">
        <f t="shared" si="6"/>
        <v>40</v>
      </c>
      <c r="R53" s="9"/>
      <c r="S53" s="8" t="str">
        <f t="shared" si="7"/>
        <v>2016</v>
      </c>
      <c r="T53" s="137" t="str">
        <f t="shared" si="8"/>
        <v>101</v>
      </c>
      <c r="U53" s="8" t="b">
        <f t="shared" si="9"/>
        <v>1</v>
      </c>
      <c r="V53" s="8" t="str">
        <f t="shared" si="10"/>
        <v>C</v>
      </c>
      <c r="W53" s="8" t="str">
        <f t="shared" si="11"/>
        <v>C0</v>
      </c>
      <c r="AM53" s="178"/>
      <c r="AN53" s="181"/>
      <c r="AO53" s="72" t="s">
        <v>89</v>
      </c>
      <c r="AP53" s="87" t="str">
        <f>IFERROR(ROUND(AVERAGEIFS($O$2:$O$54,$B$2:$B$54,"="&amp;$AN51,$T$2:$T$54,"="&amp;$AM$51,$W$2:$W$54,"="&amp;AP$2),2),"-")</f>
        <v>-</v>
      </c>
      <c r="AQ53" s="75">
        <f t="shared" ref="AQ53:AX53" si="129">IFERROR(ROUND(AVERAGEIFS($O$2:$O$54,$B$2:$B$54,"="&amp;$AN51,$T$2:$T$54,"="&amp;$AM$51,$W$2:$W$54,"="&amp;AQ$2),2),"-")</f>
        <v>72.69</v>
      </c>
      <c r="AR53" s="75" t="str">
        <f t="shared" si="129"/>
        <v>-</v>
      </c>
      <c r="AS53" s="75" t="str">
        <f t="shared" si="129"/>
        <v>-</v>
      </c>
      <c r="AT53" s="75" t="str">
        <f t="shared" si="129"/>
        <v>-</v>
      </c>
      <c r="AU53" s="75" t="str">
        <f t="shared" si="129"/>
        <v>-</v>
      </c>
      <c r="AV53" s="75" t="str">
        <f t="shared" si="129"/>
        <v>-</v>
      </c>
      <c r="AW53" s="75" t="str">
        <f t="shared" si="129"/>
        <v>-</v>
      </c>
      <c r="AX53" s="74">
        <f t="shared" si="129"/>
        <v>28.25</v>
      </c>
    </row>
    <row r="54" spans="1:50" ht="20.100000000000001" customHeight="1" thickBot="1" x14ac:dyDescent="0.35">
      <c r="A54" s="145">
        <v>53</v>
      </c>
      <c r="B54" s="146">
        <v>2</v>
      </c>
      <c r="C54" s="147">
        <v>201810585</v>
      </c>
      <c r="D54" s="148" t="str">
        <f t="shared" si="0"/>
        <v>통신학과</v>
      </c>
      <c r="E54" s="146" t="s">
        <v>63</v>
      </c>
      <c r="F54" s="146">
        <v>75</v>
      </c>
      <c r="G54" s="146">
        <f t="shared" si="1"/>
        <v>37.5</v>
      </c>
      <c r="H54" s="146">
        <v>42</v>
      </c>
      <c r="I54" s="146">
        <f t="shared" si="2"/>
        <v>38.18</v>
      </c>
      <c r="J54" s="146">
        <v>97.78</v>
      </c>
      <c r="K54" s="146">
        <v>37</v>
      </c>
      <c r="L54" s="146">
        <f t="shared" si="3"/>
        <v>33.64</v>
      </c>
      <c r="M54" s="146">
        <v>11</v>
      </c>
      <c r="N54" s="149">
        <v>100</v>
      </c>
      <c r="O54" s="150">
        <f t="shared" si="4"/>
        <v>43.86</v>
      </c>
      <c r="P54" s="150">
        <f t="shared" si="5"/>
        <v>44</v>
      </c>
      <c r="Q54" s="150">
        <f t="shared" si="6"/>
        <v>44</v>
      </c>
      <c r="R54" s="150"/>
      <c r="S54" s="150" t="str">
        <f t="shared" si="7"/>
        <v>2018</v>
      </c>
      <c r="T54" s="151" t="str">
        <f t="shared" si="8"/>
        <v>105</v>
      </c>
      <c r="U54" s="150" t="b">
        <f t="shared" si="9"/>
        <v>1</v>
      </c>
      <c r="V54" s="150" t="str">
        <f t="shared" si="10"/>
        <v>D</v>
      </c>
      <c r="W54" s="150" t="str">
        <f t="shared" si="11"/>
        <v>D+</v>
      </c>
      <c r="AM54" s="178"/>
      <c r="AN54" s="167">
        <v>2</v>
      </c>
      <c r="AO54" s="76" t="s">
        <v>95</v>
      </c>
      <c r="AP54" s="88">
        <f t="shared" ref="AP54:AX54" si="130">COUNTIFS($B$2:$B$54,"="&amp;$AN54,$T$2:$T$54,"="&amp;$AM$51,$W$2:$W$54,"="&amp;AP$2)</f>
        <v>1</v>
      </c>
      <c r="AQ54" s="77">
        <f t="shared" si="130"/>
        <v>2</v>
      </c>
      <c r="AR54" s="77">
        <f t="shared" si="130"/>
        <v>2</v>
      </c>
      <c r="AS54" s="77">
        <f t="shared" si="130"/>
        <v>0</v>
      </c>
      <c r="AT54" s="77">
        <f t="shared" si="130"/>
        <v>0</v>
      </c>
      <c r="AU54" s="77">
        <f t="shared" si="130"/>
        <v>0</v>
      </c>
      <c r="AV54" s="77">
        <f t="shared" si="130"/>
        <v>1</v>
      </c>
      <c r="AW54" s="77">
        <f t="shared" si="130"/>
        <v>0</v>
      </c>
      <c r="AX54" s="76">
        <f t="shared" si="130"/>
        <v>0</v>
      </c>
    </row>
    <row r="55" spans="1:50" ht="20.100000000000001" customHeight="1" thickTop="1" thickBot="1" x14ac:dyDescent="0.35">
      <c r="A55" s="217" t="s">
        <v>88</v>
      </c>
      <c r="B55" s="218"/>
      <c r="C55" s="218"/>
      <c r="D55" s="219"/>
      <c r="E55" s="220"/>
      <c r="F55" s="168">
        <f>SUM(F2:F54)</f>
        <v>6033</v>
      </c>
      <c r="G55" s="168">
        <f t="shared" ref="G55:N55" si="131">SUM(G2:G54)</f>
        <v>3016.5</v>
      </c>
      <c r="H55" s="168">
        <f t="shared" si="131"/>
        <v>3427</v>
      </c>
      <c r="I55" s="168">
        <f t="shared" si="131"/>
        <v>3115.4700000000007</v>
      </c>
      <c r="J55" s="168">
        <f t="shared" si="131"/>
        <v>5043.3600000000006</v>
      </c>
      <c r="K55" s="168">
        <f t="shared" si="131"/>
        <v>2855</v>
      </c>
      <c r="L55" s="168">
        <f t="shared" si="131"/>
        <v>2595.5100000000007</v>
      </c>
      <c r="M55" s="168">
        <f t="shared" si="131"/>
        <v>2731</v>
      </c>
      <c r="N55" s="168">
        <f t="shared" si="131"/>
        <v>4690</v>
      </c>
      <c r="O55" s="169">
        <f>SUM(O2:O54)</f>
        <v>3266.880000000001</v>
      </c>
      <c r="P55" s="221"/>
      <c r="Q55" s="222"/>
      <c r="R55" s="222"/>
      <c r="S55" s="222"/>
      <c r="T55" s="222"/>
      <c r="U55" s="222"/>
      <c r="V55" s="223"/>
      <c r="W55" s="224"/>
      <c r="AM55" s="178"/>
    </row>
    <row r="56" spans="1:50" ht="20.100000000000001" customHeight="1" thickTop="1" thickBot="1" x14ac:dyDescent="0.35">
      <c r="A56" s="233" t="s">
        <v>89</v>
      </c>
      <c r="B56" s="234"/>
      <c r="C56" s="234"/>
      <c r="D56" s="234"/>
      <c r="E56" s="235"/>
      <c r="F56" s="168">
        <f>ROUND(AVERAGE(F2:F54),2)</f>
        <v>113.83</v>
      </c>
      <c r="G56" s="168">
        <f t="shared" ref="G56:N56" si="132">ROUND(AVERAGE(G2:G54),2)</f>
        <v>56.92</v>
      </c>
      <c r="H56" s="168">
        <f t="shared" si="132"/>
        <v>64.66</v>
      </c>
      <c r="I56" s="168">
        <f t="shared" si="132"/>
        <v>58.78</v>
      </c>
      <c r="J56" s="168">
        <f t="shared" si="132"/>
        <v>95.16</v>
      </c>
      <c r="K56" s="168">
        <f t="shared" si="132"/>
        <v>53.87</v>
      </c>
      <c r="L56" s="168">
        <f t="shared" si="132"/>
        <v>48.97</v>
      </c>
      <c r="M56" s="168">
        <f t="shared" si="132"/>
        <v>51.53</v>
      </c>
      <c r="N56" s="168">
        <f t="shared" si="132"/>
        <v>88.49</v>
      </c>
      <c r="O56" s="169">
        <f>AVERAGE(O2:O54)</f>
        <v>61.639245283018887</v>
      </c>
      <c r="P56" s="225"/>
      <c r="Q56" s="226"/>
      <c r="R56" s="226"/>
      <c r="S56" s="226"/>
      <c r="T56" s="226"/>
      <c r="U56" s="226"/>
      <c r="V56" s="227"/>
      <c r="W56" s="228"/>
      <c r="AM56" s="178"/>
    </row>
    <row r="57" spans="1:50" ht="20.100000000000001" customHeight="1" thickTop="1" thickBot="1" x14ac:dyDescent="0.35">
      <c r="A57" s="236" t="s">
        <v>122</v>
      </c>
      <c r="B57" s="237"/>
      <c r="C57" s="237"/>
      <c r="D57" s="238"/>
      <c r="E57" s="239"/>
      <c r="F57" s="170">
        <f>MAX(F2:F54)</f>
        <v>167</v>
      </c>
      <c r="G57" s="171">
        <f t="shared" ref="G57:N57" si="133">MAX(G2:G54)</f>
        <v>83.5</v>
      </c>
      <c r="H57" s="171">
        <f t="shared" si="133"/>
        <v>105</v>
      </c>
      <c r="I57" s="171">
        <f t="shared" si="133"/>
        <v>95.45</v>
      </c>
      <c r="J57" s="171">
        <f t="shared" si="133"/>
        <v>100</v>
      </c>
      <c r="K57" s="171">
        <f t="shared" si="133"/>
        <v>102</v>
      </c>
      <c r="L57" s="171">
        <f t="shared" si="133"/>
        <v>92.73</v>
      </c>
      <c r="M57" s="171">
        <f t="shared" si="133"/>
        <v>95</v>
      </c>
      <c r="N57" s="172">
        <f t="shared" si="133"/>
        <v>100</v>
      </c>
      <c r="O57" s="169">
        <f>MAX(O2:O54)</f>
        <v>89.82</v>
      </c>
      <c r="P57" s="225"/>
      <c r="Q57" s="226"/>
      <c r="R57" s="226"/>
      <c r="S57" s="226"/>
      <c r="T57" s="226"/>
      <c r="U57" s="226"/>
      <c r="V57" s="227"/>
      <c r="W57" s="228"/>
      <c r="AM57" s="179"/>
    </row>
    <row r="58" spans="1:50" ht="20.100000000000001" customHeight="1" thickTop="1" thickBot="1" x14ac:dyDescent="0.35">
      <c r="A58" s="236" t="s">
        <v>123</v>
      </c>
      <c r="B58" s="237"/>
      <c r="C58" s="237"/>
      <c r="D58" s="238"/>
      <c r="E58" s="239"/>
      <c r="F58" s="170">
        <f>MIN(F2:F54)</f>
        <v>16</v>
      </c>
      <c r="G58" s="171">
        <f t="shared" ref="G58:N58" si="134">MIN(G2:G54)</f>
        <v>8</v>
      </c>
      <c r="H58" s="171">
        <f t="shared" si="134"/>
        <v>0</v>
      </c>
      <c r="I58" s="171">
        <f t="shared" si="134"/>
        <v>0</v>
      </c>
      <c r="J58" s="171">
        <f t="shared" si="134"/>
        <v>60</v>
      </c>
      <c r="K58" s="171">
        <f t="shared" si="134"/>
        <v>9</v>
      </c>
      <c r="L58" s="171">
        <f t="shared" si="134"/>
        <v>8.18</v>
      </c>
      <c r="M58" s="171">
        <f t="shared" si="134"/>
        <v>0</v>
      </c>
      <c r="N58" s="172">
        <f t="shared" si="134"/>
        <v>0</v>
      </c>
      <c r="O58" s="169">
        <f>MIN(O2:O54)</f>
        <v>26.57</v>
      </c>
      <c r="P58" s="225"/>
      <c r="Q58" s="226"/>
      <c r="R58" s="226"/>
      <c r="S58" s="226"/>
      <c r="T58" s="226"/>
      <c r="U58" s="226"/>
      <c r="V58" s="227"/>
      <c r="W58" s="228"/>
    </row>
    <row r="59" spans="1:50" ht="20.100000000000001" customHeight="1" thickTop="1" thickBot="1" x14ac:dyDescent="0.35">
      <c r="A59" s="240" t="s">
        <v>124</v>
      </c>
      <c r="B59" s="240"/>
      <c r="C59" s="240"/>
      <c r="D59" s="240"/>
      <c r="E59" s="240"/>
      <c r="F59" s="173">
        <f>MEDIAN(F2:F54)</f>
        <v>126</v>
      </c>
      <c r="G59" s="174">
        <f t="shared" ref="G59:N59" si="135">MEDIAN(G2:G54)</f>
        <v>63</v>
      </c>
      <c r="H59" s="174">
        <f t="shared" si="135"/>
        <v>66</v>
      </c>
      <c r="I59" s="174">
        <f t="shared" si="135"/>
        <v>60</v>
      </c>
      <c r="J59" s="174">
        <f t="shared" si="135"/>
        <v>97.78</v>
      </c>
      <c r="K59" s="174">
        <f t="shared" si="135"/>
        <v>56</v>
      </c>
      <c r="L59" s="174">
        <f t="shared" si="135"/>
        <v>50.91</v>
      </c>
      <c r="M59" s="174">
        <f t="shared" si="135"/>
        <v>53</v>
      </c>
      <c r="N59" s="175">
        <f t="shared" si="135"/>
        <v>100</v>
      </c>
      <c r="O59" s="176">
        <f>MEDIAN(O2:O54)</f>
        <v>67.44</v>
      </c>
      <c r="P59" s="229"/>
      <c r="Q59" s="230"/>
      <c r="R59" s="230"/>
      <c r="S59" s="230"/>
      <c r="T59" s="230"/>
      <c r="U59" s="230"/>
      <c r="V59" s="231"/>
      <c r="W59" s="232"/>
    </row>
    <row r="60" spans="1:50" ht="20.100000000000001" customHeight="1" thickTop="1" x14ac:dyDescent="0.3"/>
  </sheetData>
  <mergeCells count="53">
    <mergeCell ref="AA2:AB2"/>
    <mergeCell ref="BK2:BL2"/>
    <mergeCell ref="BM2:BN2"/>
    <mergeCell ref="BO2:BP2"/>
    <mergeCell ref="BQ2:BR2"/>
    <mergeCell ref="BD7:BD10"/>
    <mergeCell ref="BI8:BI11"/>
    <mergeCell ref="AN9:AN11"/>
    <mergeCell ref="AA10:AA11"/>
    <mergeCell ref="BD11:BD14"/>
    <mergeCell ref="AN12:AN14"/>
    <mergeCell ref="BI12:BI15"/>
    <mergeCell ref="AA13:AB13"/>
    <mergeCell ref="AA14:AB14"/>
    <mergeCell ref="AM15:AM26"/>
    <mergeCell ref="AM3:AM14"/>
    <mergeCell ref="AN3:AN5"/>
    <mergeCell ref="BD3:BD6"/>
    <mergeCell ref="BI4:BI7"/>
    <mergeCell ref="AN6:AN8"/>
    <mergeCell ref="AN15:AN17"/>
    <mergeCell ref="BD15:BD18"/>
    <mergeCell ref="BI16:BI19"/>
    <mergeCell ref="AA17:AA18"/>
    <mergeCell ref="AN18:AN20"/>
    <mergeCell ref="BD19:BD22"/>
    <mergeCell ref="BI20:BI23"/>
    <mergeCell ref="AN21:AN23"/>
    <mergeCell ref="AN24:AN26"/>
    <mergeCell ref="AM27:AM38"/>
    <mergeCell ref="AN27:AN29"/>
    <mergeCell ref="AA29:AA30"/>
    <mergeCell ref="AB29:AC29"/>
    <mergeCell ref="AD29:AE29"/>
    <mergeCell ref="AF29:AG29"/>
    <mergeCell ref="AH29:AI29"/>
    <mergeCell ref="AJ29:AK29"/>
    <mergeCell ref="AN30:AN32"/>
    <mergeCell ref="AN33:AN35"/>
    <mergeCell ref="AN36:AN38"/>
    <mergeCell ref="AM39:AM50"/>
    <mergeCell ref="AN39:AN41"/>
    <mergeCell ref="AN42:AN44"/>
    <mergeCell ref="AN45:AN47"/>
    <mergeCell ref="AN48:AN50"/>
    <mergeCell ref="AM51:AM57"/>
    <mergeCell ref="AN51:AN53"/>
    <mergeCell ref="A55:E55"/>
    <mergeCell ref="P55:W59"/>
    <mergeCell ref="A56:E56"/>
    <mergeCell ref="A57:E57"/>
    <mergeCell ref="A58:E58"/>
    <mergeCell ref="A59:E59"/>
  </mergeCells>
  <phoneticPr fontId="18" type="noConversion"/>
  <conditionalFormatting sqref="S2:S54">
    <cfRule type="containsText" dxfId="2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10" t="s">
        <v>5</v>
      </c>
      <c r="B1" s="11" t="s">
        <v>74</v>
      </c>
      <c r="D1" s="10" t="s">
        <v>5</v>
      </c>
      <c r="E1" s="11">
        <v>101</v>
      </c>
      <c r="F1" s="11">
        <v>102</v>
      </c>
      <c r="G1" s="11">
        <v>103</v>
      </c>
      <c r="H1" s="11">
        <v>104</v>
      </c>
      <c r="I1" s="11">
        <v>105</v>
      </c>
    </row>
    <row r="2" spans="1:9" x14ac:dyDescent="0.3">
      <c r="A2" s="11">
        <v>101</v>
      </c>
      <c r="B2" s="11" t="s">
        <v>75</v>
      </c>
      <c r="D2" s="11" t="s">
        <v>74</v>
      </c>
      <c r="E2" s="11" t="s">
        <v>75</v>
      </c>
      <c r="F2" s="11" t="s">
        <v>76</v>
      </c>
      <c r="G2" s="11" t="s">
        <v>77</v>
      </c>
      <c r="H2" s="11" t="s">
        <v>78</v>
      </c>
      <c r="I2" s="11" t="s">
        <v>79</v>
      </c>
    </row>
    <row r="3" spans="1:9" x14ac:dyDescent="0.3">
      <c r="A3" s="11">
        <v>102</v>
      </c>
      <c r="B3" s="11" t="s">
        <v>76</v>
      </c>
    </row>
    <row r="4" spans="1:9" x14ac:dyDescent="0.3">
      <c r="A4" s="11">
        <v>103</v>
      </c>
      <c r="B4" s="11" t="s">
        <v>77</v>
      </c>
    </row>
    <row r="5" spans="1:9" x14ac:dyDescent="0.3">
      <c r="A5" s="11">
        <v>104</v>
      </c>
      <c r="B5" s="11" t="s">
        <v>78</v>
      </c>
    </row>
    <row r="6" spans="1:9" x14ac:dyDescent="0.3">
      <c r="A6" s="11">
        <v>105</v>
      </c>
      <c r="B6" s="11" t="s">
        <v>79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12AC-2EFC-4BD5-800C-40AECAE3D91F}">
  <dimension ref="A1:B10"/>
  <sheetViews>
    <sheetView workbookViewId="0">
      <selection activeCell="B2" sqref="B2"/>
    </sheetView>
  </sheetViews>
  <sheetFormatPr defaultRowHeight="16.5" x14ac:dyDescent="0.3"/>
  <sheetData>
    <row r="1" spans="1:2" x14ac:dyDescent="0.3">
      <c r="A1" s="144" t="s">
        <v>110</v>
      </c>
      <c r="B1" s="144" t="s">
        <v>111</v>
      </c>
    </row>
    <row r="2" spans="1:2" x14ac:dyDescent="0.3">
      <c r="A2" s="144">
        <v>6</v>
      </c>
      <c r="B2" s="144" t="s">
        <v>112</v>
      </c>
    </row>
    <row r="3" spans="1:2" x14ac:dyDescent="0.3">
      <c r="A3" s="144">
        <v>8</v>
      </c>
      <c r="B3" s="144" t="s">
        <v>113</v>
      </c>
    </row>
    <row r="4" spans="1:2" x14ac:dyDescent="0.3">
      <c r="A4" s="144">
        <v>1</v>
      </c>
      <c r="B4" s="144" t="s">
        <v>114</v>
      </c>
    </row>
    <row r="5" spans="1:2" x14ac:dyDescent="0.3">
      <c r="A5" s="144">
        <v>2</v>
      </c>
      <c r="B5" s="144" t="s">
        <v>115</v>
      </c>
    </row>
    <row r="6" spans="1:2" x14ac:dyDescent="0.3">
      <c r="A6" s="144">
        <v>7</v>
      </c>
      <c r="B6" s="144" t="s">
        <v>116</v>
      </c>
    </row>
    <row r="7" spans="1:2" x14ac:dyDescent="0.3">
      <c r="A7" s="144">
        <v>3</v>
      </c>
      <c r="B7" s="144" t="s">
        <v>117</v>
      </c>
    </row>
    <row r="8" spans="1:2" x14ac:dyDescent="0.3">
      <c r="A8" s="144">
        <v>9</v>
      </c>
      <c r="B8" s="144" t="s">
        <v>118</v>
      </c>
    </row>
    <row r="9" spans="1:2" x14ac:dyDescent="0.3">
      <c r="A9" s="144">
        <v>4</v>
      </c>
      <c r="B9" s="144" t="s">
        <v>119</v>
      </c>
    </row>
    <row r="10" spans="1:2" x14ac:dyDescent="0.3">
      <c r="A10" s="144">
        <v>5</v>
      </c>
      <c r="B10" s="144" t="s">
        <v>120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분반1_항목에대한서식</vt:lpstr>
      <vt:lpstr>분반1_행에대한서식</vt:lpstr>
      <vt:lpstr>학과코드</vt:lpstr>
      <vt:lpstr>정렬예제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2019-11-22T15:57:40Z</dcterms:modified>
</cp:coreProperties>
</file>