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879C9BEE-DA1B-4F9F-AD74-669E759024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H57" i="1" l="1"/>
  <c r="J57" i="1"/>
  <c r="K57" i="1"/>
  <c r="M57" i="1"/>
  <c r="N57" i="1"/>
  <c r="H58" i="1"/>
  <c r="J58" i="1"/>
  <c r="K58" i="1"/>
  <c r="M58" i="1"/>
  <c r="N58" i="1"/>
  <c r="H59" i="1"/>
  <c r="J59" i="1"/>
  <c r="K59" i="1"/>
  <c r="M59" i="1"/>
  <c r="N59" i="1"/>
  <c r="F59" i="1"/>
  <c r="F58" i="1"/>
  <c r="F57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W29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R15" i="1"/>
  <c r="AR17" i="1"/>
  <c r="AV3" i="1"/>
  <c r="AV5" i="1"/>
  <c r="AR3" i="1"/>
  <c r="AV15" i="1"/>
  <c r="AV17" i="1"/>
  <c r="AR4" i="1"/>
  <c r="AP4" i="1"/>
  <c r="AR16" i="1"/>
  <c r="AP16" i="1"/>
  <c r="AV4" i="1"/>
  <c r="AV16" i="1"/>
  <c r="AR5" i="1"/>
  <c r="D7" i="1"/>
  <c r="AR60" i="1"/>
  <c r="AV60" i="1"/>
  <c r="AQ61" i="1"/>
  <c r="AU61" i="1"/>
  <c r="AP62" i="1"/>
  <c r="AT62" i="1"/>
  <c r="AX62" i="1"/>
  <c r="AS60" i="1"/>
  <c r="AW60" i="1"/>
  <c r="AR61" i="1"/>
  <c r="AV61" i="1"/>
  <c r="AQ62" i="1"/>
  <c r="AU62" i="1"/>
  <c r="AP60" i="1"/>
  <c r="AT60" i="1"/>
  <c r="AX60" i="1"/>
  <c r="AS61" i="1"/>
  <c r="AW61" i="1"/>
  <c r="AR62" i="1"/>
  <c r="AV62" i="1"/>
  <c r="AT61" i="1"/>
  <c r="AW62" i="1"/>
  <c r="AQ60" i="1"/>
  <c r="AX61" i="1"/>
  <c r="AU60" i="1"/>
  <c r="AS62" i="1"/>
  <c r="AP61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K22" i="1"/>
  <c r="BO22" i="1"/>
  <c r="BK23" i="1"/>
  <c r="BO23" i="1"/>
  <c r="BQ20" i="1"/>
  <c r="BQ17" i="1"/>
  <c r="BQ18" i="1"/>
  <c r="BM19" i="1"/>
  <c r="BO16" i="1"/>
  <c r="BO13" i="1"/>
  <c r="BK14" i="1"/>
  <c r="BO14" i="1"/>
  <c r="BK15" i="1"/>
  <c r="BO15" i="1"/>
  <c r="BM12" i="1"/>
  <c r="BQ12" i="1"/>
  <c r="BQ9" i="1"/>
  <c r="BQ10" i="1"/>
  <c r="BM11" i="1"/>
  <c r="BQ11" i="1"/>
  <c r="BO8" i="1"/>
  <c r="BK6" i="1"/>
  <c r="BK7" i="1"/>
  <c r="BM4" i="1"/>
  <c r="BQ4" i="1"/>
  <c r="BL8" i="1"/>
  <c r="BN22" i="1"/>
  <c r="BN23" i="1"/>
  <c r="BP18" i="1"/>
  <c r="BR16" i="1"/>
  <c r="BL11" i="1"/>
  <c r="BR8" i="1"/>
  <c r="BN6" i="1"/>
  <c r="BR7" i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R21" i="1"/>
  <c r="BP20" i="1"/>
  <c r="BL18" i="1"/>
  <c r="BP19" i="1"/>
  <c r="BN15" i="1"/>
  <c r="BN8" i="1"/>
  <c r="BR5" i="1"/>
  <c r="BN7" i="1"/>
  <c r="BK12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N21" i="1"/>
  <c r="BR23" i="1"/>
  <c r="BP17" i="1"/>
  <c r="BL19" i="1"/>
  <c r="BN16" i="1"/>
  <c r="BR13" i="1"/>
  <c r="BP12" i="1"/>
  <c r="BL10" i="1"/>
  <c r="BP4" i="1"/>
  <c r="BK4" i="1"/>
  <c r="BF22" i="1"/>
  <c r="BG7" i="1"/>
  <c r="BG22" i="1"/>
  <c r="BF11" i="1"/>
  <c r="BF7" i="1"/>
  <c r="BF3" i="1"/>
  <c r="BG11" i="1"/>
  <c r="BG3" i="1"/>
  <c r="H56" i="1"/>
  <c r="J56" i="1"/>
  <c r="K56" i="1"/>
  <c r="M56" i="1"/>
  <c r="N56" i="1"/>
  <c r="F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G16" i="1"/>
  <c r="G17" i="1"/>
  <c r="O17" i="1" s="1"/>
  <c r="G18" i="1"/>
  <c r="G19" i="1"/>
  <c r="O19" i="1" s="1"/>
  <c r="G20" i="1"/>
  <c r="G21" i="1"/>
  <c r="O21" i="1" s="1"/>
  <c r="G22" i="1"/>
  <c r="G23" i="1"/>
  <c r="G24" i="1"/>
  <c r="G25" i="1"/>
  <c r="O25" i="1" s="1"/>
  <c r="G26" i="1"/>
  <c r="G27" i="1"/>
  <c r="O27" i="1" s="1"/>
  <c r="G28" i="1"/>
  <c r="G29" i="1"/>
  <c r="O29" i="1" s="1"/>
  <c r="G30" i="1"/>
  <c r="G31" i="1"/>
  <c r="O31" i="1" s="1"/>
  <c r="G32" i="1"/>
  <c r="G33" i="1"/>
  <c r="O33" i="1" s="1"/>
  <c r="G34" i="1"/>
  <c r="G35" i="1"/>
  <c r="O35" i="1" s="1"/>
  <c r="G36" i="1"/>
  <c r="O36" i="1" s="1"/>
  <c r="G37" i="1"/>
  <c r="O37" i="1" s="1"/>
  <c r="G38" i="1"/>
  <c r="G39" i="1"/>
  <c r="O39" i="1" s="1"/>
  <c r="G40" i="1"/>
  <c r="G41" i="1"/>
  <c r="O41" i="1" s="1"/>
  <c r="G42" i="1"/>
  <c r="G43" i="1"/>
  <c r="G44" i="1"/>
  <c r="G45" i="1"/>
  <c r="O45" i="1" s="1"/>
  <c r="G46" i="1"/>
  <c r="G47" i="1"/>
  <c r="O47" i="1" s="1"/>
  <c r="G48" i="1"/>
  <c r="G49" i="1"/>
  <c r="O49" i="1" s="1"/>
  <c r="G50" i="1"/>
  <c r="G51" i="1"/>
  <c r="G52" i="1"/>
  <c r="G53" i="1"/>
  <c r="O53" i="1" s="1"/>
  <c r="G54" i="1"/>
  <c r="G2" i="1"/>
  <c r="O8" i="1"/>
  <c r="O9" i="1"/>
  <c r="O15" i="1"/>
  <c r="O23" i="1"/>
  <c r="O28" i="1"/>
  <c r="O43" i="1"/>
  <c r="O51" i="1"/>
  <c r="BM5" i="1" l="1"/>
  <c r="BN5" i="1"/>
  <c r="BO9" i="1"/>
  <c r="BP9" i="1"/>
  <c r="BK20" i="1"/>
  <c r="BL20" i="1"/>
  <c r="O52" i="1"/>
  <c r="O40" i="1"/>
  <c r="O24" i="1"/>
  <c r="O16" i="1"/>
  <c r="O4" i="1"/>
  <c r="O44" i="1"/>
  <c r="O32" i="1"/>
  <c r="O12" i="1"/>
  <c r="G57" i="1"/>
  <c r="G58" i="1"/>
  <c r="G59" i="1"/>
  <c r="BR6" i="1"/>
  <c r="BQ6" i="1"/>
  <c r="BG15" i="1"/>
  <c r="BL16" i="1"/>
  <c r="BK16" i="1"/>
  <c r="BM13" i="1"/>
  <c r="BN13" i="1"/>
  <c r="I58" i="1"/>
  <c r="I59" i="1"/>
  <c r="I57" i="1"/>
  <c r="L57" i="1"/>
  <c r="L58" i="1"/>
  <c r="L59" i="1"/>
  <c r="O48" i="1"/>
  <c r="BK21" i="1" s="1"/>
  <c r="O20" i="1"/>
  <c r="BF19" i="1"/>
  <c r="BM20" i="1"/>
  <c r="BN20" i="1"/>
  <c r="BG19" i="1"/>
  <c r="BM17" i="1"/>
  <c r="BN17" i="1"/>
  <c r="BN9" i="1"/>
  <c r="BM9" i="1"/>
  <c r="BF15" i="1"/>
  <c r="I56" i="1"/>
  <c r="L56" i="1"/>
  <c r="G56" i="1"/>
  <c r="O2" i="1"/>
  <c r="O54" i="1"/>
  <c r="O50" i="1"/>
  <c r="BR22" i="1" s="1"/>
  <c r="O46" i="1"/>
  <c r="O42" i="1"/>
  <c r="O38" i="1"/>
  <c r="BK9" i="1" s="1"/>
  <c r="O34" i="1"/>
  <c r="BO7" i="1" s="1"/>
  <c r="O30" i="1"/>
  <c r="O26" i="1"/>
  <c r="O22" i="1"/>
  <c r="BA14" i="1" s="1"/>
  <c r="O18" i="1"/>
  <c r="O14" i="1"/>
  <c r="BG16" i="1" s="1"/>
  <c r="O10" i="1"/>
  <c r="O6" i="1"/>
  <c r="BQ19" i="1" l="1"/>
  <c r="BR19" i="1"/>
  <c r="BG18" i="1"/>
  <c r="BF18" i="1"/>
  <c r="Q39" i="1"/>
  <c r="BM10" i="1"/>
  <c r="BG9" i="1"/>
  <c r="BN10" i="1"/>
  <c r="BF9" i="1"/>
  <c r="BO21" i="1"/>
  <c r="BP21" i="1"/>
  <c r="BG20" i="1"/>
  <c r="BF20" i="1"/>
  <c r="BP5" i="1"/>
  <c r="BO5" i="1"/>
  <c r="BR15" i="1"/>
  <c r="BQ15" i="1"/>
  <c r="BF14" i="1"/>
  <c r="BG14" i="1"/>
  <c r="BB15" i="1"/>
  <c r="BA15" i="1"/>
  <c r="O59" i="1"/>
  <c r="O58" i="1"/>
  <c r="O57" i="1"/>
  <c r="BK5" i="1"/>
  <c r="BL5" i="1"/>
  <c r="BG4" i="1"/>
  <c r="BF4" i="1"/>
  <c r="BN14" i="1"/>
  <c r="BG13" i="1"/>
  <c r="BF13" i="1"/>
  <c r="BM14" i="1"/>
  <c r="BF17" i="1"/>
  <c r="BM18" i="1"/>
  <c r="BN18" i="1"/>
  <c r="BG17" i="1"/>
  <c r="BF8" i="1"/>
  <c r="BQ22" i="1"/>
  <c r="BF16" i="1"/>
  <c r="BF6" i="1"/>
  <c r="BL9" i="1"/>
  <c r="BF21" i="1"/>
  <c r="BL17" i="1"/>
  <c r="BP7" i="1"/>
  <c r="BO11" i="1"/>
  <c r="BF10" i="1"/>
  <c r="BP11" i="1"/>
  <c r="BG10" i="1"/>
  <c r="BL13" i="1"/>
  <c r="BG12" i="1"/>
  <c r="BK13" i="1"/>
  <c r="BF12" i="1"/>
  <c r="BG8" i="1"/>
  <c r="BG6" i="1"/>
  <c r="BG21" i="1"/>
  <c r="BK17" i="1"/>
  <c r="BB14" i="1"/>
  <c r="BL21" i="1"/>
  <c r="BQ14" i="1"/>
  <c r="BR14" i="1"/>
  <c r="BP10" i="1"/>
  <c r="BO10" i="1"/>
  <c r="BO6" i="1"/>
  <c r="BP6" i="1"/>
  <c r="BG5" i="1"/>
  <c r="BF5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  <c r="V15" i="1" l="1"/>
  <c r="V48" i="1"/>
  <c r="V9" i="1"/>
  <c r="V35" i="1"/>
  <c r="V52" i="1"/>
  <c r="V21" i="1"/>
  <c r="V53" i="1"/>
  <c r="V14" i="1"/>
  <c r="V54" i="1"/>
  <c r="V34" i="1"/>
  <c r="V10" i="1"/>
  <c r="V31" i="1"/>
  <c r="V47" i="1"/>
  <c r="V16" i="1"/>
  <c r="V41" i="1"/>
  <c r="V19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32" i="1"/>
  <c r="V11" i="1"/>
  <c r="V20" i="1"/>
  <c r="V37" i="1"/>
  <c r="V26" i="1"/>
  <c r="V38" i="1"/>
  <c r="V25" i="1"/>
  <c r="V28" i="1"/>
  <c r="V3" i="1"/>
  <c r="V30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3" i="1"/>
  <c r="AF4" i="1"/>
  <c r="AF3" i="1"/>
  <c r="AG7" i="1"/>
  <c r="AH5" i="1"/>
  <c r="AF6" i="1"/>
  <c r="AF5" i="1"/>
  <c r="AG3" i="1"/>
  <c r="AH6" i="1"/>
  <c r="AG4" i="1"/>
  <c r="AF7" i="1"/>
  <c r="W15" i="1" l="1"/>
  <c r="W9" i="1"/>
  <c r="W52" i="1"/>
  <c r="W53" i="1"/>
  <c r="W54" i="1"/>
  <c r="W10" i="1"/>
  <c r="W47" i="1"/>
  <c r="W41" i="1"/>
  <c r="W23" i="1"/>
  <c r="W17" i="1"/>
  <c r="W51" i="1"/>
  <c r="W43" i="1"/>
  <c r="W2" i="1"/>
  <c r="W22" i="1"/>
  <c r="W18" i="1"/>
  <c r="W11" i="1"/>
  <c r="W37" i="1"/>
  <c r="W38" i="1"/>
  <c r="W28" i="1"/>
  <c r="W30" i="1"/>
  <c r="W39" i="1"/>
  <c r="W40" i="1"/>
  <c r="W33" i="1"/>
  <c r="W27" i="1"/>
  <c r="W13" i="1"/>
  <c r="W6" i="1"/>
  <c r="W50" i="1"/>
  <c r="W48" i="1"/>
  <c r="W35" i="1"/>
  <c r="W21" i="1"/>
  <c r="W14" i="1"/>
  <c r="W34" i="1"/>
  <c r="W31" i="1"/>
  <c r="W16" i="1"/>
  <c r="W19" i="1"/>
  <c r="W24" i="1"/>
  <c r="W49" i="1"/>
  <c r="W12" i="1"/>
  <c r="W4" i="1"/>
  <c r="W29" i="1"/>
  <c r="W42" i="1"/>
  <c r="W32" i="1"/>
  <c r="W20" i="1"/>
  <c r="W26" i="1"/>
  <c r="W25" i="1"/>
  <c r="W3" i="1"/>
  <c r="W5" i="1"/>
  <c r="W8" i="1"/>
  <c r="W7" i="1"/>
  <c r="W44" i="1"/>
  <c r="W36" i="1"/>
  <c r="W45" i="1"/>
  <c r="W46" i="1"/>
  <c r="AR13" i="1" l="1"/>
  <c r="AP14" i="1"/>
  <c r="AR12" i="1"/>
  <c r="AX13" i="1"/>
  <c r="AQ12" i="1"/>
  <c r="AW13" i="1"/>
  <c r="AR14" i="1"/>
  <c r="AU14" i="1"/>
  <c r="AW12" i="1"/>
  <c r="AU13" i="1"/>
  <c r="AT13" i="1"/>
  <c r="AP12" i="1"/>
  <c r="AQ14" i="1"/>
  <c r="AS12" i="1"/>
  <c r="AX14" i="1"/>
  <c r="AQ13" i="1"/>
  <c r="AW14" i="1"/>
  <c r="AP13" i="1"/>
  <c r="AT12" i="1"/>
  <c r="AV14" i="1"/>
  <c r="AV13" i="1"/>
  <c r="AT14" i="1"/>
  <c r="AV12" i="1"/>
  <c r="AS14" i="1"/>
  <c r="AU12" i="1"/>
  <c r="AX12" i="1"/>
  <c r="AS13" i="1"/>
  <c r="AU10" i="1"/>
  <c r="AX10" i="1"/>
  <c r="AQ9" i="1"/>
  <c r="AR11" i="1"/>
  <c r="AT9" i="1"/>
  <c r="AS9" i="1"/>
  <c r="AX11" i="1"/>
  <c r="AQ10" i="1"/>
  <c r="AT10" i="1"/>
  <c r="AW10" i="1"/>
  <c r="AP9" i="1"/>
  <c r="AU11" i="1"/>
  <c r="AT11" i="1"/>
  <c r="AV9" i="1"/>
  <c r="AW11" i="1"/>
  <c r="AP10" i="1"/>
  <c r="AS10" i="1"/>
  <c r="AV10" i="1"/>
  <c r="AW9" i="1"/>
  <c r="AP11" i="1"/>
  <c r="AR9" i="1"/>
  <c r="AS11" i="1"/>
  <c r="AU9" i="1"/>
  <c r="AV11" i="1"/>
  <c r="AX9" i="1"/>
  <c r="AR10" i="1"/>
  <c r="AQ11" i="1"/>
  <c r="AU33" i="1"/>
  <c r="AS35" i="1"/>
  <c r="AR33" i="1"/>
  <c r="AP35" i="1"/>
  <c r="AW33" i="1"/>
  <c r="AU35" i="1"/>
  <c r="AP33" i="1"/>
  <c r="AP34" i="1"/>
  <c r="AW35" i="1"/>
  <c r="AV33" i="1"/>
  <c r="AT35" i="1"/>
  <c r="AR34" i="1"/>
  <c r="AW34" i="1"/>
  <c r="AT33" i="1"/>
  <c r="AT34" i="1"/>
  <c r="AQ34" i="1"/>
  <c r="AX35" i="1"/>
  <c r="AV34" i="1"/>
  <c r="AR35" i="1"/>
  <c r="AX33" i="1"/>
  <c r="AQ33" i="1"/>
  <c r="AX34" i="1"/>
  <c r="AU34" i="1"/>
  <c r="AS33" i="1"/>
  <c r="AQ35" i="1"/>
  <c r="AS34" i="1"/>
  <c r="AV35" i="1"/>
  <c r="AE36" i="1"/>
  <c r="AE37" i="1"/>
  <c r="AE32" i="1"/>
  <c r="AP18" i="1"/>
  <c r="AP19" i="1"/>
  <c r="AV18" i="1"/>
  <c r="AV19" i="1"/>
  <c r="AU19" i="1"/>
  <c r="AR20" i="1"/>
  <c r="AT18" i="1"/>
  <c r="AW20" i="1"/>
  <c r="AD31" i="1"/>
  <c r="AC26" i="1"/>
  <c r="AC23" i="1"/>
  <c r="AE38" i="1"/>
  <c r="AE33" i="1"/>
  <c r="AE39" i="1"/>
  <c r="AE35" i="1"/>
  <c r="AT19" i="1"/>
  <c r="AQ19" i="1"/>
  <c r="AQ20" i="1"/>
  <c r="AS18" i="1"/>
  <c r="AV20" i="1"/>
  <c r="AS19" i="1"/>
  <c r="AW18" i="1"/>
  <c r="AD32" i="1"/>
  <c r="AE34" i="1"/>
  <c r="AE31" i="1"/>
  <c r="AQ18" i="1"/>
  <c r="AU20" i="1"/>
  <c r="AR19" i="1"/>
  <c r="AP20" i="1"/>
  <c r="AX19" i="1"/>
  <c r="AT20" i="1"/>
  <c r="AD35" i="1"/>
  <c r="AD36" i="1"/>
  <c r="AD37" i="1"/>
  <c r="AU18" i="1"/>
  <c r="AX18" i="1"/>
  <c r="AX20" i="1"/>
  <c r="AD33" i="1"/>
  <c r="AC20" i="1"/>
  <c r="AW19" i="1"/>
  <c r="AD39" i="1"/>
  <c r="AC22" i="1"/>
  <c r="AC19" i="1"/>
  <c r="AC24" i="1"/>
  <c r="AC21" i="1"/>
  <c r="AR18" i="1"/>
  <c r="AS20" i="1"/>
  <c r="AD38" i="1"/>
  <c r="AD34" i="1"/>
  <c r="AC27" i="1"/>
  <c r="AC25" i="1"/>
  <c r="AG34" i="1"/>
  <c r="AG35" i="1"/>
  <c r="AG36" i="1"/>
  <c r="AG31" i="1"/>
  <c r="AG38" i="1"/>
  <c r="AG39" i="1"/>
  <c r="AG33" i="1"/>
  <c r="AG37" i="1"/>
  <c r="AS31" i="1"/>
  <c r="AU30" i="1"/>
  <c r="AS32" i="1"/>
  <c r="AR30" i="1"/>
  <c r="AP32" i="1"/>
  <c r="AV31" i="1"/>
  <c r="AU32" i="1"/>
  <c r="AF32" i="1"/>
  <c r="AD26" i="1"/>
  <c r="AP30" i="1"/>
  <c r="AW31" i="1"/>
  <c r="AP31" i="1"/>
  <c r="AW32" i="1"/>
  <c r="AV30" i="1"/>
  <c r="AT32" i="1"/>
  <c r="AF34" i="1"/>
  <c r="AF35" i="1"/>
  <c r="AG32" i="1"/>
  <c r="AT30" i="1"/>
  <c r="AR32" i="1"/>
  <c r="AT31" i="1"/>
  <c r="AQ31" i="1"/>
  <c r="AX32" i="1"/>
  <c r="AR31" i="1"/>
  <c r="AS30" i="1"/>
  <c r="AF38" i="1"/>
  <c r="AF39" i="1"/>
  <c r="AD21" i="1"/>
  <c r="AD23" i="1"/>
  <c r="AD20" i="1"/>
  <c r="AX30" i="1"/>
  <c r="AU31" i="1"/>
  <c r="AQ32" i="1"/>
  <c r="AF31" i="1"/>
  <c r="AF33" i="1"/>
  <c r="AD27" i="1"/>
  <c r="AD24" i="1"/>
  <c r="AD19" i="1"/>
  <c r="AV32" i="1"/>
  <c r="AQ30" i="1"/>
  <c r="AF36" i="1"/>
  <c r="AF37" i="1"/>
  <c r="AD25" i="1"/>
  <c r="AX31" i="1"/>
  <c r="AW30" i="1"/>
  <c r="AD22" i="1"/>
  <c r="AR48" i="1"/>
  <c r="AP50" i="1"/>
  <c r="AS48" i="1"/>
  <c r="AQ50" i="1"/>
  <c r="AT48" i="1"/>
  <c r="AR50" i="1"/>
  <c r="AT49" i="1"/>
  <c r="AS50" i="1"/>
  <c r="AV48" i="1"/>
  <c r="AT50" i="1"/>
  <c r="AW48" i="1"/>
  <c r="AU50" i="1"/>
  <c r="AX48" i="1"/>
  <c r="AV50" i="1"/>
  <c r="AP49" i="1"/>
  <c r="AQ49" i="1"/>
  <c r="AX50" i="1"/>
  <c r="AR49" i="1"/>
  <c r="AS49" i="1"/>
  <c r="AQ48" i="1"/>
  <c r="AW50" i="1"/>
  <c r="AU49" i="1"/>
  <c r="AV49" i="1"/>
  <c r="AP48" i="1"/>
  <c r="AW49" i="1"/>
  <c r="AX49" i="1"/>
  <c r="AU48" i="1"/>
  <c r="AQ45" i="1"/>
  <c r="AX46" i="1"/>
  <c r="AU46" i="1"/>
  <c r="AV46" i="1"/>
  <c r="AW46" i="1"/>
  <c r="AT45" i="1"/>
  <c r="AU45" i="1"/>
  <c r="AS47" i="1"/>
  <c r="AR45" i="1"/>
  <c r="AP47" i="1"/>
  <c r="AS45" i="1"/>
  <c r="AQ47" i="1"/>
  <c r="AR47" i="1"/>
  <c r="AP46" i="1"/>
  <c r="AW47" i="1"/>
  <c r="AV45" i="1"/>
  <c r="AT47" i="1"/>
  <c r="AW45" i="1"/>
  <c r="AU47" i="1"/>
  <c r="AV47" i="1"/>
  <c r="AT46" i="1"/>
  <c r="AQ46" i="1"/>
  <c r="AX47" i="1"/>
  <c r="AR46" i="1"/>
  <c r="AS46" i="1"/>
  <c r="AP45" i="1"/>
  <c r="AX45" i="1"/>
  <c r="AI37" i="1"/>
  <c r="AI33" i="1"/>
  <c r="AI39" i="1"/>
  <c r="AX42" i="1"/>
  <c r="AV44" i="1"/>
  <c r="AQ42" i="1"/>
  <c r="AX43" i="1"/>
  <c r="AU43" i="1"/>
  <c r="AW42" i="1"/>
  <c r="AH33" i="1"/>
  <c r="AH34" i="1"/>
  <c r="AH32" i="1"/>
  <c r="AH35" i="1"/>
  <c r="AI36" i="1"/>
  <c r="AI35" i="1"/>
  <c r="AI38" i="1"/>
  <c r="AS43" i="1"/>
  <c r="AU42" i="1"/>
  <c r="AS44" i="1"/>
  <c r="AR42" i="1"/>
  <c r="AP44" i="1"/>
  <c r="AU44" i="1"/>
  <c r="AV43" i="1"/>
  <c r="AH37" i="1"/>
  <c r="AH38" i="1"/>
  <c r="AI32" i="1"/>
  <c r="AI31" i="1"/>
  <c r="AI34" i="1"/>
  <c r="AP42" i="1"/>
  <c r="AW43" i="1"/>
  <c r="AP43" i="1"/>
  <c r="AW44" i="1"/>
  <c r="AV42" i="1"/>
  <c r="AT44" i="1"/>
  <c r="AQ44" i="1"/>
  <c r="AH36" i="1"/>
  <c r="AH31" i="1"/>
  <c r="AE24" i="1"/>
  <c r="AE21" i="1"/>
  <c r="AR44" i="1"/>
  <c r="AX44" i="1"/>
  <c r="AR43" i="1"/>
  <c r="AS42" i="1"/>
  <c r="AH39" i="1"/>
  <c r="AE20" i="1"/>
  <c r="AE26" i="1"/>
  <c r="AE23" i="1"/>
  <c r="AT43" i="1"/>
  <c r="AE25" i="1"/>
  <c r="AE19" i="1"/>
  <c r="AE27" i="1"/>
  <c r="AE22" i="1"/>
  <c r="AT42" i="1"/>
  <c r="AQ43" i="1"/>
  <c r="AP25" i="1"/>
  <c r="AW26" i="1"/>
  <c r="AV26" i="1"/>
  <c r="AV24" i="1"/>
  <c r="AT26" i="1"/>
  <c r="AS24" i="1"/>
  <c r="AQ26" i="1"/>
  <c r="AW25" i="1"/>
  <c r="AT25" i="1"/>
  <c r="AQ25" i="1"/>
  <c r="AX26" i="1"/>
  <c r="AX24" i="1"/>
  <c r="AW24" i="1"/>
  <c r="AU26" i="1"/>
  <c r="AQ24" i="1"/>
  <c r="AX25" i="1"/>
  <c r="AP24" i="1"/>
  <c r="AU25" i="1"/>
  <c r="AR26" i="1"/>
  <c r="AR25" i="1"/>
  <c r="AU24" i="1"/>
  <c r="AS26" i="1"/>
  <c r="AS25" i="1"/>
  <c r="AR24" i="1"/>
  <c r="AP26" i="1"/>
  <c r="AV25" i="1"/>
  <c r="AT24" i="1"/>
  <c r="AX21" i="1"/>
  <c r="AV23" i="1"/>
  <c r="AS21" i="1"/>
  <c r="AU21" i="1"/>
  <c r="AS23" i="1"/>
  <c r="AR22" i="1"/>
  <c r="AR21" i="1"/>
  <c r="AP23" i="1"/>
  <c r="AW21" i="1"/>
  <c r="AS22" i="1"/>
  <c r="AV22" i="1"/>
  <c r="AP22" i="1"/>
  <c r="AW23" i="1"/>
  <c r="AU23" i="1"/>
  <c r="AV21" i="1"/>
  <c r="AT23" i="1"/>
  <c r="AQ23" i="1"/>
  <c r="AP21" i="1"/>
  <c r="AW22" i="1"/>
  <c r="AT22" i="1"/>
  <c r="AQ22" i="1"/>
  <c r="AX23" i="1"/>
  <c r="AT21" i="1"/>
  <c r="AR23" i="1"/>
  <c r="AQ21" i="1"/>
  <c r="AX22" i="1"/>
  <c r="AU22" i="1"/>
  <c r="AT54" i="1"/>
  <c r="AR56" i="1"/>
  <c r="AT55" i="1"/>
  <c r="AQ55" i="1"/>
  <c r="AX56" i="1"/>
  <c r="AR55" i="1"/>
  <c r="AX54" i="1"/>
  <c r="AV56" i="1"/>
  <c r="AQ54" i="1"/>
  <c r="AX55" i="1"/>
  <c r="AU55" i="1"/>
  <c r="AW54" i="1"/>
  <c r="AV55" i="1"/>
  <c r="AS55" i="1"/>
  <c r="AU54" i="1"/>
  <c r="AS56" i="1"/>
  <c r="AR54" i="1"/>
  <c r="AP56" i="1"/>
  <c r="AS54" i="1"/>
  <c r="AU56" i="1"/>
  <c r="AW56" i="1"/>
  <c r="AP54" i="1"/>
  <c r="AV54" i="1"/>
  <c r="AW55" i="1"/>
  <c r="AT56" i="1"/>
  <c r="AP55" i="1"/>
  <c r="AQ56" i="1"/>
  <c r="AT58" i="1"/>
  <c r="AQ58" i="1"/>
  <c r="AX59" i="1"/>
  <c r="AW57" i="1"/>
  <c r="AU59" i="1"/>
  <c r="AQ57" i="1"/>
  <c r="AX58" i="1"/>
  <c r="AU58" i="1"/>
  <c r="AR58" i="1"/>
  <c r="AX57" i="1"/>
  <c r="AR59" i="1"/>
  <c r="AU57" i="1"/>
  <c r="AS59" i="1"/>
  <c r="AR57" i="1"/>
  <c r="AP59" i="1"/>
  <c r="AV58" i="1"/>
  <c r="AV59" i="1"/>
  <c r="AS58" i="1"/>
  <c r="AP57" i="1"/>
  <c r="AT57" i="1"/>
  <c r="AP58" i="1"/>
  <c r="AW59" i="1"/>
  <c r="AV57" i="1"/>
  <c r="AT59" i="1"/>
  <c r="AS57" i="1"/>
  <c r="AQ59" i="1"/>
  <c r="AW58" i="1"/>
  <c r="AK36" i="1"/>
  <c r="AK37" i="1"/>
  <c r="AK31" i="1"/>
  <c r="AK34" i="1"/>
  <c r="AJ36" i="1"/>
  <c r="AJ31" i="1"/>
  <c r="AJ37" i="1"/>
  <c r="AJ38" i="1"/>
  <c r="AF19" i="1"/>
  <c r="AK38" i="1"/>
  <c r="AK32" i="1"/>
  <c r="AK33" i="1"/>
  <c r="AK35" i="1"/>
  <c r="AK39" i="1"/>
  <c r="AJ35" i="1"/>
  <c r="AJ39" i="1"/>
  <c r="AF27" i="1"/>
  <c r="AF24" i="1"/>
  <c r="AF26" i="1"/>
  <c r="AJ34" i="1"/>
  <c r="AF23" i="1"/>
  <c r="AF20" i="1"/>
  <c r="AF21" i="1"/>
  <c r="AJ33" i="1"/>
  <c r="AF22" i="1"/>
  <c r="AJ32" i="1"/>
  <c r="AF25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P37" i="1"/>
  <c r="AU37" i="1"/>
  <c r="AS36" i="1"/>
  <c r="AQ38" i="1"/>
  <c r="AP36" i="1"/>
  <c r="AW37" i="1"/>
  <c r="AW38" i="1"/>
  <c r="AX37" i="1"/>
  <c r="AR36" i="1"/>
  <c r="AP38" i="1"/>
  <c r="AW36" i="1"/>
  <c r="AU38" i="1"/>
  <c r="AT36" i="1"/>
  <c r="AR38" i="1"/>
  <c r="AT37" i="1"/>
  <c r="AX39" i="1"/>
  <c r="AX41" i="1"/>
  <c r="AQ40" i="1"/>
  <c r="AP41" i="1"/>
  <c r="AV39" i="1"/>
  <c r="AV41" i="1"/>
  <c r="AW41" i="1"/>
  <c r="AS40" i="1"/>
  <c r="AS41" i="1"/>
  <c r="AW40" i="1"/>
  <c r="AT40" i="1"/>
  <c r="AU40" i="1"/>
  <c r="AR40" i="1"/>
  <c r="AP40" i="1"/>
  <c r="AP39" i="1"/>
  <c r="AS39" i="1"/>
  <c r="AX40" i="1"/>
  <c r="AQ39" i="1"/>
  <c r="AQ41" i="1"/>
  <c r="AV40" i="1"/>
  <c r="AT39" i="1"/>
  <c r="AT41" i="1"/>
  <c r="AU39" i="1"/>
  <c r="AU41" i="1"/>
  <c r="AR39" i="1"/>
  <c r="AR41" i="1"/>
  <c r="AW39" i="1"/>
  <c r="BB11" i="1"/>
  <c r="BB9" i="1"/>
  <c r="BB7" i="1"/>
  <c r="BB5" i="1"/>
  <c r="BB3" i="1"/>
  <c r="BA6" i="1"/>
  <c r="BA11" i="1"/>
  <c r="BA9" i="1"/>
  <c r="BA7" i="1"/>
  <c r="BA5" i="1"/>
  <c r="BA3" i="1"/>
  <c r="BA10" i="1"/>
  <c r="BA8" i="1"/>
  <c r="BA4" i="1"/>
  <c r="BB10" i="1"/>
  <c r="BB8" i="1"/>
  <c r="BB6" i="1"/>
  <c r="BB4" i="1"/>
  <c r="AC39" i="1"/>
  <c r="AC34" i="1"/>
  <c r="AC32" i="1"/>
  <c r="AC35" i="1"/>
  <c r="AS8" i="1"/>
  <c r="AU6" i="1"/>
  <c r="AW7" i="1"/>
  <c r="AP6" i="1"/>
  <c r="AR7" i="1"/>
  <c r="AQ7" i="1"/>
  <c r="AR6" i="1"/>
  <c r="AB35" i="1"/>
  <c r="AB23" i="1"/>
  <c r="AB20" i="1"/>
  <c r="AC31" i="1"/>
  <c r="AC33" i="1"/>
  <c r="AC37" i="1"/>
  <c r="AX7" i="1"/>
  <c r="AQ6" i="1"/>
  <c r="AS7" i="1"/>
  <c r="AU8" i="1"/>
  <c r="AW6" i="1"/>
  <c r="AT8" i="1"/>
  <c r="AU7" i="1"/>
  <c r="AB31" i="1"/>
  <c r="AC38" i="1"/>
  <c r="AC36" i="1"/>
  <c r="AT7" i="1"/>
  <c r="AV8" i="1"/>
  <c r="AX6" i="1"/>
  <c r="AQ8" i="1"/>
  <c r="AS6" i="1"/>
  <c r="AV6" i="1"/>
  <c r="AB32" i="1"/>
  <c r="AB33" i="1"/>
  <c r="AB34" i="1"/>
  <c r="AB36" i="1"/>
  <c r="AB37" i="1"/>
  <c r="AB27" i="1"/>
  <c r="AB24" i="1"/>
  <c r="AW8" i="1"/>
  <c r="AX8" i="1"/>
  <c r="AB21" i="1"/>
  <c r="AB38" i="1"/>
  <c r="AB26" i="1"/>
  <c r="AP7" i="1"/>
  <c r="AR8" i="1"/>
  <c r="AP8" i="1"/>
  <c r="AB25" i="1"/>
  <c r="AB22" i="1"/>
  <c r="AT6" i="1"/>
  <c r="AV7" i="1"/>
  <c r="AB39" i="1"/>
  <c r="AB19" i="1"/>
  <c r="AX52" i="1"/>
  <c r="AU51" i="1"/>
  <c r="AU53" i="1"/>
  <c r="AR51" i="1"/>
  <c r="AR53" i="1"/>
  <c r="AT51" i="1"/>
  <c r="AT53" i="1"/>
  <c r="AQ52" i="1"/>
  <c r="AP52" i="1"/>
  <c r="AV51" i="1"/>
  <c r="AV53" i="1"/>
  <c r="AS51" i="1"/>
  <c r="AX51" i="1"/>
  <c r="AX53" i="1"/>
  <c r="AU52" i="1"/>
  <c r="AR52" i="1"/>
  <c r="AP53" i="1"/>
  <c r="AS53" i="1"/>
  <c r="AW51" i="1"/>
  <c r="AS52" i="1"/>
  <c r="AT52" i="1"/>
  <c r="AQ51" i="1"/>
  <c r="AQ53" i="1"/>
  <c r="AV52" i="1"/>
  <c r="AW53" i="1"/>
  <c r="AW52" i="1"/>
  <c r="AP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<sst xmlns="http://schemas.openxmlformats.org/spreadsheetml/2006/main" count="257" uniqueCount="136">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</sst>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0" fillId="0" borderId="13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34" borderId="32" xfId="0" applyFont="1" applyFill="1" applyBorder="1" applyAlignment="1">
      <alignment horizontal="center" vertical="center"/>
    </xf>
    <xf numFmtId="0" fontId="20" fillId="34" borderId="32" xfId="0" applyNumberFormat="1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51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3" xfId="0" applyFont="1" applyFill="1" applyBorder="1" applyAlignment="1">
      <alignment horizontal="center" vertical="center"/>
    </xf>
    <xf numFmtId="0" fontId="20" fillId="33" borderId="57" xfId="0" applyFont="1" applyFill="1" applyBorder="1" applyAlignment="1">
      <alignment horizontal="center" vertical="center"/>
    </xf>
    <xf numFmtId="0" fontId="20" fillId="33" borderId="55" xfId="0" applyFont="1" applyFill="1" applyBorder="1" applyAlignment="1">
      <alignment horizontal="center" vertical="center"/>
    </xf>
    <xf numFmtId="0" fontId="20" fillId="33" borderId="52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5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59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/>
    </xf>
    <xf numFmtId="0" fontId="23" fillId="35" borderId="71" xfId="0" applyFont="1" applyFill="1" applyBorder="1" applyAlignment="1">
      <alignment horizontal="center" vertical="center"/>
    </xf>
    <xf numFmtId="0" fontId="23" fillId="35" borderId="6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72" xfId="0" applyFont="1" applyFill="1" applyBorder="1" applyAlignment="1">
      <alignment horizontal="center" vertical="center"/>
    </xf>
    <xf numFmtId="0" fontId="23" fillId="35" borderId="73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77" xfId="0" applyFont="1" applyFill="1" applyBorder="1" applyAlignment="1">
      <alignment horizontal="center" vertical="center"/>
    </xf>
    <xf numFmtId="0" fontId="23" fillId="35" borderId="80" xfId="0" applyFont="1" applyFill="1" applyBorder="1" applyAlignment="1">
      <alignment horizontal="center" vertical="center"/>
    </xf>
    <xf numFmtId="0" fontId="23" fillId="35" borderId="81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8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0" fillId="36" borderId="44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53" xfId="0" applyFont="1" applyFill="1" applyBorder="1" applyAlignment="1">
      <alignment horizontal="center" vertical="center"/>
    </xf>
    <xf numFmtId="0" fontId="20" fillId="36" borderId="5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0" fillId="36" borderId="108" xfId="0" applyFont="1" applyFill="1" applyBorder="1" applyAlignment="1">
      <alignment horizontal="center" vertical="center"/>
    </xf>
    <xf numFmtId="0" fontId="20" fillId="36" borderId="109" xfId="0" applyFont="1" applyFill="1" applyBorder="1" applyAlignment="1">
      <alignment horizontal="center" vertical="center"/>
    </xf>
    <xf numFmtId="0" fontId="20" fillId="36" borderId="110" xfId="0" applyFont="1" applyFill="1" applyBorder="1" applyAlignment="1">
      <alignment horizontal="center" vertical="center"/>
    </xf>
    <xf numFmtId="0" fontId="20" fillId="36" borderId="111" xfId="0" applyFont="1" applyFill="1" applyBorder="1" applyAlignment="1">
      <alignment horizontal="center" vertical="center"/>
    </xf>
    <xf numFmtId="0" fontId="20" fillId="36" borderId="113" xfId="0" applyFont="1" applyFill="1" applyBorder="1" applyAlignment="1">
      <alignment horizontal="center" vertical="center"/>
    </xf>
    <xf numFmtId="0" fontId="20" fillId="36" borderId="112" xfId="0" applyFont="1" applyFill="1" applyBorder="1" applyAlignment="1">
      <alignment horizontal="center" vertical="center"/>
    </xf>
    <xf numFmtId="0" fontId="20" fillId="36" borderId="114" xfId="0" applyFont="1" applyFill="1" applyBorder="1" applyAlignment="1">
      <alignment horizontal="center" vertical="center"/>
    </xf>
    <xf numFmtId="0" fontId="20" fillId="36" borderId="115" xfId="0" applyFont="1" applyFill="1" applyBorder="1" applyAlignment="1">
      <alignment horizontal="center" vertical="center"/>
    </xf>
    <xf numFmtId="0" fontId="20" fillId="36" borderId="116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36" borderId="118" xfId="0" applyFont="1" applyFill="1" applyBorder="1" applyAlignment="1">
      <alignment horizontal="center" vertical="center"/>
    </xf>
    <xf numFmtId="0" fontId="20" fillId="36" borderId="11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51" xfId="0" applyFont="1" applyFill="1" applyBorder="1" applyAlignment="1">
      <alignment horizontal="center" vertical="center"/>
    </xf>
    <xf numFmtId="0" fontId="20" fillId="35" borderId="54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128" xfId="0" applyFont="1" applyFill="1" applyBorder="1" applyAlignment="1">
      <alignment horizontal="center" vertical="center"/>
    </xf>
    <xf numFmtId="0" fontId="20" fillId="35" borderId="129" xfId="0" applyFont="1" applyFill="1" applyBorder="1" applyAlignment="1">
      <alignment horizontal="center" vertical="center"/>
    </xf>
    <xf numFmtId="0" fontId="20" fillId="35" borderId="130" xfId="0" applyFont="1" applyFill="1" applyBorder="1" applyAlignment="1">
      <alignment horizontal="center" vertical="center"/>
    </xf>
    <xf numFmtId="0" fontId="20" fillId="35" borderId="13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132" xfId="0" applyFont="1" applyFill="1" applyBorder="1" applyAlignment="1">
      <alignment horizontal="center" vertical="center"/>
    </xf>
    <xf numFmtId="0" fontId="20" fillId="35" borderId="133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134" xfId="0" applyFont="1" applyFill="1" applyBorder="1" applyAlignment="1">
      <alignment horizontal="center" vertical="center"/>
    </xf>
    <xf numFmtId="0" fontId="20" fillId="35" borderId="135" xfId="0" applyFont="1" applyFill="1" applyBorder="1" applyAlignment="1">
      <alignment horizontal="center" vertical="center"/>
    </xf>
    <xf numFmtId="0" fontId="20" fillId="35" borderId="136" xfId="0" applyFont="1" applyFill="1" applyBorder="1" applyAlignment="1">
      <alignment horizontal="center" vertical="center"/>
    </xf>
    <xf numFmtId="0" fontId="20" fillId="35" borderId="137" xfId="0" applyFont="1" applyFill="1" applyBorder="1" applyAlignment="1">
      <alignment horizontal="center" vertical="center"/>
    </xf>
    <xf numFmtId="0" fontId="20" fillId="35" borderId="138" xfId="0" applyFont="1" applyFill="1" applyBorder="1" applyAlignment="1">
      <alignment horizontal="center" vertical="center"/>
    </xf>
    <xf numFmtId="0" fontId="20" fillId="35" borderId="139" xfId="0" applyFont="1" applyFill="1" applyBorder="1" applyAlignment="1">
      <alignment horizontal="center" vertical="center"/>
    </xf>
    <xf numFmtId="0" fontId="20" fillId="35" borderId="140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49" fontId="20" fillId="33" borderId="21" xfId="0" applyNumberFormat="1" applyFont="1" applyFill="1" applyBorder="1" applyAlignment="1">
      <alignment horizontal="center" vertical="center" wrapText="1"/>
    </xf>
    <xf numFmtId="49" fontId="20" fillId="33" borderId="22" xfId="0" applyNumberFormat="1" applyFont="1" applyFill="1" applyBorder="1" applyAlignment="1">
      <alignment horizontal="center" vertical="center" wrapText="1"/>
    </xf>
    <xf numFmtId="49" fontId="20" fillId="33" borderId="24" xfId="0" applyNumberFormat="1" applyFont="1" applyFill="1" applyBorder="1" applyAlignment="1">
      <alignment horizontal="center" vertical="center" wrapText="1"/>
    </xf>
    <xf numFmtId="49" fontId="20" fillId="33" borderId="14" xfId="0" applyNumberFormat="1" applyFont="1" applyFill="1" applyBorder="1" applyAlignment="1">
      <alignment horizontal="center" vertical="center" wrapText="1"/>
    </xf>
    <xf numFmtId="49" fontId="20" fillId="33" borderId="15" xfId="0" applyNumberFormat="1" applyFont="1" applyFill="1" applyBorder="1" applyAlignment="1">
      <alignment horizontal="center" vertical="center" wrapText="1"/>
    </xf>
    <xf numFmtId="49" fontId="20" fillId="33" borderId="17" xfId="0" applyNumberFormat="1" applyFont="1" applyFill="1" applyBorder="1" applyAlignment="1">
      <alignment horizontal="center" vertical="center" wrapText="1"/>
    </xf>
    <xf numFmtId="49" fontId="20" fillId="33" borderId="28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76" xfId="0" applyFont="1" applyFill="1" applyBorder="1" applyAlignment="1">
      <alignment horizontal="center" vertical="center"/>
    </xf>
    <xf numFmtId="0" fontId="20" fillId="35" borderId="78" xfId="0" applyFont="1" applyFill="1" applyBorder="1" applyAlignment="1">
      <alignment horizontal="center" vertical="center"/>
    </xf>
    <xf numFmtId="0" fontId="20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66" xfId="0" applyFont="1" applyFill="1" applyBorder="1" applyAlignment="1">
      <alignment horizontal="center" vertical="center"/>
    </xf>
    <xf numFmtId="0" fontId="23" fillId="33" borderId="48" xfId="0" applyFont="1" applyFill="1" applyBorder="1" applyAlignment="1">
      <alignment horizontal="center" vertical="center"/>
    </xf>
    <xf numFmtId="0" fontId="23" fillId="33" borderId="67" xfId="0" applyFont="1" applyFill="1" applyBorder="1" applyAlignment="1">
      <alignment horizontal="center" vertical="center" wrapText="1"/>
    </xf>
    <xf numFmtId="0" fontId="23" fillId="33" borderId="68" xfId="0" applyFont="1" applyFill="1" applyBorder="1" applyAlignment="1">
      <alignment horizontal="center" vertical="center" wrapText="1"/>
    </xf>
    <xf numFmtId="0" fontId="23" fillId="33" borderId="69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left" vertical="center" wrapText="1"/>
    </xf>
    <xf numFmtId="0" fontId="23" fillId="35" borderId="65" xfId="0" applyFont="1" applyFill="1" applyBorder="1" applyAlignment="1">
      <alignment horizontal="left" vertical="center" wrapText="1"/>
    </xf>
    <xf numFmtId="0" fontId="23" fillId="35" borderId="74" xfId="0" applyFont="1" applyFill="1" applyBorder="1" applyAlignment="1">
      <alignment horizontal="left" vertical="center" wrapText="1"/>
    </xf>
    <xf numFmtId="0" fontId="23" fillId="35" borderId="75" xfId="0" applyFont="1" applyFill="1" applyBorder="1" applyAlignment="1">
      <alignment horizontal="left" vertical="center" wrapText="1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0" fillId="35" borderId="89" xfId="0" applyFont="1" applyFill="1" applyBorder="1" applyAlignment="1">
      <alignment horizontal="center" vertical="center"/>
    </xf>
    <xf numFmtId="0" fontId="20" fillId="35" borderId="85" xfId="0" applyFont="1" applyFill="1" applyBorder="1" applyAlignment="1">
      <alignment horizontal="center" vertical="center"/>
    </xf>
    <xf numFmtId="0" fontId="20" fillId="35" borderId="9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86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27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tabSelected="1" zoomScaleNormal="100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A29" sqref="AA29:AA30"/>
    </sheetView>
  </sheetViews>
  <sheetFormatPr defaultColWidth="9" defaultRowHeight="13.5" x14ac:dyDescent="0.3"/>
  <cols>
    <col min="1" max="2" width="4.625" style="13" hidden="1" customWidth="1"/>
    <col min="3" max="3" width="9.625" style="13" hidden="1" customWidth="1"/>
    <col min="4" max="4" width="8.625" style="41" hidden="1" customWidth="1"/>
    <col min="5" max="5" width="8.75" style="13" hidden="1" customWidth="1"/>
    <col min="6" max="16" width="8.625" style="13" hidden="1" customWidth="1"/>
    <col min="17" max="17" width="9" style="13" hidden="1" customWidth="1"/>
    <col min="18" max="18" width="9" style="7" hidden="1" customWidth="1"/>
    <col min="19" max="19" width="8.625" style="13" hidden="1" customWidth="1"/>
    <col min="20" max="20" width="8.625" style="41" hidden="1" customWidth="1"/>
    <col min="21" max="22" width="8.625" style="13" hidden="1" customWidth="1"/>
    <col min="23" max="25" width="9" style="13" hidden="1" customWidth="1"/>
    <col min="26" max="26" width="3.75" style="13" hidden="1" customWidth="1"/>
    <col min="27" max="27" width="9" style="38" customWidth="1"/>
    <col min="28" max="29" width="8.625" style="38" customWidth="1"/>
    <col min="30" max="37" width="8.625" style="13" customWidth="1"/>
    <col min="38" max="38" width="4.5" style="13" customWidth="1"/>
    <col min="39" max="39" width="5.625" style="13" customWidth="1"/>
    <col min="40" max="40" width="3.625" style="13" customWidth="1"/>
    <col min="41" max="41" width="6.625" style="13" customWidth="1"/>
    <col min="42" max="50" width="7.625" style="13" customWidth="1"/>
    <col min="51" max="54" width="9" style="13" customWidth="1"/>
    <col min="55" max="57" width="3.625" style="13" customWidth="1"/>
    <col min="58" max="59" width="8.625" style="13" customWidth="1"/>
    <col min="60" max="62" width="3.625" style="13" customWidth="1"/>
    <col min="63" max="16384" width="9" style="13"/>
  </cols>
  <sheetData>
    <row r="1" spans="1:70" s="7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39" t="s">
        <v>78</v>
      </c>
      <c r="E1" s="2" t="s">
        <v>3</v>
      </c>
      <c r="F1" s="3" t="s">
        <v>6</v>
      </c>
      <c r="G1" s="4" t="s">
        <v>64</v>
      </c>
      <c r="H1" s="3" t="s">
        <v>7</v>
      </c>
      <c r="I1" s="4" t="s">
        <v>65</v>
      </c>
      <c r="J1" s="3" t="s">
        <v>9</v>
      </c>
      <c r="K1" s="3" t="s">
        <v>8</v>
      </c>
      <c r="L1" s="4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76</v>
      </c>
      <c r="T1" s="44" t="s">
        <v>5</v>
      </c>
      <c r="U1" s="34" t="s">
        <v>79</v>
      </c>
      <c r="V1" s="62" t="s">
        <v>92</v>
      </c>
      <c r="W1" s="6" t="s">
        <v>102</v>
      </c>
    </row>
    <row r="2" spans="1:70" ht="20.100000000000001" customHeight="1" thickTop="1" thickBot="1" x14ac:dyDescent="0.35">
      <c r="A2" s="59">
        <v>1</v>
      </c>
      <c r="B2" s="53">
        <v>2</v>
      </c>
      <c r="C2" s="53">
        <v>201810187</v>
      </c>
      <c r="D2" s="40" t="str">
        <f t="shared" ref="D2:D33" si="0">VLOOKUP(VALUE(T2),$AA$4:$AB$8,2,FALSE)&amp;"학과"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 t="str">
        <f t="shared" ref="V2:V33" si="1">IF(P2&lt;=$AB$11*0.3, "A", IF(P2&lt;=$AB$11*0.6, "B", IF(P2&lt;=$AB$11*0.8, "C", IF(P2&lt;=$AB$11*0.9, "D","F"))))</f>
        <v>F</v>
      </c>
      <c r="W2" s="12" t="str">
        <f t="shared" ref="W2:W33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23" t="s">
        <v>86</v>
      </c>
      <c r="AB2" s="223"/>
      <c r="AC2" s="37"/>
      <c r="AD2" s="7"/>
      <c r="AE2" s="63" t="s">
        <v>93</v>
      </c>
      <c r="AF2" s="64" t="s">
        <v>94</v>
      </c>
      <c r="AG2" s="72" t="s">
        <v>95</v>
      </c>
      <c r="AH2" s="65" t="s">
        <v>101</v>
      </c>
      <c r="AI2" s="7"/>
      <c r="AM2" s="109"/>
      <c r="AN2" s="110"/>
      <c r="AO2" s="111"/>
      <c r="AP2" s="112" t="s">
        <v>120</v>
      </c>
      <c r="AQ2" s="110" t="s">
        <v>121</v>
      </c>
      <c r="AR2" s="110" t="s">
        <v>122</v>
      </c>
      <c r="AS2" s="110" t="s">
        <v>123</v>
      </c>
      <c r="AT2" s="110" t="s">
        <v>124</v>
      </c>
      <c r="AU2" s="110" t="s">
        <v>125</v>
      </c>
      <c r="AV2" s="110" t="s">
        <v>126</v>
      </c>
      <c r="AW2" s="110" t="s">
        <v>127</v>
      </c>
      <c r="AX2" s="111" t="s">
        <v>128</v>
      </c>
      <c r="AZ2" s="141"/>
      <c r="BA2" s="142" t="s">
        <v>132</v>
      </c>
      <c r="BB2" s="143" t="s">
        <v>135</v>
      </c>
      <c r="BD2" s="158"/>
      <c r="BE2" s="157"/>
      <c r="BF2" s="142" t="s">
        <v>132</v>
      </c>
      <c r="BG2" s="143" t="s">
        <v>135</v>
      </c>
      <c r="BI2" s="160"/>
      <c r="BJ2" s="161"/>
      <c r="BK2" s="241">
        <v>2018</v>
      </c>
      <c r="BL2" s="242"/>
      <c r="BM2" s="243">
        <v>2017</v>
      </c>
      <c r="BN2" s="243"/>
      <c r="BO2" s="241">
        <v>2016</v>
      </c>
      <c r="BP2" s="242"/>
      <c r="BQ2" s="243">
        <v>2015</v>
      </c>
      <c r="BR2" s="242"/>
    </row>
    <row r="3" spans="1:70" ht="20.100000000000001" customHeight="1" thickTop="1" thickBot="1" x14ac:dyDescent="0.35">
      <c r="A3" s="57">
        <v>2</v>
      </c>
      <c r="B3" s="54">
        <v>2</v>
      </c>
      <c r="C3" s="54">
        <v>201810488</v>
      </c>
      <c r="D3" s="40" t="str">
        <f t="shared" si="0"/>
        <v>게임학과</v>
      </c>
      <c r="E3" s="14" t="s">
        <v>12</v>
      </c>
      <c r="F3" s="15">
        <v>55</v>
      </c>
      <c r="G3" s="10">
        <f t="shared" ref="G3:G54" si="3">ROUND((F3*100)/200,2)</f>
        <v>27.5</v>
      </c>
      <c r="H3" s="15">
        <v>47</v>
      </c>
      <c r="I3" s="10">
        <f t="shared" ref="I3:I54" si="4">ROUND((H3*100)/110,2)</f>
        <v>42.73</v>
      </c>
      <c r="J3" s="15">
        <v>81.11</v>
      </c>
      <c r="K3" s="15">
        <v>47</v>
      </c>
      <c r="L3" s="10">
        <f t="shared" ref="L3:L54" si="5">ROUND((K3*100)/110,2)</f>
        <v>42.73</v>
      </c>
      <c r="M3" s="15">
        <v>25</v>
      </c>
      <c r="N3" s="16">
        <v>100</v>
      </c>
      <c r="O3" s="12">
        <f t="shared" ref="O3:O54" si="6">ROUND(G3*0.3+I3*0.35+J3*0.1+L3*0.1+M3*0.1+N3*0.05,2)</f>
        <v>43.09</v>
      </c>
      <c r="P3" s="25">
        <f t="shared" ref="P3:P54" si="7">_xlfn.RANK.EQ(O3,$O$2:$O$54,0)</f>
        <v>45</v>
      </c>
      <c r="Q3" s="12">
        <f t="shared" ref="Q3:Q54" si="8">_xlfn.RANK.AVG(O3,$O$2:$O$54,0)</f>
        <v>45</v>
      </c>
      <c r="R3" s="30"/>
      <c r="S3" s="27" t="str">
        <f t="shared" ref="S3:S54" si="9">LEFT(C3,4)</f>
        <v>2018</v>
      </c>
      <c r="T3" s="42" t="str">
        <f t="shared" ref="T3:T54" si="10">MID(C3,5,3)</f>
        <v>104</v>
      </c>
      <c r="U3" s="27" t="b">
        <f t="shared" ref="U3:U54" si="11">OR(R3="", S3&lt;="2015")</f>
        <v>1</v>
      </c>
      <c r="V3" s="12" t="str">
        <f t="shared" si="1"/>
        <v>D</v>
      </c>
      <c r="W3" s="12" t="str">
        <f t="shared" si="2"/>
        <v>D+</v>
      </c>
      <c r="AA3" s="43" t="s">
        <v>5</v>
      </c>
      <c r="AB3" s="43" t="s">
        <v>80</v>
      </c>
      <c r="AE3" s="66" t="s">
        <v>96</v>
      </c>
      <c r="AF3" s="67">
        <f>SUMIF($V$2:$V$54, "="&amp;AE3, $O$2:$O$54)</f>
        <v>1178.3400000000001</v>
      </c>
      <c r="AG3" s="73">
        <f>ROUND(AVERAGEIF($V$2:$V$54, "="&amp;AE3, $O$2:$O$54),2)</f>
        <v>78.56</v>
      </c>
      <c r="AH3" s="75">
        <f>COUNTIF($V$2:$V$54, "="&amp;AE3)</f>
        <v>15</v>
      </c>
      <c r="AM3" s="191">
        <v>101</v>
      </c>
      <c r="AN3" s="186">
        <v>1</v>
      </c>
      <c r="AO3" s="108" t="s">
        <v>129</v>
      </c>
      <c r="AP3" s="129">
        <f>COUNTIFS($B$2:$B$54,"="&amp;$AN3,$T$2:$T$54,"="&amp;$AM$3,$W$2:$W$54,"="&amp;AP$2)</f>
        <v>0</v>
      </c>
      <c r="AQ3" s="114">
        <f t="shared" ref="AQ3:AX3" si="12">COUNTIFS($B$2:$B$54,"="&amp;$AN3,$T$2:$T$54,"="&amp;$AM$3,$W$2:$W$54,"="&amp;AQ$2)</f>
        <v>0</v>
      </c>
      <c r="AR3" s="114">
        <f t="shared" si="12"/>
        <v>0</v>
      </c>
      <c r="AS3" s="114">
        <f t="shared" si="12"/>
        <v>0</v>
      </c>
      <c r="AT3" s="114">
        <f t="shared" si="12"/>
        <v>0</v>
      </c>
      <c r="AU3" s="114">
        <f t="shared" si="12"/>
        <v>0</v>
      </c>
      <c r="AV3" s="114">
        <f t="shared" si="12"/>
        <v>0</v>
      </c>
      <c r="AW3" s="114">
        <f t="shared" si="12"/>
        <v>0</v>
      </c>
      <c r="AX3" s="113">
        <f t="shared" si="12"/>
        <v>0</v>
      </c>
      <c r="AZ3" s="144" t="s">
        <v>104</v>
      </c>
      <c r="BA3" s="165">
        <f>_xlfn.MAXIFS($O$2:$O$54,$W$2:$W$54,"="&amp;$AZ3)</f>
        <v>89.82</v>
      </c>
      <c r="BB3" s="140">
        <f>_xlfn.MINIFS($O$2:$O$54,$W$2:$W$54,"="&amp;$AZ3)</f>
        <v>81.27</v>
      </c>
      <c r="BD3" s="240">
        <v>101</v>
      </c>
      <c r="BE3" s="146">
        <v>1</v>
      </c>
      <c r="BF3" s="165">
        <f>_xlfn.MAXIFS($O$2:$O$54,$T$2:$T$54,"="&amp;$BD$3,$B$2:$B$54,"="&amp;$BE3)</f>
        <v>0</v>
      </c>
      <c r="BG3" s="140">
        <f>_xlfn.MINIFS($O$2:$O$54,$T$2:$T$54,"="&amp;$BD$3,$B$2:$B$54,"="&amp;$BE3)</f>
        <v>0</v>
      </c>
      <c r="BI3" s="162"/>
      <c r="BJ3" s="163"/>
      <c r="BK3" s="151" t="s">
        <v>132</v>
      </c>
      <c r="BL3" s="83" t="s">
        <v>135</v>
      </c>
      <c r="BM3" s="150" t="s">
        <v>132</v>
      </c>
      <c r="BN3" s="159" t="s">
        <v>135</v>
      </c>
      <c r="BO3" s="151" t="s">
        <v>132</v>
      </c>
      <c r="BP3" s="83" t="s">
        <v>135</v>
      </c>
      <c r="BQ3" s="150" t="s">
        <v>132</v>
      </c>
      <c r="BR3" s="83" t="s">
        <v>135</v>
      </c>
    </row>
    <row r="4" spans="1:70" ht="20.100000000000001" customHeight="1" thickTop="1" x14ac:dyDescent="0.3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3"/>
        <v>41</v>
      </c>
      <c r="H4" s="15">
        <v>34</v>
      </c>
      <c r="I4" s="10">
        <f t="shared" si="4"/>
        <v>30.91</v>
      </c>
      <c r="J4" s="15">
        <v>100</v>
      </c>
      <c r="K4" s="15">
        <v>34</v>
      </c>
      <c r="L4" s="10">
        <f t="shared" si="5"/>
        <v>30.91</v>
      </c>
      <c r="M4" s="15">
        <v>45</v>
      </c>
      <c r="N4" s="16">
        <v>100</v>
      </c>
      <c r="O4" s="12">
        <f t="shared" si="6"/>
        <v>45.71</v>
      </c>
      <c r="P4" s="25">
        <f t="shared" si="7"/>
        <v>42</v>
      </c>
      <c r="Q4" s="12">
        <f t="shared" si="8"/>
        <v>42</v>
      </c>
      <c r="R4" s="30"/>
      <c r="S4" s="27" t="str">
        <f t="shared" si="9"/>
        <v>2018</v>
      </c>
      <c r="T4" s="42" t="str">
        <f t="shared" si="10"/>
        <v>103</v>
      </c>
      <c r="U4" s="27" t="b">
        <f t="shared" si="11"/>
        <v>1</v>
      </c>
      <c r="V4" s="12" t="str">
        <f t="shared" si="1"/>
        <v>C</v>
      </c>
      <c r="W4" s="12" t="str">
        <f t="shared" si="2"/>
        <v>C0</v>
      </c>
      <c r="AA4" s="45">
        <v>101</v>
      </c>
      <c r="AB4" s="43" t="s">
        <v>81</v>
      </c>
      <c r="AE4" s="69" t="s">
        <v>97</v>
      </c>
      <c r="AF4" s="67">
        <f t="shared" ref="AF4:AF7" si="13">SUMIF($V$2:$V$54, "="&amp;AE4, $O$2:$O$54)</f>
        <v>1092.4499999999998</v>
      </c>
      <c r="AG4" s="73">
        <f t="shared" ref="AG4:AG7" si="14">ROUND(AVERAGEIF($V$2:$V$54, "="&amp;AE4, $O$2:$O$54),2)</f>
        <v>68.28</v>
      </c>
      <c r="AH4" s="68">
        <f t="shared" ref="AH4:AH7" si="15">COUNTIF($V$2:$V$54, "="&amp;AE4)</f>
        <v>16</v>
      </c>
      <c r="AM4" s="187"/>
      <c r="AN4" s="181"/>
      <c r="AO4" s="123" t="s">
        <v>130</v>
      </c>
      <c r="AP4" s="130">
        <f>SUMIFS($O$2:$O$54,$B$2:$B$54,"="&amp;$AN3,$T$2:$T$54,"="&amp;$AM$3,$W$2:$W$54,"="&amp;AP$2)</f>
        <v>0</v>
      </c>
      <c r="AQ4" s="116">
        <f t="shared" ref="AQ4:AX4" si="16">SUMIFS($O$2:$O$54,$B$2:$B$54,"="&amp;$AN3,$T$2:$T$54,"="&amp;$AM$3,$W$2:$W$54,"="&amp;AQ$2)</f>
        <v>0</v>
      </c>
      <c r="AR4" s="116">
        <f t="shared" si="16"/>
        <v>0</v>
      </c>
      <c r="AS4" s="116">
        <f t="shared" si="16"/>
        <v>0</v>
      </c>
      <c r="AT4" s="116">
        <f t="shared" si="16"/>
        <v>0</v>
      </c>
      <c r="AU4" s="116">
        <f t="shared" si="16"/>
        <v>0</v>
      </c>
      <c r="AV4" s="116">
        <f t="shared" si="16"/>
        <v>0</v>
      </c>
      <c r="AW4" s="116">
        <f t="shared" si="16"/>
        <v>0</v>
      </c>
      <c r="AX4" s="115">
        <f t="shared" si="16"/>
        <v>0</v>
      </c>
      <c r="AZ4" s="147" t="s">
        <v>105</v>
      </c>
      <c r="BA4" s="166">
        <f t="shared" ref="BA4:BA11" si="17">_xlfn.MAXIFS($O$2:$O$54,$W$2:$W$54,"="&amp;$AZ4)</f>
        <v>78.84</v>
      </c>
      <c r="BB4" s="146">
        <f t="shared" ref="BB4:BB11" si="18">_xlfn.MINIFS($O$2:$O$54,$W$2:$W$54,"="&amp;$AZ4)</f>
        <v>72.69</v>
      </c>
      <c r="BD4" s="237"/>
      <c r="BE4" s="148">
        <v>2</v>
      </c>
      <c r="BF4" s="170">
        <f t="shared" ref="BF4:BF6" si="19">_xlfn.MAXIFS($O$2:$O$54,$T$2:$T$54,"="&amp;$BD$3,$B$2:$B$54,"="&amp;$BE4)</f>
        <v>89.82</v>
      </c>
      <c r="BG4" s="148">
        <f t="shared" ref="BG4:BG6" si="20">_xlfn.MINIFS($O$2:$O$54,$T$2:$T$54,"="&amp;$BD$3,$B$2:$B$54,"="&amp;$BE4)</f>
        <v>30.39</v>
      </c>
      <c r="BI4" s="237">
        <v>101</v>
      </c>
      <c r="BJ4" s="146">
        <v>1</v>
      </c>
      <c r="BK4" s="145">
        <f>_xlfn.MAXIFS($O$2:$O$54,$T$2:$T$54,"="&amp;$BI$4,$B$2:$B$54,"="&amp;$BJ4,$S$2:$S$54,"="&amp;BK$2)</f>
        <v>0</v>
      </c>
      <c r="BL4" s="146">
        <f>_xlfn.MINIFS($O$2:$O$54,$T$2:$T$54,"="&amp;$BI$4,$B$2:$B$54,"="&amp;$BJ4,$S$2:$S$54,"="&amp;BK$2)</f>
        <v>0</v>
      </c>
      <c r="BM4" s="145">
        <f t="shared" ref="BM4:BM7" si="21">_xlfn.MAXIFS($O$2:$O$54,$T$2:$T$54,"="&amp;$BI$4,$B$2:$B$54,"="&amp;$BJ4,$S$2:$S$54,"="&amp;BM$2)</f>
        <v>0</v>
      </c>
      <c r="BN4" s="146">
        <f t="shared" ref="BN4" si="22">_xlfn.MINIFS($O$2:$O$54,$T$2:$T$54,"="&amp;$BI$4,$B$2:$B$54,"="&amp;$BJ4,$S$2:$S$54,"="&amp;BM$2)</f>
        <v>0</v>
      </c>
      <c r="BO4" s="145">
        <f t="shared" ref="BO4:BO7" si="23">_xlfn.MAXIFS($O$2:$O$54,$T$2:$T$54,"="&amp;$BI$4,$B$2:$B$54,"="&amp;$BJ4,$S$2:$S$54,"="&amp;BO$2)</f>
        <v>0</v>
      </c>
      <c r="BP4" s="146">
        <f t="shared" ref="BP4" si="24">_xlfn.MINIFS($O$2:$O$54,$T$2:$T$54,"="&amp;$BI$4,$B$2:$B$54,"="&amp;$BJ4,$S$2:$S$54,"="&amp;BO$2)</f>
        <v>0</v>
      </c>
      <c r="BQ4" s="145">
        <f t="shared" ref="BQ4:BQ7" si="25">_xlfn.MAXIFS($O$2:$O$54,$T$2:$T$54,"="&amp;$BI$4,$B$2:$B$54,"="&amp;$BJ4,$S$2:$S$54,"="&amp;BQ$2)</f>
        <v>0</v>
      </c>
      <c r="BR4" s="146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3"/>
        <v>63</v>
      </c>
      <c r="H5" s="15">
        <v>79</v>
      </c>
      <c r="I5" s="10">
        <f t="shared" si="4"/>
        <v>71.819999999999993</v>
      </c>
      <c r="J5" s="15">
        <v>97.78</v>
      </c>
      <c r="K5" s="15">
        <v>54</v>
      </c>
      <c r="L5" s="10">
        <f t="shared" si="5"/>
        <v>49.09</v>
      </c>
      <c r="M5" s="15">
        <v>39</v>
      </c>
      <c r="N5" s="16">
        <v>100</v>
      </c>
      <c r="O5" s="12">
        <f t="shared" si="6"/>
        <v>67.62</v>
      </c>
      <c r="P5" s="25">
        <f t="shared" si="7"/>
        <v>26</v>
      </c>
      <c r="Q5" s="12">
        <f t="shared" si="8"/>
        <v>26</v>
      </c>
      <c r="R5" s="30"/>
      <c r="S5" s="27" t="str">
        <f t="shared" si="9"/>
        <v>2017</v>
      </c>
      <c r="T5" s="42" t="str">
        <f t="shared" si="10"/>
        <v>102</v>
      </c>
      <c r="U5" s="27" t="b">
        <f t="shared" si="11"/>
        <v>1</v>
      </c>
      <c r="V5" s="12" t="str">
        <f t="shared" si="1"/>
        <v>B</v>
      </c>
      <c r="W5" s="12" t="str">
        <f t="shared" si="2"/>
        <v>B0</v>
      </c>
      <c r="AA5" s="45">
        <v>102</v>
      </c>
      <c r="AB5" s="43" t="s">
        <v>82</v>
      </c>
      <c r="AE5" s="69" t="s">
        <v>98</v>
      </c>
      <c r="AF5" s="67">
        <f t="shared" si="13"/>
        <v>603.79</v>
      </c>
      <c r="AG5" s="73">
        <f t="shared" si="14"/>
        <v>54.89</v>
      </c>
      <c r="AH5" s="68">
        <f t="shared" si="15"/>
        <v>11</v>
      </c>
      <c r="AM5" s="187"/>
      <c r="AN5" s="183"/>
      <c r="AO5" s="117" t="s">
        <v>131</v>
      </c>
      <c r="AP5" s="132" t="str">
        <f>IFERROR(ROUND(AVERAGEIFS($O$2:$O$54,$B$2:$B$54,"="&amp;$AN3,$T$2:$T$54,"="&amp;$AM$3,$W$2:$W$54,"="&amp;AP$2),2),"-")</f>
        <v>-</v>
      </c>
      <c r="AQ5" s="120" t="str">
        <f t="shared" ref="AQ5:AX5" si="27">IFERROR(ROUND(AVERAGEIFS($O$2:$O$54,$B$2:$B$54,"="&amp;$AN3,$T$2:$T$54,"="&amp;$AM$3,$W$2:$W$54,"="&amp;AQ$2),2),"-")</f>
        <v>-</v>
      </c>
      <c r="AR5" s="120" t="str">
        <f t="shared" si="27"/>
        <v>-</v>
      </c>
      <c r="AS5" s="120" t="str">
        <f t="shared" si="27"/>
        <v>-</v>
      </c>
      <c r="AT5" s="120" t="str">
        <f t="shared" si="27"/>
        <v>-</v>
      </c>
      <c r="AU5" s="120" t="str">
        <f t="shared" si="27"/>
        <v>-</v>
      </c>
      <c r="AV5" s="120" t="str">
        <f t="shared" si="27"/>
        <v>-</v>
      </c>
      <c r="AW5" s="120" t="str">
        <f t="shared" si="27"/>
        <v>-</v>
      </c>
      <c r="AX5" s="119" t="str">
        <f t="shared" si="27"/>
        <v>-</v>
      </c>
      <c r="AZ5" s="147" t="s">
        <v>106</v>
      </c>
      <c r="BA5" s="166">
        <f t="shared" si="17"/>
        <v>82.26</v>
      </c>
      <c r="BB5" s="146">
        <f t="shared" si="18"/>
        <v>68.739999999999995</v>
      </c>
      <c r="BD5" s="237"/>
      <c r="BE5" s="148">
        <v>3</v>
      </c>
      <c r="BF5" s="170">
        <f t="shared" si="19"/>
        <v>78.84</v>
      </c>
      <c r="BG5" s="148">
        <f t="shared" si="20"/>
        <v>56.46</v>
      </c>
      <c r="BI5" s="237"/>
      <c r="BJ5" s="148">
        <v>2</v>
      </c>
      <c r="BK5" s="145">
        <f t="shared" ref="BK5:BK7" si="28">_xlfn.MAXIFS($O$2:$O$54,$T$2:$T$54,"="&amp;$BI$4,$B$2:$B$54,"="&amp;$BJ5,$S$2:$S$54,"="&amp;BK$2)</f>
        <v>77.989999999999995</v>
      </c>
      <c r="BL5" s="146">
        <f t="shared" ref="BL5:BL7" si="29">_xlfn.MINIFS($O$2:$O$54,$T$2:$T$54,"="&amp;$BI$4,$B$2:$B$54,"="&amp;$BJ5,$S$2:$S$54,"="&amp;BK$2)</f>
        <v>30.39</v>
      </c>
      <c r="BM5" s="145">
        <f t="shared" si="21"/>
        <v>89.82</v>
      </c>
      <c r="BN5" s="146">
        <f t="shared" ref="BN5" si="30">_xlfn.MINIFS($O$2:$O$54,$T$2:$T$54,"="&amp;$BI$4,$B$2:$B$54,"="&amp;$BJ5,$S$2:$S$54,"="&amp;BM$2)</f>
        <v>30.68</v>
      </c>
      <c r="BO5" s="145">
        <f t="shared" si="23"/>
        <v>77.72</v>
      </c>
      <c r="BP5" s="146">
        <f t="shared" ref="BP5" si="31">_xlfn.MINIFS($O$2:$O$54,$T$2:$T$54,"="&amp;$BI$4,$B$2:$B$54,"="&amp;$BJ5,$S$2:$S$54,"="&amp;BO$2)</f>
        <v>72.3</v>
      </c>
      <c r="BQ5" s="145">
        <f t="shared" si="25"/>
        <v>0</v>
      </c>
      <c r="BR5" s="146">
        <f t="shared" si="26"/>
        <v>0</v>
      </c>
    </row>
    <row r="6" spans="1:70" ht="20.100000000000001" customHeight="1" thickBot="1" x14ac:dyDescent="0.35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3"/>
        <v>65.5</v>
      </c>
      <c r="H6" s="15">
        <v>88</v>
      </c>
      <c r="I6" s="10">
        <f t="shared" si="4"/>
        <v>80</v>
      </c>
      <c r="J6" s="15">
        <v>88.89</v>
      </c>
      <c r="K6" s="15">
        <v>53</v>
      </c>
      <c r="L6" s="10">
        <f t="shared" si="5"/>
        <v>48.18</v>
      </c>
      <c r="M6" s="15">
        <v>61</v>
      </c>
      <c r="N6" s="16">
        <v>100</v>
      </c>
      <c r="O6" s="12">
        <f t="shared" si="6"/>
        <v>72.459999999999994</v>
      </c>
      <c r="P6" s="25">
        <f t="shared" si="7"/>
        <v>16</v>
      </c>
      <c r="Q6" s="12">
        <f t="shared" si="8"/>
        <v>16</v>
      </c>
      <c r="R6" s="30"/>
      <c r="S6" s="27" t="str">
        <f t="shared" si="9"/>
        <v>2017</v>
      </c>
      <c r="T6" s="42" t="str">
        <f t="shared" si="10"/>
        <v>102</v>
      </c>
      <c r="U6" s="27" t="b">
        <f t="shared" si="11"/>
        <v>1</v>
      </c>
      <c r="V6" s="12" t="str">
        <f t="shared" si="1"/>
        <v>B</v>
      </c>
      <c r="W6" s="12" t="str">
        <f t="shared" si="2"/>
        <v>B+</v>
      </c>
      <c r="AA6" s="45">
        <v>103</v>
      </c>
      <c r="AB6" s="43" t="s">
        <v>83</v>
      </c>
      <c r="AE6" s="69" t="s">
        <v>99</v>
      </c>
      <c r="AF6" s="67">
        <f t="shared" si="13"/>
        <v>210.53000000000003</v>
      </c>
      <c r="AG6" s="73">
        <f t="shared" si="14"/>
        <v>42.11</v>
      </c>
      <c r="AH6" s="68">
        <f t="shared" si="15"/>
        <v>5</v>
      </c>
      <c r="AM6" s="187"/>
      <c r="AN6" s="180">
        <v>2</v>
      </c>
      <c r="AO6" s="123" t="s">
        <v>129</v>
      </c>
      <c r="AP6" s="133">
        <f t="shared" ref="AP6:AX12" si="32">COUNTIFS($B$2:$B$54,"="&amp;$AN6,$T$2:$T$54,"="&amp;$AM$3,$W$2:$W$54,"="&amp;AP$2)</f>
        <v>1</v>
      </c>
      <c r="AQ6" s="122">
        <f t="shared" si="32"/>
        <v>2</v>
      </c>
      <c r="AR6" s="122">
        <f t="shared" si="32"/>
        <v>1</v>
      </c>
      <c r="AS6" s="122">
        <f t="shared" si="32"/>
        <v>0</v>
      </c>
      <c r="AT6" s="122">
        <f t="shared" si="32"/>
        <v>1</v>
      </c>
      <c r="AU6" s="122">
        <f t="shared" si="32"/>
        <v>0</v>
      </c>
      <c r="AV6" s="122">
        <f t="shared" si="32"/>
        <v>0</v>
      </c>
      <c r="AW6" s="122">
        <f t="shared" si="32"/>
        <v>0</v>
      </c>
      <c r="AX6" s="121">
        <f t="shared" si="32"/>
        <v>3</v>
      </c>
      <c r="AZ6" s="147" t="s">
        <v>107</v>
      </c>
      <c r="BA6" s="166">
        <f t="shared" si="17"/>
        <v>68.150000000000006</v>
      </c>
      <c r="BB6" s="146">
        <f t="shared" si="18"/>
        <v>62.86</v>
      </c>
      <c r="BD6" s="237"/>
      <c r="BE6" s="153">
        <v>4</v>
      </c>
      <c r="BF6" s="171">
        <f t="shared" si="19"/>
        <v>77.959999999999994</v>
      </c>
      <c r="BG6" s="153">
        <f t="shared" si="20"/>
        <v>38.93</v>
      </c>
      <c r="BI6" s="237"/>
      <c r="BJ6" s="148">
        <v>3</v>
      </c>
      <c r="BK6" s="145">
        <f t="shared" si="28"/>
        <v>0</v>
      </c>
      <c r="BL6" s="146">
        <f t="shared" si="29"/>
        <v>0</v>
      </c>
      <c r="BM6" s="145">
        <f t="shared" si="21"/>
        <v>0</v>
      </c>
      <c r="BN6" s="146">
        <f t="shared" ref="BN6" si="33">_xlfn.MINIFS($O$2:$O$54,$T$2:$T$54,"="&amp;$BI$4,$B$2:$B$54,"="&amp;$BJ6,$S$2:$S$54,"="&amp;BM$2)</f>
        <v>0</v>
      </c>
      <c r="BO6" s="145">
        <f t="shared" si="23"/>
        <v>56.46</v>
      </c>
      <c r="BP6" s="146">
        <f t="shared" ref="BP6" si="34">_xlfn.MINIFS($O$2:$O$54,$T$2:$T$54,"="&amp;$BI$4,$B$2:$B$54,"="&amp;$BJ6,$S$2:$S$54,"="&amp;BO$2)</f>
        <v>56.46</v>
      </c>
      <c r="BQ6" s="145">
        <f t="shared" si="25"/>
        <v>78.84</v>
      </c>
      <c r="BR6" s="146">
        <f t="shared" si="26"/>
        <v>78.84</v>
      </c>
    </row>
    <row r="7" spans="1:70" ht="20.100000000000001" customHeight="1" thickTop="1" thickBot="1" x14ac:dyDescent="0.35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3"/>
        <v>78</v>
      </c>
      <c r="H7" s="15">
        <v>63</v>
      </c>
      <c r="I7" s="10">
        <f t="shared" si="4"/>
        <v>57.27</v>
      </c>
      <c r="J7" s="15">
        <v>95.56</v>
      </c>
      <c r="K7" s="15">
        <v>55</v>
      </c>
      <c r="L7" s="10">
        <f t="shared" si="5"/>
        <v>50</v>
      </c>
      <c r="M7" s="15">
        <v>70</v>
      </c>
      <c r="N7" s="16">
        <v>80</v>
      </c>
      <c r="O7" s="12">
        <f t="shared" si="6"/>
        <v>69</v>
      </c>
      <c r="P7" s="25">
        <f>_xlfn.RANK.EQ(O7,$O$2:$O$54,0)</f>
        <v>21</v>
      </c>
      <c r="Q7" s="12">
        <f t="shared" si="8"/>
        <v>21</v>
      </c>
      <c r="R7" s="30" t="s">
        <v>77</v>
      </c>
      <c r="S7" s="27" t="str">
        <f t="shared" si="9"/>
        <v>2016</v>
      </c>
      <c r="T7" s="42" t="str">
        <f t="shared" si="10"/>
        <v>101</v>
      </c>
      <c r="U7" s="27" t="b">
        <f t="shared" si="11"/>
        <v>0</v>
      </c>
      <c r="V7" s="12" t="str">
        <f t="shared" si="1"/>
        <v>B</v>
      </c>
      <c r="W7" s="12" t="str">
        <f t="shared" si="2"/>
        <v>B+</v>
      </c>
      <c r="AA7" s="45">
        <v>104</v>
      </c>
      <c r="AB7" s="43" t="s">
        <v>84</v>
      </c>
      <c r="AE7" s="70" t="s">
        <v>100</v>
      </c>
      <c r="AF7" s="71">
        <f t="shared" si="13"/>
        <v>181.76999999999998</v>
      </c>
      <c r="AG7" s="74">
        <f t="shared" si="14"/>
        <v>30.3</v>
      </c>
      <c r="AH7" s="76">
        <f t="shared" si="15"/>
        <v>6</v>
      </c>
      <c r="AM7" s="187"/>
      <c r="AN7" s="181"/>
      <c r="AO7" s="115" t="s">
        <v>130</v>
      </c>
      <c r="AP7" s="130">
        <f t="shared" ref="AP7" si="35">SUMIFS($O$2:$O$54,$B$2:$B$54,"="&amp;$AN6,$T$2:$T$54,"="&amp;$AM$3,$W$2:$W$54,"="&amp;AP$2)</f>
        <v>89.82</v>
      </c>
      <c r="AQ7" s="116">
        <f t="shared" ref="AQ7" si="36">SUMIFS($O$2:$O$54,$B$2:$B$54,"="&amp;$AN6,$T$2:$T$54,"="&amp;$AM$3,$W$2:$W$54,"="&amp;AQ$2)</f>
        <v>155.70999999999998</v>
      </c>
      <c r="AR7" s="116">
        <f t="shared" ref="AR7" si="37">SUMIFS($O$2:$O$54,$B$2:$B$54,"="&amp;$AN6,$T$2:$T$54,"="&amp;$AM$3,$W$2:$W$54,"="&amp;AR$2)</f>
        <v>72.3</v>
      </c>
      <c r="AS7" s="116">
        <f t="shared" ref="AS7" si="38">SUMIFS($O$2:$O$54,$B$2:$B$54,"="&amp;$AN6,$T$2:$T$54,"="&amp;$AM$3,$W$2:$W$54,"="&amp;AS$2)</f>
        <v>0</v>
      </c>
      <c r="AT7" s="116">
        <f t="shared" ref="AT7" si="39">SUMIFS($O$2:$O$54,$B$2:$B$54,"="&amp;$AN6,$T$2:$T$54,"="&amp;$AM$3,$W$2:$W$54,"="&amp;AT$2)</f>
        <v>60.7</v>
      </c>
      <c r="AU7" s="116">
        <f t="shared" ref="AU7" si="40">SUMIFS($O$2:$O$54,$B$2:$B$54,"="&amp;$AN6,$T$2:$T$54,"="&amp;$AM$3,$W$2:$W$54,"="&amp;AU$2)</f>
        <v>0</v>
      </c>
      <c r="AV7" s="116">
        <f t="shared" ref="AV7" si="41">SUMIFS($O$2:$O$54,$B$2:$B$54,"="&amp;$AN6,$T$2:$T$54,"="&amp;$AM$3,$W$2:$W$54,"="&amp;AV$2)</f>
        <v>0</v>
      </c>
      <c r="AW7" s="116">
        <f t="shared" ref="AW7" si="42">SUMIFS($O$2:$O$54,$B$2:$B$54,"="&amp;$AN6,$T$2:$T$54,"="&amp;$AM$3,$W$2:$W$54,"="&amp;AW$2)</f>
        <v>0</v>
      </c>
      <c r="AX7" s="115">
        <f t="shared" ref="AX7" si="43">SUMIFS($O$2:$O$54,$B$2:$B$54,"="&amp;$AN6,$T$2:$T$54,"="&amp;$AM$3,$W$2:$W$54,"="&amp;AX$2)</f>
        <v>96.93</v>
      </c>
      <c r="AZ7" s="147" t="s">
        <v>108</v>
      </c>
      <c r="BA7" s="166">
        <f t="shared" si="17"/>
        <v>60.7</v>
      </c>
      <c r="BB7" s="146">
        <f t="shared" si="18"/>
        <v>55.31</v>
      </c>
      <c r="BD7" s="236">
        <v>102</v>
      </c>
      <c r="BE7" s="154">
        <v>1</v>
      </c>
      <c r="BF7" s="169">
        <f>_xlfn.MAXIFS($O$2:$O$54,$T$2:$T$54,"="&amp;$BD$7,$B$2:$B$54,"="&amp;$BE7)</f>
        <v>0</v>
      </c>
      <c r="BG7" s="154">
        <f>_xlfn.MINIFS($O$2:$O$54,$T$2:$T$54,"="&amp;$BD$7,$B$2:$B$54,"="&amp;$BE7)</f>
        <v>0</v>
      </c>
      <c r="BI7" s="237"/>
      <c r="BJ7" s="153">
        <v>4</v>
      </c>
      <c r="BK7" s="174">
        <f t="shared" si="28"/>
        <v>0</v>
      </c>
      <c r="BL7" s="175">
        <f t="shared" si="29"/>
        <v>0</v>
      </c>
      <c r="BM7" s="174">
        <f t="shared" si="21"/>
        <v>0</v>
      </c>
      <c r="BN7" s="175">
        <f t="shared" ref="BN7" si="44">_xlfn.MINIFS($O$2:$O$54,$T$2:$T$54,"="&amp;$BI$4,$B$2:$B$54,"="&amp;$BJ7,$S$2:$S$54,"="&amp;BM$2)</f>
        <v>0</v>
      </c>
      <c r="BO7" s="174">
        <f t="shared" si="23"/>
        <v>77.959999999999994</v>
      </c>
      <c r="BP7" s="175">
        <f t="shared" ref="BP7" si="45">_xlfn.MINIFS($O$2:$O$54,$T$2:$T$54,"="&amp;$BI$4,$B$2:$B$54,"="&amp;$BJ7,$S$2:$S$54,"="&amp;BO$2)</f>
        <v>38.93</v>
      </c>
      <c r="BQ7" s="174">
        <f t="shared" si="25"/>
        <v>0</v>
      </c>
      <c r="BR7" s="175">
        <f t="shared" si="26"/>
        <v>0</v>
      </c>
    </row>
    <row r="8" spans="1:70" ht="20.100000000000001" customHeight="1" thickTop="1" x14ac:dyDescent="0.3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3"/>
        <v>60</v>
      </c>
      <c r="H8" s="15">
        <v>47</v>
      </c>
      <c r="I8" s="10">
        <f t="shared" si="4"/>
        <v>42.73</v>
      </c>
      <c r="J8" s="15">
        <v>88.89</v>
      </c>
      <c r="K8" s="15">
        <v>59</v>
      </c>
      <c r="L8" s="10">
        <f t="shared" si="5"/>
        <v>53.64</v>
      </c>
      <c r="M8" s="15">
        <v>51</v>
      </c>
      <c r="N8" s="16">
        <v>60</v>
      </c>
      <c r="O8" s="12">
        <f t="shared" si="6"/>
        <v>55.31</v>
      </c>
      <c r="P8" s="25">
        <f t="shared" si="7"/>
        <v>37</v>
      </c>
      <c r="Q8" s="12">
        <f t="shared" si="8"/>
        <v>37</v>
      </c>
      <c r="R8" s="30"/>
      <c r="S8" s="27" t="str">
        <f t="shared" si="9"/>
        <v>2016</v>
      </c>
      <c r="T8" s="42" t="str">
        <f t="shared" si="10"/>
        <v>101</v>
      </c>
      <c r="U8" s="27" t="b">
        <f t="shared" si="11"/>
        <v>1</v>
      </c>
      <c r="V8" s="12" t="str">
        <f t="shared" si="1"/>
        <v>C</v>
      </c>
      <c r="W8" s="12" t="str">
        <f t="shared" si="2"/>
        <v>C+</v>
      </c>
      <c r="AA8" s="45">
        <v>105</v>
      </c>
      <c r="AB8" s="43" t="s">
        <v>85</v>
      </c>
      <c r="AM8" s="187"/>
      <c r="AN8" s="183"/>
      <c r="AO8" s="117" t="s">
        <v>131</v>
      </c>
      <c r="AP8" s="131">
        <f t="shared" ref="AP8:AX8" si="46">IFERROR(ROUND(AVERAGEIFS($O$2:$O$54,$B$2:$B$54,"="&amp;$AN6,$T$2:$T$54,"="&amp;$AM$3,$W$2:$W$54,"="&amp;AP$2),2),"-")</f>
        <v>89.82</v>
      </c>
      <c r="AQ8" s="118">
        <f t="shared" si="46"/>
        <v>77.86</v>
      </c>
      <c r="AR8" s="118">
        <f t="shared" si="46"/>
        <v>72.3</v>
      </c>
      <c r="AS8" s="118" t="str">
        <f t="shared" si="46"/>
        <v>-</v>
      </c>
      <c r="AT8" s="118">
        <f t="shared" si="46"/>
        <v>60.7</v>
      </c>
      <c r="AU8" s="118" t="str">
        <f t="shared" si="46"/>
        <v>-</v>
      </c>
      <c r="AV8" s="118" t="str">
        <f t="shared" si="46"/>
        <v>-</v>
      </c>
      <c r="AW8" s="118" t="str">
        <f t="shared" si="46"/>
        <v>-</v>
      </c>
      <c r="AX8" s="117">
        <f t="shared" si="46"/>
        <v>32.31</v>
      </c>
      <c r="AZ8" s="147" t="s">
        <v>109</v>
      </c>
      <c r="BA8" s="166">
        <f t="shared" si="17"/>
        <v>54.35</v>
      </c>
      <c r="BB8" s="146">
        <f t="shared" si="18"/>
        <v>45.71</v>
      </c>
      <c r="BD8" s="237"/>
      <c r="BE8" s="148">
        <v>2</v>
      </c>
      <c r="BF8" s="170">
        <f t="shared" ref="BF8:BF10" si="47">_xlfn.MAXIFS($O$2:$O$54,$T$2:$T$54,"="&amp;$BD$7,$B$2:$B$54,"="&amp;$BE8)</f>
        <v>76.010000000000005</v>
      </c>
      <c r="BG8" s="148">
        <f t="shared" ref="BG8:BG10" si="48">_xlfn.MINIFS($O$2:$O$54,$T$2:$T$54,"="&amp;$BD$7,$B$2:$B$54,"="&amp;$BE8)</f>
        <v>39.770000000000003</v>
      </c>
      <c r="BI8" s="236">
        <v>102</v>
      </c>
      <c r="BJ8" s="154">
        <v>1</v>
      </c>
      <c r="BK8" s="155">
        <f>_xlfn.MAXIFS($O$2:$O$54,$T$2:$T$54,"="&amp;$BI$8,$B$2:$B$54,"="&amp;$BJ8,$S$2:$S$54,"="&amp;BK$2)</f>
        <v>0</v>
      </c>
      <c r="BL8" s="154">
        <f>_xlfn.MINIFS($O$2:$O$54,$T$2:$T$54,"="&amp;$BI$8,$B$2:$B$54,"="&amp;$BJ8,$S$2:$S$54,"="&amp;BK$2)</f>
        <v>0</v>
      </c>
      <c r="BM8" s="155">
        <f t="shared" ref="BM8:BM11" si="49">_xlfn.MAXIFS($O$2:$O$54,$T$2:$T$54,"="&amp;$BI$8,$B$2:$B$54,"="&amp;$BJ8,$S$2:$S$54,"="&amp;BM$2)</f>
        <v>0</v>
      </c>
      <c r="BN8" s="154">
        <f t="shared" ref="BN8" si="50">_xlfn.MINIFS($O$2:$O$54,$T$2:$T$54,"="&amp;$BI$8,$B$2:$B$54,"="&amp;$BJ8,$S$2:$S$54,"="&amp;BM$2)</f>
        <v>0</v>
      </c>
      <c r="BO8" s="155">
        <f t="shared" ref="BO8:BO11" si="51">_xlfn.MAXIFS($O$2:$O$54,$T$2:$T$54,"="&amp;$BI$8,$B$2:$B$54,"="&amp;$BJ8,$S$2:$S$54,"="&amp;BO$2)</f>
        <v>0</v>
      </c>
      <c r="BP8" s="154">
        <f t="shared" ref="BP8" si="52">_xlfn.MINIFS($O$2:$O$54,$T$2:$T$54,"="&amp;$BI$8,$B$2:$B$54,"="&amp;$BJ8,$S$2:$S$54,"="&amp;BO$2)</f>
        <v>0</v>
      </c>
      <c r="BQ8" s="155">
        <f t="shared" ref="BQ8:BQ11" si="53">_xlfn.MAXIFS($O$2:$O$54,$T$2:$T$54,"="&amp;$BI$8,$B$2:$B$54,"="&amp;$BJ8,$S$2:$S$54,"="&amp;BQ$2)</f>
        <v>0</v>
      </c>
      <c r="BR8" s="154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3"/>
        <v>68</v>
      </c>
      <c r="H9" s="15">
        <v>64</v>
      </c>
      <c r="I9" s="10">
        <f t="shared" si="4"/>
        <v>58.18</v>
      </c>
      <c r="J9" s="15">
        <v>100</v>
      </c>
      <c r="K9" s="15">
        <v>80</v>
      </c>
      <c r="L9" s="10">
        <f t="shared" si="5"/>
        <v>72.73</v>
      </c>
      <c r="M9" s="15">
        <v>44</v>
      </c>
      <c r="N9" s="16">
        <v>100</v>
      </c>
      <c r="O9" s="12">
        <f t="shared" si="6"/>
        <v>67.44</v>
      </c>
      <c r="P9" s="25">
        <f t="shared" si="7"/>
        <v>27</v>
      </c>
      <c r="Q9" s="12">
        <f t="shared" si="8"/>
        <v>27</v>
      </c>
      <c r="R9" s="30"/>
      <c r="S9" s="27" t="str">
        <f t="shared" si="9"/>
        <v>2015</v>
      </c>
      <c r="T9" s="42" t="str">
        <f t="shared" si="10"/>
        <v>105</v>
      </c>
      <c r="U9" s="27" t="b">
        <f t="shared" si="11"/>
        <v>1</v>
      </c>
      <c r="V9" s="12" t="str">
        <f t="shared" si="1"/>
        <v>B</v>
      </c>
      <c r="W9" s="12" t="str">
        <f t="shared" si="2"/>
        <v>B0</v>
      </c>
      <c r="AM9" s="187"/>
      <c r="AN9" s="180">
        <v>3</v>
      </c>
      <c r="AO9" s="121" t="s">
        <v>129</v>
      </c>
      <c r="AP9" s="133">
        <f t="shared" ref="AP9" si="55">COUNTIFS($B$2:$B$54,"="&amp;$AN9,$T$2:$T$54,"="&amp;$AM$3,$W$2:$W$54,"="&amp;AP$2)</f>
        <v>0</v>
      </c>
      <c r="AQ9" s="122">
        <f t="shared" si="32"/>
        <v>1</v>
      </c>
      <c r="AR9" s="122">
        <f t="shared" si="32"/>
        <v>0</v>
      </c>
      <c r="AS9" s="122">
        <f t="shared" si="32"/>
        <v>0</v>
      </c>
      <c r="AT9" s="122">
        <f t="shared" si="32"/>
        <v>1</v>
      </c>
      <c r="AU9" s="122">
        <f t="shared" si="32"/>
        <v>0</v>
      </c>
      <c r="AV9" s="122">
        <f t="shared" si="32"/>
        <v>0</v>
      </c>
      <c r="AW9" s="122">
        <f t="shared" si="32"/>
        <v>0</v>
      </c>
      <c r="AX9" s="121">
        <f t="shared" si="32"/>
        <v>0</v>
      </c>
      <c r="AZ9" s="147" t="s">
        <v>110</v>
      </c>
      <c r="BA9" s="166">
        <f t="shared" si="17"/>
        <v>44.88</v>
      </c>
      <c r="BB9" s="146">
        <f t="shared" si="18"/>
        <v>43.09</v>
      </c>
      <c r="BD9" s="237"/>
      <c r="BE9" s="148">
        <v>3</v>
      </c>
      <c r="BF9" s="170">
        <f t="shared" si="47"/>
        <v>72.459999999999994</v>
      </c>
      <c r="BG9" s="148">
        <f t="shared" si="48"/>
        <v>60.36</v>
      </c>
      <c r="BI9" s="237"/>
      <c r="BJ9" s="148">
        <v>2</v>
      </c>
      <c r="BK9" s="145">
        <f t="shared" ref="BK9:BK11" si="56">_xlfn.MAXIFS($O$2:$O$54,$T$2:$T$54,"="&amp;$BI$8,$B$2:$B$54,"="&amp;$BJ9,$S$2:$S$54,"="&amp;BK$2)</f>
        <v>73.41</v>
      </c>
      <c r="BL9" s="146">
        <f t="shared" ref="BL9:BL11" si="57">_xlfn.MINIFS($O$2:$O$54,$T$2:$T$54,"="&amp;$BI$8,$B$2:$B$54,"="&amp;$BJ9,$S$2:$S$54,"="&amp;BK$2)</f>
        <v>65.81</v>
      </c>
      <c r="BM9" s="145">
        <f t="shared" si="49"/>
        <v>67.62</v>
      </c>
      <c r="BN9" s="146">
        <f t="shared" ref="BN9" si="58">_xlfn.MINIFS($O$2:$O$54,$T$2:$T$54,"="&amp;$BI$8,$B$2:$B$54,"="&amp;$BJ9,$S$2:$S$54,"="&amp;BM$2)</f>
        <v>39.770000000000003</v>
      </c>
      <c r="BO9" s="145">
        <f t="shared" si="51"/>
        <v>76.010000000000005</v>
      </c>
      <c r="BP9" s="146">
        <f t="shared" ref="BP9" si="59">_xlfn.MINIFS($O$2:$O$54,$T$2:$T$54,"="&amp;$BI$8,$B$2:$B$54,"="&amp;$BJ9,$S$2:$S$54,"="&amp;BO$2)</f>
        <v>76.010000000000005</v>
      </c>
      <c r="BQ9" s="145">
        <f t="shared" si="53"/>
        <v>0</v>
      </c>
      <c r="BR9" s="146">
        <f t="shared" si="54"/>
        <v>0</v>
      </c>
    </row>
    <row r="10" spans="1:70" ht="20.100000000000001" customHeight="1" thickTop="1" thickBot="1" x14ac:dyDescent="0.3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3"/>
        <v>64.5</v>
      </c>
      <c r="H10" s="15">
        <v>73</v>
      </c>
      <c r="I10" s="10">
        <f t="shared" si="4"/>
        <v>66.36</v>
      </c>
      <c r="J10" s="15">
        <v>100</v>
      </c>
      <c r="K10" s="15">
        <v>61</v>
      </c>
      <c r="L10" s="10">
        <f t="shared" si="5"/>
        <v>55.45</v>
      </c>
      <c r="M10" s="15">
        <v>74</v>
      </c>
      <c r="N10" s="16">
        <v>100</v>
      </c>
      <c r="O10" s="12">
        <f t="shared" si="6"/>
        <v>70.52</v>
      </c>
      <c r="P10" s="25">
        <f t="shared" si="7"/>
        <v>19</v>
      </c>
      <c r="Q10" s="12">
        <f t="shared" si="8"/>
        <v>19</v>
      </c>
      <c r="R10" s="30"/>
      <c r="S10" s="27" t="str">
        <f t="shared" si="9"/>
        <v>2016</v>
      </c>
      <c r="T10" s="42" t="str">
        <f t="shared" si="10"/>
        <v>105</v>
      </c>
      <c r="U10" s="27" t="b">
        <f t="shared" si="11"/>
        <v>1</v>
      </c>
      <c r="V10" s="12" t="str">
        <f t="shared" si="1"/>
        <v>B</v>
      </c>
      <c r="W10" s="12" t="str">
        <f t="shared" si="2"/>
        <v>B+</v>
      </c>
      <c r="AA10" s="226" t="s">
        <v>87</v>
      </c>
      <c r="AB10" s="51" t="s">
        <v>88</v>
      </c>
      <c r="AC10" s="49" t="s">
        <v>89</v>
      </c>
      <c r="AM10" s="187"/>
      <c r="AN10" s="181"/>
      <c r="AO10" s="115" t="s">
        <v>130</v>
      </c>
      <c r="AP10" s="130">
        <f t="shared" ref="AP10" si="60">SUMIFS($O$2:$O$54,$B$2:$B$54,"="&amp;$AN9,$T$2:$T$54,"="&amp;$AM$3,$W$2:$W$54,"="&amp;AP$2)</f>
        <v>0</v>
      </c>
      <c r="AQ10" s="116">
        <f t="shared" ref="AQ10" si="61">SUMIFS($O$2:$O$54,$B$2:$B$54,"="&amp;$AN9,$T$2:$T$54,"="&amp;$AM$3,$W$2:$W$54,"="&amp;AQ$2)</f>
        <v>78.84</v>
      </c>
      <c r="AR10" s="116">
        <f t="shared" ref="AR10" si="62">SUMIFS($O$2:$O$54,$B$2:$B$54,"="&amp;$AN9,$T$2:$T$54,"="&amp;$AM$3,$W$2:$W$54,"="&amp;AR$2)</f>
        <v>0</v>
      </c>
      <c r="AS10" s="116">
        <f t="shared" ref="AS10" si="63">SUMIFS($O$2:$O$54,$B$2:$B$54,"="&amp;$AN9,$T$2:$T$54,"="&amp;$AM$3,$W$2:$W$54,"="&amp;AS$2)</f>
        <v>0</v>
      </c>
      <c r="AT10" s="116">
        <f t="shared" ref="AT10" si="64">SUMIFS($O$2:$O$54,$B$2:$B$54,"="&amp;$AN9,$T$2:$T$54,"="&amp;$AM$3,$W$2:$W$54,"="&amp;AT$2)</f>
        <v>56.46</v>
      </c>
      <c r="AU10" s="116">
        <f t="shared" ref="AU10" si="65">SUMIFS($O$2:$O$54,$B$2:$B$54,"="&amp;$AN9,$T$2:$T$54,"="&amp;$AM$3,$W$2:$W$54,"="&amp;AU$2)</f>
        <v>0</v>
      </c>
      <c r="AV10" s="116">
        <f t="shared" ref="AV10" si="66">SUMIFS($O$2:$O$54,$B$2:$B$54,"="&amp;$AN9,$T$2:$T$54,"="&amp;$AM$3,$W$2:$W$54,"="&amp;AV$2)</f>
        <v>0</v>
      </c>
      <c r="AW10" s="116">
        <f t="shared" ref="AW10" si="67">SUMIFS($O$2:$O$54,$B$2:$B$54,"="&amp;$AN9,$T$2:$T$54,"="&amp;$AM$3,$W$2:$W$54,"="&amp;AW$2)</f>
        <v>0</v>
      </c>
      <c r="AX10" s="115">
        <f t="shared" ref="AX10" si="68">SUMIFS($O$2:$O$54,$B$2:$B$54,"="&amp;$AN9,$T$2:$T$54,"="&amp;$AM$3,$W$2:$W$54,"="&amp;AX$2)</f>
        <v>0</v>
      </c>
      <c r="AZ10" s="147" t="s">
        <v>111</v>
      </c>
      <c r="BA10" s="166">
        <f t="shared" si="17"/>
        <v>39.770000000000003</v>
      </c>
      <c r="BB10" s="146">
        <f t="shared" si="18"/>
        <v>38.93</v>
      </c>
      <c r="BD10" s="238"/>
      <c r="BE10" s="156">
        <v>4</v>
      </c>
      <c r="BF10" s="172">
        <f t="shared" si="47"/>
        <v>68.88</v>
      </c>
      <c r="BG10" s="156">
        <f t="shared" si="48"/>
        <v>44.88</v>
      </c>
      <c r="BI10" s="237"/>
      <c r="BJ10" s="148">
        <v>3</v>
      </c>
      <c r="BK10" s="145">
        <f t="shared" si="56"/>
        <v>0</v>
      </c>
      <c r="BL10" s="146">
        <f t="shared" si="57"/>
        <v>0</v>
      </c>
      <c r="BM10" s="145">
        <f t="shared" si="49"/>
        <v>72.459999999999994</v>
      </c>
      <c r="BN10" s="146">
        <f t="shared" ref="BN10" si="69">_xlfn.MINIFS($O$2:$O$54,$T$2:$T$54,"="&amp;$BI$8,$B$2:$B$54,"="&amp;$BJ10,$S$2:$S$54,"="&amp;BM$2)</f>
        <v>69.819999999999993</v>
      </c>
      <c r="BO10" s="145">
        <f t="shared" si="51"/>
        <v>60.36</v>
      </c>
      <c r="BP10" s="146">
        <f t="shared" ref="BP10" si="70">_xlfn.MINIFS($O$2:$O$54,$T$2:$T$54,"="&amp;$BI$8,$B$2:$B$54,"="&amp;$BJ10,$S$2:$S$54,"="&amp;BO$2)</f>
        <v>60.36</v>
      </c>
      <c r="BQ10" s="145">
        <f t="shared" si="53"/>
        <v>0</v>
      </c>
      <c r="BR10" s="146">
        <f t="shared" si="54"/>
        <v>0</v>
      </c>
    </row>
    <row r="11" spans="1:70" ht="20.100000000000001" customHeight="1" thickTop="1" thickBot="1" x14ac:dyDescent="0.3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3"/>
        <v>75</v>
      </c>
      <c r="H11" s="15">
        <v>72</v>
      </c>
      <c r="I11" s="10">
        <f t="shared" si="4"/>
        <v>65.45</v>
      </c>
      <c r="J11" s="15">
        <v>96.67</v>
      </c>
      <c r="K11" s="15">
        <v>59</v>
      </c>
      <c r="L11" s="10">
        <f t="shared" si="5"/>
        <v>53.64</v>
      </c>
      <c r="M11" s="15">
        <v>67</v>
      </c>
      <c r="N11" s="16">
        <v>100</v>
      </c>
      <c r="O11" s="12">
        <f t="shared" si="6"/>
        <v>72.14</v>
      </c>
      <c r="P11" s="25">
        <f t="shared" si="7"/>
        <v>18</v>
      </c>
      <c r="Q11" s="12">
        <f t="shared" si="8"/>
        <v>18</v>
      </c>
      <c r="R11" s="30"/>
      <c r="S11" s="27" t="str">
        <f t="shared" si="9"/>
        <v>2017</v>
      </c>
      <c r="T11" s="42" t="str">
        <f t="shared" si="10"/>
        <v>103</v>
      </c>
      <c r="U11" s="27" t="b">
        <f t="shared" si="11"/>
        <v>1</v>
      </c>
      <c r="V11" s="12" t="str">
        <f t="shared" si="1"/>
        <v>B</v>
      </c>
      <c r="W11" s="12" t="str">
        <f t="shared" si="2"/>
        <v>B+</v>
      </c>
      <c r="AA11" s="227"/>
      <c r="AB11" s="52">
        <f>COUNT(B2:B54)</f>
        <v>53</v>
      </c>
      <c r="AC11" s="50">
        <f>COUNTA(E2:E54)</f>
        <v>53</v>
      </c>
      <c r="AM11" s="187"/>
      <c r="AN11" s="183"/>
      <c r="AO11" s="117" t="s">
        <v>131</v>
      </c>
      <c r="AP11" s="131" t="str">
        <f t="shared" ref="AP11:AX11" si="71">IFERROR(ROUND(AVERAGEIFS($O$2:$O$54,$B$2:$B$54,"="&amp;$AN9,$T$2:$T$54,"="&amp;$AM$3,$W$2:$W$54,"="&amp;AP$2),2),"-")</f>
        <v>-</v>
      </c>
      <c r="AQ11" s="118">
        <f t="shared" si="71"/>
        <v>78.84</v>
      </c>
      <c r="AR11" s="118" t="str">
        <f t="shared" si="71"/>
        <v>-</v>
      </c>
      <c r="AS11" s="118" t="str">
        <f t="shared" si="71"/>
        <v>-</v>
      </c>
      <c r="AT11" s="118">
        <f t="shared" si="71"/>
        <v>56.46</v>
      </c>
      <c r="AU11" s="118" t="str">
        <f t="shared" si="71"/>
        <v>-</v>
      </c>
      <c r="AV11" s="118" t="str">
        <f t="shared" si="71"/>
        <v>-</v>
      </c>
      <c r="AW11" s="118" t="str">
        <f t="shared" si="71"/>
        <v>-</v>
      </c>
      <c r="AX11" s="117" t="str">
        <f t="shared" si="71"/>
        <v>-</v>
      </c>
      <c r="AZ11" s="149" t="s">
        <v>100</v>
      </c>
      <c r="BA11" s="152">
        <f t="shared" si="17"/>
        <v>35.86</v>
      </c>
      <c r="BB11" s="167">
        <f t="shared" si="18"/>
        <v>26.57</v>
      </c>
      <c r="BD11" s="237">
        <v>103</v>
      </c>
      <c r="BE11" s="146">
        <v>1</v>
      </c>
      <c r="BF11" s="166">
        <f>_xlfn.MAXIFS($O$2:$O$54,$T$2:$T$54,"="&amp;$BD$11,$B$2:$B$54,"="&amp;$BE11)</f>
        <v>0</v>
      </c>
      <c r="BG11" s="146">
        <f>_xlfn.MINIFS($O$2:$O$54,$T$2:$T$54,"="&amp;$BD$11,$B$2:$B$54,"="&amp;$BE11)</f>
        <v>0</v>
      </c>
      <c r="BI11" s="238"/>
      <c r="BJ11" s="156">
        <v>4</v>
      </c>
      <c r="BK11" s="176">
        <f t="shared" si="56"/>
        <v>0</v>
      </c>
      <c r="BL11" s="177">
        <f t="shared" si="57"/>
        <v>0</v>
      </c>
      <c r="BM11" s="176">
        <f t="shared" si="49"/>
        <v>0</v>
      </c>
      <c r="BN11" s="177">
        <f t="shared" ref="BN11" si="72">_xlfn.MINIFS($O$2:$O$54,$T$2:$T$54,"="&amp;$BI$8,$B$2:$B$54,"="&amp;$BJ11,$S$2:$S$54,"="&amp;BM$2)</f>
        <v>0</v>
      </c>
      <c r="BO11" s="176">
        <f t="shared" si="51"/>
        <v>68.88</v>
      </c>
      <c r="BP11" s="177">
        <f t="shared" ref="BP11" si="73">_xlfn.MINIFS($O$2:$O$54,$T$2:$T$54,"="&amp;$BI$8,$B$2:$B$54,"="&amp;$BJ11,$S$2:$S$54,"="&amp;BO$2)</f>
        <v>44.88</v>
      </c>
      <c r="BQ11" s="176">
        <f t="shared" si="53"/>
        <v>0</v>
      </c>
      <c r="BR11" s="177">
        <f t="shared" si="54"/>
        <v>0</v>
      </c>
    </row>
    <row r="12" spans="1:70" ht="20.100000000000001" customHeight="1" thickTop="1" thickBot="1" x14ac:dyDescent="0.35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3"/>
        <v>67</v>
      </c>
      <c r="H12" s="15">
        <v>62</v>
      </c>
      <c r="I12" s="10">
        <f t="shared" si="4"/>
        <v>56.36</v>
      </c>
      <c r="J12" s="15">
        <v>98.89</v>
      </c>
      <c r="K12" s="15">
        <v>46</v>
      </c>
      <c r="L12" s="10">
        <f t="shared" si="5"/>
        <v>41.82</v>
      </c>
      <c r="M12" s="15">
        <v>28</v>
      </c>
      <c r="N12" s="16">
        <v>80</v>
      </c>
      <c r="O12" s="12">
        <f t="shared" si="6"/>
        <v>60.7</v>
      </c>
      <c r="P12" s="25">
        <f t="shared" si="7"/>
        <v>32</v>
      </c>
      <c r="Q12" s="12">
        <f t="shared" si="8"/>
        <v>32</v>
      </c>
      <c r="R12" s="30"/>
      <c r="S12" s="27" t="str">
        <f t="shared" si="9"/>
        <v>2018</v>
      </c>
      <c r="T12" s="42" t="str">
        <f t="shared" si="10"/>
        <v>101</v>
      </c>
      <c r="U12" s="27" t="b">
        <f t="shared" si="11"/>
        <v>1</v>
      </c>
      <c r="V12" s="12" t="str">
        <f t="shared" si="1"/>
        <v>C</v>
      </c>
      <c r="W12" s="12" t="str">
        <f t="shared" si="2"/>
        <v>C+</v>
      </c>
      <c r="AM12" s="187"/>
      <c r="AN12" s="180">
        <v>4</v>
      </c>
      <c r="AO12" s="121" t="s">
        <v>129</v>
      </c>
      <c r="AP12" s="134">
        <f t="shared" ref="AP12" si="74">COUNTIFS($B$2:$B$54,"="&amp;$AN12,$T$2:$T$54,"="&amp;$AM$3,$W$2:$W$54,"="&amp;AP$2)</f>
        <v>0</v>
      </c>
      <c r="AQ12" s="124">
        <f t="shared" si="32"/>
        <v>1</v>
      </c>
      <c r="AR12" s="124">
        <f t="shared" si="32"/>
        <v>1</v>
      </c>
      <c r="AS12" s="124">
        <f t="shared" si="32"/>
        <v>0</v>
      </c>
      <c r="AT12" s="124">
        <f t="shared" si="32"/>
        <v>1</v>
      </c>
      <c r="AU12" s="124">
        <f t="shared" si="32"/>
        <v>2</v>
      </c>
      <c r="AV12" s="124">
        <f t="shared" si="32"/>
        <v>0</v>
      </c>
      <c r="AW12" s="124">
        <f t="shared" si="32"/>
        <v>1</v>
      </c>
      <c r="AX12" s="123">
        <f t="shared" si="32"/>
        <v>0</v>
      </c>
      <c r="BD12" s="237"/>
      <c r="BE12" s="148">
        <v>2</v>
      </c>
      <c r="BF12" s="170">
        <f t="shared" ref="BF12:BF14" si="75">_xlfn.MAXIFS($O$2:$O$54,$T$2:$T$54,"="&amp;$BD$11,$B$2:$B$54,"="&amp;$BE12)</f>
        <v>72.14</v>
      </c>
      <c r="BG12" s="148">
        <f t="shared" ref="BG12:BG14" si="76">_xlfn.MINIFS($O$2:$O$54,$T$2:$T$54,"="&amp;$BD$11,$B$2:$B$54,"="&amp;$BE12)</f>
        <v>26.57</v>
      </c>
      <c r="BI12" s="237">
        <v>103</v>
      </c>
      <c r="BJ12" s="146">
        <v>1</v>
      </c>
      <c r="BK12" s="145">
        <f>_xlfn.MAXIFS($O$2:$O$54,$T$2:$T$54,"="&amp;$BI$12,$B$2:$B$54,"="&amp;$BJ12,$S$2:$S$54,"="&amp;BK$2)</f>
        <v>0</v>
      </c>
      <c r="BL12" s="146">
        <f>_xlfn.MINIFS($O$2:$O$54,$T$2:$T$54,"="&amp;$BI$12,$B$2:$B$54,"="&amp;$BJ12,$S$2:$S$54,"="&amp;BK$2)</f>
        <v>0</v>
      </c>
      <c r="BM12" s="145">
        <f t="shared" ref="BM12:BM15" si="77">_xlfn.MAXIFS($O$2:$O$54,$T$2:$T$54,"="&amp;$BI$12,$B$2:$B$54,"="&amp;$BJ12,$S$2:$S$54,"="&amp;BM$2)</f>
        <v>0</v>
      </c>
      <c r="BN12" s="146">
        <f t="shared" ref="BN12" si="78">_xlfn.MINIFS($O$2:$O$54,$T$2:$T$54,"="&amp;$BI$12,$B$2:$B$54,"="&amp;$BJ12,$S$2:$S$54,"="&amp;BM$2)</f>
        <v>0</v>
      </c>
      <c r="BO12" s="145">
        <f t="shared" ref="BO12:BO15" si="79">_xlfn.MAXIFS($O$2:$O$54,$T$2:$T$54,"="&amp;$BI$12,$B$2:$B$54,"="&amp;$BJ12,$S$2:$S$54,"="&amp;BO$2)</f>
        <v>0</v>
      </c>
      <c r="BP12" s="146">
        <f t="shared" ref="BP12" si="80">_xlfn.MINIFS($O$2:$O$54,$T$2:$T$54,"="&amp;$BI$12,$B$2:$B$54,"="&amp;$BJ12,$S$2:$S$54,"="&amp;BO$2)</f>
        <v>0</v>
      </c>
      <c r="BQ12" s="145">
        <f t="shared" ref="BQ12:BQ15" si="81">_xlfn.MAXIFS($O$2:$O$54,$T$2:$T$54,"="&amp;$BI$12,$B$2:$B$54,"="&amp;$BJ12,$S$2:$S$54,"="&amp;BQ$2)</f>
        <v>0</v>
      </c>
      <c r="BR12" s="146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3"/>
        <v>53</v>
      </c>
      <c r="H13" s="15">
        <v>92</v>
      </c>
      <c r="I13" s="10">
        <f t="shared" si="4"/>
        <v>83.64</v>
      </c>
      <c r="J13" s="15">
        <v>98.89</v>
      </c>
      <c r="K13" s="15">
        <v>28</v>
      </c>
      <c r="L13" s="10">
        <f t="shared" si="5"/>
        <v>25.45</v>
      </c>
      <c r="M13" s="15">
        <v>42</v>
      </c>
      <c r="N13" s="16">
        <v>80</v>
      </c>
      <c r="O13" s="12">
        <f t="shared" si="6"/>
        <v>65.81</v>
      </c>
      <c r="P13" s="25">
        <f t="shared" si="7"/>
        <v>28</v>
      </c>
      <c r="Q13" s="12">
        <f t="shared" si="8"/>
        <v>28</v>
      </c>
      <c r="R13" s="30"/>
      <c r="S13" s="27" t="str">
        <f t="shared" si="9"/>
        <v>2018</v>
      </c>
      <c r="T13" s="42" t="str">
        <f t="shared" si="10"/>
        <v>102</v>
      </c>
      <c r="U13" s="27" t="b">
        <f t="shared" si="11"/>
        <v>1</v>
      </c>
      <c r="V13" s="12" t="str">
        <f t="shared" si="1"/>
        <v>B</v>
      </c>
      <c r="W13" s="12" t="str">
        <f t="shared" si="2"/>
        <v>B0</v>
      </c>
      <c r="AA13" s="224" t="s">
        <v>90</v>
      </c>
      <c r="AB13" s="225"/>
      <c r="AC13" s="49">
        <f>COUNTA(R2:R54)</f>
        <v>11</v>
      </c>
      <c r="AM13" s="187"/>
      <c r="AN13" s="181"/>
      <c r="AO13" s="115" t="s">
        <v>130</v>
      </c>
      <c r="AP13" s="130">
        <f t="shared" ref="AP13" si="83">SUMIFS($O$2:$O$54,$B$2:$B$54,"="&amp;$AN12,$T$2:$T$54,"="&amp;$AM$3,$W$2:$W$54,"="&amp;AP$2)</f>
        <v>0</v>
      </c>
      <c r="AQ13" s="116">
        <f t="shared" ref="AQ13" si="84">SUMIFS($O$2:$O$54,$B$2:$B$54,"="&amp;$AN12,$T$2:$T$54,"="&amp;$AM$3,$W$2:$W$54,"="&amp;AQ$2)</f>
        <v>77.959999999999994</v>
      </c>
      <c r="AR13" s="116">
        <f t="shared" ref="AR13" si="85">SUMIFS($O$2:$O$54,$B$2:$B$54,"="&amp;$AN12,$T$2:$T$54,"="&amp;$AM$3,$W$2:$W$54,"="&amp;AR$2)</f>
        <v>69</v>
      </c>
      <c r="AS13" s="116">
        <f t="shared" ref="AS13" si="86">SUMIFS($O$2:$O$54,$B$2:$B$54,"="&amp;$AN12,$T$2:$T$54,"="&amp;$AM$3,$W$2:$W$54,"="&amp;AS$2)</f>
        <v>0</v>
      </c>
      <c r="AT13" s="116">
        <f t="shared" ref="AT13" si="87">SUMIFS($O$2:$O$54,$B$2:$B$54,"="&amp;$AN12,$T$2:$T$54,"="&amp;$AM$3,$W$2:$W$54,"="&amp;AT$2)</f>
        <v>55.31</v>
      </c>
      <c r="AU13" s="116">
        <f t="shared" ref="AU13" si="88">SUMIFS($O$2:$O$54,$B$2:$B$54,"="&amp;$AN12,$T$2:$T$54,"="&amp;$AM$3,$W$2:$W$54,"="&amp;AU$2)</f>
        <v>107.03999999999999</v>
      </c>
      <c r="AV13" s="116">
        <f t="shared" ref="AV13" si="89">SUMIFS($O$2:$O$54,$B$2:$B$54,"="&amp;$AN12,$T$2:$T$54,"="&amp;$AM$3,$W$2:$W$54,"="&amp;AV$2)</f>
        <v>0</v>
      </c>
      <c r="AW13" s="116">
        <f t="shared" ref="AW13" si="90">SUMIFS($O$2:$O$54,$B$2:$B$54,"="&amp;$AN12,$T$2:$T$54,"="&amp;$AM$3,$W$2:$W$54,"="&amp;AW$2)</f>
        <v>38.93</v>
      </c>
      <c r="AX13" s="115">
        <f t="shared" ref="AX13" si="91">SUMIFS($O$2:$O$54,$B$2:$B$54,"="&amp;$AN12,$T$2:$T$54,"="&amp;$AM$3,$W$2:$W$54,"="&amp;AX$2)</f>
        <v>0</v>
      </c>
      <c r="AZ13" s="141"/>
      <c r="BA13" s="142" t="s">
        <v>132</v>
      </c>
      <c r="BB13" s="143" t="s">
        <v>135</v>
      </c>
      <c r="BD13" s="237"/>
      <c r="BE13" s="148">
        <v>3</v>
      </c>
      <c r="BF13" s="170">
        <f t="shared" si="75"/>
        <v>81.27</v>
      </c>
      <c r="BG13" s="148">
        <f t="shared" si="76"/>
        <v>73.77</v>
      </c>
      <c r="BI13" s="237"/>
      <c r="BJ13" s="148">
        <v>2</v>
      </c>
      <c r="BK13" s="145">
        <f t="shared" ref="BK13:BK15" si="92">_xlfn.MAXIFS($O$2:$O$54,$T$2:$T$54,"="&amp;$BI$12,$B$2:$B$54,"="&amp;$BJ13,$S$2:$S$54,"="&amp;BK$2)</f>
        <v>59.99</v>
      </c>
      <c r="BL13" s="146">
        <f t="shared" ref="BL13:BL15" si="93">_xlfn.MINIFS($O$2:$O$54,$T$2:$T$54,"="&amp;$BI$12,$B$2:$B$54,"="&amp;$BJ13,$S$2:$S$54,"="&amp;BK$2)</f>
        <v>45.71</v>
      </c>
      <c r="BM13" s="145">
        <f t="shared" si="77"/>
        <v>72.14</v>
      </c>
      <c r="BN13" s="146">
        <f t="shared" ref="BN13" si="94">_xlfn.MINIFS($O$2:$O$54,$T$2:$T$54,"="&amp;$BI$12,$B$2:$B$54,"="&amp;$BJ13,$S$2:$S$54,"="&amp;BM$2)</f>
        <v>26.57</v>
      </c>
      <c r="BO13" s="145">
        <f t="shared" si="79"/>
        <v>0</v>
      </c>
      <c r="BP13" s="146">
        <f t="shared" ref="BP13" si="95">_xlfn.MINIFS($O$2:$O$54,$T$2:$T$54,"="&amp;$BI$12,$B$2:$B$54,"="&amp;$BJ13,$S$2:$S$54,"="&amp;BO$2)</f>
        <v>0</v>
      </c>
      <c r="BQ13" s="145">
        <f t="shared" si="81"/>
        <v>0</v>
      </c>
      <c r="BR13" s="146">
        <f t="shared" si="82"/>
        <v>0</v>
      </c>
    </row>
    <row r="14" spans="1:70" ht="20.100000000000001" customHeight="1" thickTop="1" thickBot="1" x14ac:dyDescent="0.35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3"/>
        <v>32.5</v>
      </c>
      <c r="H14" s="15">
        <v>18</v>
      </c>
      <c r="I14" s="10">
        <f t="shared" si="4"/>
        <v>16.36</v>
      </c>
      <c r="J14" s="15">
        <v>87.78</v>
      </c>
      <c r="K14" s="15">
        <v>15</v>
      </c>
      <c r="L14" s="10">
        <f t="shared" si="5"/>
        <v>13.64</v>
      </c>
      <c r="M14" s="15">
        <v>14</v>
      </c>
      <c r="N14" s="16">
        <v>60</v>
      </c>
      <c r="O14" s="12">
        <f t="shared" si="6"/>
        <v>30.02</v>
      </c>
      <c r="P14" s="25">
        <f t="shared" si="7"/>
        <v>51</v>
      </c>
      <c r="Q14" s="12">
        <f t="shared" si="8"/>
        <v>51</v>
      </c>
      <c r="R14" s="30"/>
      <c r="S14" s="27" t="str">
        <f t="shared" si="9"/>
        <v>2018</v>
      </c>
      <c r="T14" s="42" t="str">
        <f t="shared" si="10"/>
        <v>104</v>
      </c>
      <c r="U14" s="27" t="b">
        <f t="shared" si="11"/>
        <v>1</v>
      </c>
      <c r="V14" s="12" t="str">
        <f t="shared" si="1"/>
        <v>F</v>
      </c>
      <c r="W14" s="12" t="str">
        <f t="shared" si="2"/>
        <v>F</v>
      </c>
      <c r="AA14" s="228" t="s">
        <v>91</v>
      </c>
      <c r="AB14" s="229"/>
      <c r="AC14" s="50">
        <f>COUNTBLANK(R2:R54)</f>
        <v>42</v>
      </c>
      <c r="AM14" s="187"/>
      <c r="AN14" s="181"/>
      <c r="AO14" s="119" t="s">
        <v>131</v>
      </c>
      <c r="AP14" s="132" t="str">
        <f t="shared" ref="AP14:AX14" si="96">IFERROR(ROUND(AVERAGEIFS($O$2:$O$54,$B$2:$B$54,"="&amp;$AN12,$T$2:$T$54,"="&amp;$AM$3,$W$2:$W$54,"="&amp;AP$2),2),"-")</f>
        <v>-</v>
      </c>
      <c r="AQ14" s="120">
        <f t="shared" si="96"/>
        <v>77.959999999999994</v>
      </c>
      <c r="AR14" s="120">
        <f t="shared" si="96"/>
        <v>69</v>
      </c>
      <c r="AS14" s="120" t="str">
        <f t="shared" si="96"/>
        <v>-</v>
      </c>
      <c r="AT14" s="120">
        <f t="shared" si="96"/>
        <v>55.31</v>
      </c>
      <c r="AU14" s="120">
        <f t="shared" si="96"/>
        <v>53.52</v>
      </c>
      <c r="AV14" s="120" t="str">
        <f t="shared" si="96"/>
        <v>-</v>
      </c>
      <c r="AW14" s="120">
        <f t="shared" si="96"/>
        <v>38.93</v>
      </c>
      <c r="AX14" s="119" t="str">
        <f t="shared" si="96"/>
        <v>-</v>
      </c>
      <c r="AZ14" s="144" t="s">
        <v>134</v>
      </c>
      <c r="BA14" s="145">
        <f>_xlfn.MAXIFS($O$2:$O$54,$R$2:$R$54,"=Y")</f>
        <v>82.26</v>
      </c>
      <c r="BB14" s="168">
        <f>_xlfn.MINIFS($O$2:$O$54,$R$2:$R$54,"=Y")</f>
        <v>39.770000000000003</v>
      </c>
      <c r="BD14" s="237"/>
      <c r="BE14" s="153">
        <v>4</v>
      </c>
      <c r="BF14" s="171">
        <f t="shared" si="75"/>
        <v>75.33</v>
      </c>
      <c r="BG14" s="153">
        <f t="shared" si="76"/>
        <v>62.86</v>
      </c>
      <c r="BI14" s="237"/>
      <c r="BJ14" s="148">
        <v>3</v>
      </c>
      <c r="BK14" s="145">
        <f t="shared" si="92"/>
        <v>0</v>
      </c>
      <c r="BL14" s="146">
        <f t="shared" si="93"/>
        <v>0</v>
      </c>
      <c r="BM14" s="145">
        <f t="shared" si="77"/>
        <v>73.77</v>
      </c>
      <c r="BN14" s="146">
        <f t="shared" ref="BN14" si="97">_xlfn.MINIFS($O$2:$O$54,$T$2:$T$54,"="&amp;$BI$12,$B$2:$B$54,"="&amp;$BJ14,$S$2:$S$54,"="&amp;BM$2)</f>
        <v>73.77</v>
      </c>
      <c r="BO14" s="145">
        <f t="shared" si="79"/>
        <v>0</v>
      </c>
      <c r="BP14" s="146">
        <f t="shared" ref="BP14" si="98">_xlfn.MINIFS($O$2:$O$54,$T$2:$T$54,"="&amp;$BI$12,$B$2:$B$54,"="&amp;$BJ14,$S$2:$S$54,"="&amp;BO$2)</f>
        <v>0</v>
      </c>
      <c r="BQ14" s="145">
        <f t="shared" si="81"/>
        <v>81.27</v>
      </c>
      <c r="BR14" s="146">
        <f t="shared" si="82"/>
        <v>81.27</v>
      </c>
    </row>
    <row r="15" spans="1:70" ht="20.100000000000001" customHeight="1" thickTop="1" thickBot="1" x14ac:dyDescent="0.35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3"/>
        <v>35.5</v>
      </c>
      <c r="H15" s="15">
        <v>0</v>
      </c>
      <c r="I15" s="10">
        <f t="shared" si="4"/>
        <v>0</v>
      </c>
      <c r="J15" s="15">
        <v>93.33</v>
      </c>
      <c r="K15" s="15">
        <v>26</v>
      </c>
      <c r="L15" s="10">
        <f t="shared" si="5"/>
        <v>23.64</v>
      </c>
      <c r="M15" s="15">
        <v>29</v>
      </c>
      <c r="N15" s="16">
        <v>60</v>
      </c>
      <c r="O15" s="12">
        <f t="shared" si="6"/>
        <v>28.25</v>
      </c>
      <c r="P15" s="25">
        <f t="shared" si="7"/>
        <v>52</v>
      </c>
      <c r="Q15" s="12">
        <f t="shared" si="8"/>
        <v>52</v>
      </c>
      <c r="R15" s="30"/>
      <c r="S15" s="27" t="str">
        <f t="shared" si="9"/>
        <v>2017</v>
      </c>
      <c r="T15" s="42" t="str">
        <f t="shared" si="10"/>
        <v>105</v>
      </c>
      <c r="U15" s="27" t="b">
        <f t="shared" si="11"/>
        <v>1</v>
      </c>
      <c r="V15" s="12" t="str">
        <f t="shared" si="1"/>
        <v>F</v>
      </c>
      <c r="W15" s="12" t="str">
        <f t="shared" si="2"/>
        <v>F</v>
      </c>
      <c r="AM15" s="189">
        <v>102</v>
      </c>
      <c r="AN15" s="185">
        <v>1</v>
      </c>
      <c r="AO15" s="125" t="s">
        <v>129</v>
      </c>
      <c r="AP15" s="135">
        <f>COUNTIFS($B$2:$B$54,"="&amp;$AN15,$T$2:$T$54,"="&amp;$AM$15,$W$2:$W$54,"="&amp;AP$2)</f>
        <v>0</v>
      </c>
      <c r="AQ15" s="126">
        <f t="shared" ref="AQ15:AX15" si="99">COUNTIFS($B$2:$B$54,"="&amp;$AN15,$T$2:$T$54,"="&amp;$AM$15,$W$2:$W$54,"="&amp;AQ$2)</f>
        <v>0</v>
      </c>
      <c r="AR15" s="126">
        <f t="shared" si="99"/>
        <v>0</v>
      </c>
      <c r="AS15" s="126">
        <f t="shared" si="99"/>
        <v>0</v>
      </c>
      <c r="AT15" s="126">
        <f t="shared" si="99"/>
        <v>0</v>
      </c>
      <c r="AU15" s="126">
        <f t="shared" si="99"/>
        <v>0</v>
      </c>
      <c r="AV15" s="126">
        <f t="shared" si="99"/>
        <v>0</v>
      </c>
      <c r="AW15" s="126">
        <f t="shared" si="99"/>
        <v>0</v>
      </c>
      <c r="AX15" s="125">
        <f t="shared" si="99"/>
        <v>0</v>
      </c>
      <c r="AZ15" s="149" t="s">
        <v>133</v>
      </c>
      <c r="BA15" s="151">
        <f>_xlfn.MAXIFS($O$2:$O$54,$R$2:$R$54,"=")</f>
        <v>89.82</v>
      </c>
      <c r="BB15" s="83">
        <f>_xlfn.MINIFS($O$2:$O$54,$R$2:$R$54,"=")</f>
        <v>26.57</v>
      </c>
      <c r="BD15" s="236">
        <v>104</v>
      </c>
      <c r="BE15" s="154">
        <v>1</v>
      </c>
      <c r="BF15" s="169">
        <f>_xlfn.MAXIFS($O$2:$O$54,$T$2:$T$54,"="&amp;$BD$15,$B$2:$B$54,"="&amp;$BE15)</f>
        <v>53.09</v>
      </c>
      <c r="BG15" s="154">
        <f>_xlfn.MINIFS($O$2:$O$54,$T$2:$T$54,"="&amp;$BD$15,$B$2:$B$54,"="&amp;$BE15)</f>
        <v>53.09</v>
      </c>
      <c r="BI15" s="237"/>
      <c r="BJ15" s="153">
        <v>4</v>
      </c>
      <c r="BK15" s="174">
        <f t="shared" si="92"/>
        <v>0</v>
      </c>
      <c r="BL15" s="175">
        <f t="shared" si="93"/>
        <v>0</v>
      </c>
      <c r="BM15" s="174">
        <f t="shared" si="77"/>
        <v>0</v>
      </c>
      <c r="BN15" s="175">
        <f t="shared" ref="BN15" si="100">_xlfn.MINIFS($O$2:$O$54,$T$2:$T$54,"="&amp;$BI$12,$B$2:$B$54,"="&amp;$BJ15,$S$2:$S$54,"="&amp;BM$2)</f>
        <v>0</v>
      </c>
      <c r="BO15" s="174">
        <f t="shared" si="79"/>
        <v>0</v>
      </c>
      <c r="BP15" s="175">
        <f t="shared" ref="BP15" si="101">_xlfn.MINIFS($O$2:$O$54,$T$2:$T$54,"="&amp;$BI$12,$B$2:$B$54,"="&amp;$BJ15,$S$2:$S$54,"="&amp;BO$2)</f>
        <v>0</v>
      </c>
      <c r="BQ15" s="174">
        <f t="shared" si="81"/>
        <v>75.33</v>
      </c>
      <c r="BR15" s="175">
        <f t="shared" si="82"/>
        <v>62.86</v>
      </c>
    </row>
    <row r="16" spans="1:70" ht="20.100000000000001" customHeight="1" thickTop="1" thickBot="1" x14ac:dyDescent="0.35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3"/>
        <v>54</v>
      </c>
      <c r="H16" s="15">
        <v>64</v>
      </c>
      <c r="I16" s="10">
        <f t="shared" si="4"/>
        <v>58.18</v>
      </c>
      <c r="J16" s="15">
        <v>100</v>
      </c>
      <c r="K16" s="15">
        <v>44</v>
      </c>
      <c r="L16" s="10">
        <f t="shared" si="5"/>
        <v>40</v>
      </c>
      <c r="M16" s="15">
        <v>48</v>
      </c>
      <c r="N16" s="16">
        <v>100</v>
      </c>
      <c r="O16" s="12">
        <f t="shared" si="6"/>
        <v>60.36</v>
      </c>
      <c r="P16" s="25">
        <f t="shared" si="7"/>
        <v>33</v>
      </c>
      <c r="Q16" s="12">
        <f t="shared" si="8"/>
        <v>33</v>
      </c>
      <c r="R16" s="30" t="s">
        <v>77</v>
      </c>
      <c r="S16" s="27" t="str">
        <f t="shared" si="9"/>
        <v>2016</v>
      </c>
      <c r="T16" s="42" t="str">
        <f t="shared" si="10"/>
        <v>102</v>
      </c>
      <c r="U16" s="27" t="b">
        <f t="shared" si="11"/>
        <v>0</v>
      </c>
      <c r="V16" s="12" t="str">
        <f t="shared" si="1"/>
        <v>C</v>
      </c>
      <c r="W16" s="12" t="str">
        <f t="shared" si="2"/>
        <v>C+</v>
      </c>
      <c r="AA16" s="77"/>
      <c r="AM16" s="187"/>
      <c r="AN16" s="181"/>
      <c r="AO16" s="115" t="s">
        <v>130</v>
      </c>
      <c r="AP16" s="130">
        <f>SUMIFS($O$2:$O$54,$B$2:$B$54,"="&amp;$AN15,$T$2:$T$54,"="&amp;$AM$15,$W$2:$W$54,"="&amp;AP$2)</f>
        <v>0</v>
      </c>
      <c r="AQ16" s="116">
        <f t="shared" ref="AQ16:AX16" si="102">SUMIFS($O$2:$O$54,$B$2:$B$54,"="&amp;$AN15,$T$2:$T$54,"="&amp;$AM$15,$W$2:$W$54,"="&amp;AQ$2)</f>
        <v>0</v>
      </c>
      <c r="AR16" s="116">
        <f t="shared" si="102"/>
        <v>0</v>
      </c>
      <c r="AS16" s="116">
        <f t="shared" si="102"/>
        <v>0</v>
      </c>
      <c r="AT16" s="116">
        <f t="shared" si="102"/>
        <v>0</v>
      </c>
      <c r="AU16" s="116">
        <f t="shared" si="102"/>
        <v>0</v>
      </c>
      <c r="AV16" s="116">
        <f t="shared" si="102"/>
        <v>0</v>
      </c>
      <c r="AW16" s="116">
        <f t="shared" si="102"/>
        <v>0</v>
      </c>
      <c r="AX16" s="115">
        <f t="shared" si="102"/>
        <v>0</v>
      </c>
      <c r="BD16" s="237"/>
      <c r="BE16" s="148">
        <v>2</v>
      </c>
      <c r="BF16" s="170">
        <f t="shared" ref="BF16:BF18" si="103">_xlfn.MAXIFS($O$2:$O$54,$T$2:$T$54,"="&amp;$BD$15,$B$2:$B$54,"="&amp;$BE16)</f>
        <v>68.099999999999994</v>
      </c>
      <c r="BG16" s="148">
        <f t="shared" ref="BG16:BG18" si="104">_xlfn.MINIFS($O$2:$O$54,$T$2:$T$54,"="&amp;$BD$15,$B$2:$B$54,"="&amp;$BE16)</f>
        <v>30.02</v>
      </c>
      <c r="BI16" s="236">
        <v>104</v>
      </c>
      <c r="BJ16" s="154">
        <v>1</v>
      </c>
      <c r="BK16" s="155">
        <f>_xlfn.MAXIFS($O$2:$O$54,$T$2:$T$54,"="&amp;$BI$16,$B$2:$B$54,"="&amp;$BJ16,$S$2:$S$54,"="&amp;BK$2)</f>
        <v>53.09</v>
      </c>
      <c r="BL16" s="154">
        <f>_xlfn.MINIFS($O$2:$O$54,$T$2:$T$54,"="&amp;$BI$16,$B$2:$B$54,"="&amp;$BJ16,$S$2:$S$54,"="&amp;BK$2)</f>
        <v>53.09</v>
      </c>
      <c r="BM16" s="155">
        <f t="shared" ref="BM16:BM19" si="105">_xlfn.MAXIFS($O$2:$O$54,$T$2:$T$54,"="&amp;$BI$16,$B$2:$B$54,"="&amp;$BJ16,$S$2:$S$54,"="&amp;BM$2)</f>
        <v>0</v>
      </c>
      <c r="BN16" s="154">
        <f t="shared" ref="BN16" si="106">_xlfn.MINIFS($O$2:$O$54,$T$2:$T$54,"="&amp;$BI$16,$B$2:$B$54,"="&amp;$BJ16,$S$2:$S$54,"="&amp;BM$2)</f>
        <v>0</v>
      </c>
      <c r="BO16" s="155">
        <f t="shared" ref="BO16:BO19" si="107">_xlfn.MAXIFS($O$2:$O$54,$T$2:$T$54,"="&amp;$BI$16,$B$2:$B$54,"="&amp;$BJ16,$S$2:$S$54,"="&amp;BO$2)</f>
        <v>0</v>
      </c>
      <c r="BP16" s="154">
        <f t="shared" ref="BP16" si="108">_xlfn.MINIFS($O$2:$O$54,$T$2:$T$54,"="&amp;$BI$16,$B$2:$B$54,"="&amp;$BJ16,$S$2:$S$54,"="&amp;BO$2)</f>
        <v>0</v>
      </c>
      <c r="BQ16" s="155">
        <f t="shared" ref="BQ16:BQ19" si="109">_xlfn.MAXIFS($O$2:$O$54,$T$2:$T$54,"="&amp;$BI$16,$B$2:$B$54,"="&amp;$BJ16,$S$2:$S$54,"="&amp;BQ$2)</f>
        <v>0</v>
      </c>
      <c r="BR16" s="154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3"/>
        <v>67</v>
      </c>
      <c r="H17" s="15">
        <v>54</v>
      </c>
      <c r="I17" s="10">
        <f t="shared" si="4"/>
        <v>49.09</v>
      </c>
      <c r="J17" s="15">
        <v>100</v>
      </c>
      <c r="K17" s="15">
        <v>59</v>
      </c>
      <c r="L17" s="10">
        <f t="shared" si="5"/>
        <v>53.64</v>
      </c>
      <c r="M17" s="15">
        <v>63</v>
      </c>
      <c r="N17" s="16">
        <v>100</v>
      </c>
      <c r="O17" s="12">
        <f t="shared" si="6"/>
        <v>63.95</v>
      </c>
      <c r="P17" s="25">
        <f t="shared" si="7"/>
        <v>30</v>
      </c>
      <c r="Q17" s="12">
        <f t="shared" si="8"/>
        <v>30</v>
      </c>
      <c r="R17" s="30"/>
      <c r="S17" s="27" t="str">
        <f t="shared" si="9"/>
        <v>2017</v>
      </c>
      <c r="T17" s="42" t="str">
        <f t="shared" si="10"/>
        <v>103</v>
      </c>
      <c r="U17" s="27" t="b">
        <f t="shared" si="11"/>
        <v>1</v>
      </c>
      <c r="V17" s="12" t="str">
        <f t="shared" si="1"/>
        <v>B</v>
      </c>
      <c r="W17" s="12" t="str">
        <f t="shared" si="2"/>
        <v>B0</v>
      </c>
      <c r="AA17" s="230" t="s">
        <v>117</v>
      </c>
      <c r="AB17" s="78">
        <v>101</v>
      </c>
      <c r="AC17" s="78">
        <v>102</v>
      </c>
      <c r="AD17" s="79">
        <v>103</v>
      </c>
      <c r="AE17" s="79">
        <v>104</v>
      </c>
      <c r="AF17" s="80">
        <v>105</v>
      </c>
      <c r="AM17" s="187"/>
      <c r="AN17" s="183"/>
      <c r="AO17" s="117" t="s">
        <v>131</v>
      </c>
      <c r="AP17" s="132" t="str">
        <f>IFERROR(ROUND(AVERAGEIFS($O$2:$O$54,$B$2:$B$54,"="&amp;$AN15,$T$2:$T$54,"="&amp;$AM$15,$W$2:$W$54,"="&amp;AP$2),2),"-")</f>
        <v>-</v>
      </c>
      <c r="AQ17" s="120" t="str">
        <f t="shared" ref="AQ17:AX17" si="111">IFERROR(ROUND(AVERAGEIFS($O$2:$O$54,$B$2:$B$54,"="&amp;$AN15,$T$2:$T$54,"="&amp;$AM$15,$W$2:$W$54,"="&amp;AQ$2),2),"-")</f>
        <v>-</v>
      </c>
      <c r="AR17" s="120" t="str">
        <f t="shared" si="111"/>
        <v>-</v>
      </c>
      <c r="AS17" s="120" t="str">
        <f t="shared" si="111"/>
        <v>-</v>
      </c>
      <c r="AT17" s="120" t="str">
        <f t="shared" si="111"/>
        <v>-</v>
      </c>
      <c r="AU17" s="120" t="str">
        <f t="shared" si="111"/>
        <v>-</v>
      </c>
      <c r="AV17" s="120" t="str">
        <f t="shared" si="111"/>
        <v>-</v>
      </c>
      <c r="AW17" s="120" t="str">
        <f t="shared" si="111"/>
        <v>-</v>
      </c>
      <c r="AX17" s="119" t="str">
        <f t="shared" si="111"/>
        <v>-</v>
      </c>
      <c r="BD17" s="237"/>
      <c r="BE17" s="148">
        <v>3</v>
      </c>
      <c r="BF17" s="170">
        <f t="shared" si="103"/>
        <v>82.26</v>
      </c>
      <c r="BG17" s="148">
        <f t="shared" si="104"/>
        <v>82.26</v>
      </c>
      <c r="BI17" s="237"/>
      <c r="BJ17" s="148">
        <v>2</v>
      </c>
      <c r="BK17" s="145">
        <f t="shared" ref="BK17:BK19" si="112">_xlfn.MAXIFS($O$2:$O$54,$T$2:$T$54,"="&amp;$BI$16,$B$2:$B$54,"="&amp;$BJ17,$S$2:$S$54,"="&amp;BK$2)</f>
        <v>43.09</v>
      </c>
      <c r="BL17" s="146">
        <f t="shared" ref="BL17:BL19" si="113">_xlfn.MINIFS($O$2:$O$54,$T$2:$T$54,"="&amp;$BI$16,$B$2:$B$54,"="&amp;$BJ17,$S$2:$S$54,"="&amp;BK$2)</f>
        <v>30.02</v>
      </c>
      <c r="BM17" s="145">
        <f t="shared" si="105"/>
        <v>68.099999999999994</v>
      </c>
      <c r="BN17" s="146">
        <f t="shared" ref="BN17" si="114">_xlfn.MINIFS($O$2:$O$54,$T$2:$T$54,"="&amp;$BI$16,$B$2:$B$54,"="&amp;$BJ17,$S$2:$S$54,"="&amp;BM$2)</f>
        <v>68.099999999999994</v>
      </c>
      <c r="BO17" s="145">
        <f t="shared" si="107"/>
        <v>0</v>
      </c>
      <c r="BP17" s="146">
        <f t="shared" ref="BP17" si="115">_xlfn.MINIFS($O$2:$O$54,$T$2:$T$54,"="&amp;$BI$16,$B$2:$B$54,"="&amp;$BJ17,$S$2:$S$54,"="&amp;BO$2)</f>
        <v>0</v>
      </c>
      <c r="BQ17" s="145">
        <f t="shared" si="109"/>
        <v>0</v>
      </c>
      <c r="BR17" s="146">
        <f t="shared" si="110"/>
        <v>0</v>
      </c>
    </row>
    <row r="18" spans="1:70" ht="20.100000000000001" customHeight="1" thickBot="1" x14ac:dyDescent="0.35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3"/>
        <v>70.5</v>
      </c>
      <c r="H18" s="15">
        <v>64</v>
      </c>
      <c r="I18" s="10">
        <f t="shared" si="4"/>
        <v>58.18</v>
      </c>
      <c r="J18" s="15">
        <v>100</v>
      </c>
      <c r="K18" s="15">
        <v>61</v>
      </c>
      <c r="L18" s="10">
        <f t="shared" si="5"/>
        <v>55.45</v>
      </c>
      <c r="M18" s="15">
        <v>26</v>
      </c>
      <c r="N18" s="16">
        <v>100</v>
      </c>
      <c r="O18" s="12">
        <f t="shared" si="6"/>
        <v>64.66</v>
      </c>
      <c r="P18" s="25">
        <f t="shared" si="7"/>
        <v>29</v>
      </c>
      <c r="Q18" s="12">
        <f t="shared" si="8"/>
        <v>29</v>
      </c>
      <c r="R18" s="30"/>
      <c r="S18" s="27" t="str">
        <f t="shared" si="9"/>
        <v>2015</v>
      </c>
      <c r="T18" s="42" t="str">
        <f t="shared" si="10"/>
        <v>104</v>
      </c>
      <c r="U18" s="27" t="b">
        <f t="shared" si="11"/>
        <v>1</v>
      </c>
      <c r="V18" s="12" t="str">
        <f t="shared" si="1"/>
        <v>B</v>
      </c>
      <c r="W18" s="12" t="str">
        <f t="shared" si="2"/>
        <v>B0</v>
      </c>
      <c r="AA18" s="231"/>
      <c r="AB18" s="81" t="s">
        <v>112</v>
      </c>
      <c r="AC18" s="81" t="s">
        <v>113</v>
      </c>
      <c r="AD18" s="82" t="s">
        <v>114</v>
      </c>
      <c r="AE18" s="82" t="s">
        <v>115</v>
      </c>
      <c r="AF18" s="83" t="s">
        <v>116</v>
      </c>
      <c r="AM18" s="187"/>
      <c r="AN18" s="180">
        <v>2</v>
      </c>
      <c r="AO18" s="121" t="s">
        <v>129</v>
      </c>
      <c r="AP18" s="133">
        <f t="shared" ref="AP18:AX24" si="116">COUNTIFS($B$2:$B$54,"="&amp;$AN18,$T$2:$T$54,"="&amp;$AM$15,$W$2:$W$54,"="&amp;AP$2)</f>
        <v>0</v>
      </c>
      <c r="AQ18" s="122">
        <f t="shared" si="116"/>
        <v>2</v>
      </c>
      <c r="AR18" s="122">
        <f t="shared" si="116"/>
        <v>0</v>
      </c>
      <c r="AS18" s="122">
        <f t="shared" si="116"/>
        <v>2</v>
      </c>
      <c r="AT18" s="122">
        <f t="shared" si="116"/>
        <v>1</v>
      </c>
      <c r="AU18" s="122">
        <f t="shared" si="116"/>
        <v>0</v>
      </c>
      <c r="AV18" s="122">
        <f t="shared" si="116"/>
        <v>0</v>
      </c>
      <c r="AW18" s="122">
        <f t="shared" si="116"/>
        <v>1</v>
      </c>
      <c r="AX18" s="121">
        <f t="shared" si="116"/>
        <v>0</v>
      </c>
      <c r="BD18" s="238"/>
      <c r="BE18" s="156">
        <v>4</v>
      </c>
      <c r="BF18" s="172">
        <f t="shared" si="103"/>
        <v>64.66</v>
      </c>
      <c r="BG18" s="156">
        <f t="shared" si="104"/>
        <v>48.16</v>
      </c>
      <c r="BI18" s="237"/>
      <c r="BJ18" s="148">
        <v>3</v>
      </c>
      <c r="BK18" s="145">
        <f t="shared" si="112"/>
        <v>0</v>
      </c>
      <c r="BL18" s="146">
        <f t="shared" si="113"/>
        <v>0</v>
      </c>
      <c r="BM18" s="145">
        <f t="shared" si="105"/>
        <v>82.26</v>
      </c>
      <c r="BN18" s="146">
        <f t="shared" ref="BN18" si="117">_xlfn.MINIFS($O$2:$O$54,$T$2:$T$54,"="&amp;$BI$16,$B$2:$B$54,"="&amp;$BJ18,$S$2:$S$54,"="&amp;BM$2)</f>
        <v>82.26</v>
      </c>
      <c r="BO18" s="145">
        <f t="shared" si="107"/>
        <v>0</v>
      </c>
      <c r="BP18" s="146">
        <f t="shared" ref="BP18" si="118">_xlfn.MINIFS($O$2:$O$54,$T$2:$T$54,"="&amp;$BI$16,$B$2:$B$54,"="&amp;$BJ18,$S$2:$S$54,"="&amp;BO$2)</f>
        <v>0</v>
      </c>
      <c r="BQ18" s="145">
        <f t="shared" si="109"/>
        <v>0</v>
      </c>
      <c r="BR18" s="146">
        <f t="shared" si="110"/>
        <v>0</v>
      </c>
    </row>
    <row r="19" spans="1:70" ht="20.100000000000001" customHeight="1" thickTop="1" thickBot="1" x14ac:dyDescent="0.35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3"/>
        <v>58.5</v>
      </c>
      <c r="H19" s="15">
        <v>71</v>
      </c>
      <c r="I19" s="10">
        <f t="shared" si="4"/>
        <v>64.55</v>
      </c>
      <c r="J19" s="15">
        <v>100</v>
      </c>
      <c r="K19" s="15">
        <v>80</v>
      </c>
      <c r="L19" s="10">
        <f t="shared" si="5"/>
        <v>72.73</v>
      </c>
      <c r="M19" s="15">
        <v>74</v>
      </c>
      <c r="N19" s="16">
        <v>100</v>
      </c>
      <c r="O19" s="12">
        <f t="shared" si="6"/>
        <v>69.819999999999993</v>
      </c>
      <c r="P19" s="25">
        <f t="shared" si="7"/>
        <v>20</v>
      </c>
      <c r="Q19" s="12">
        <f t="shared" si="8"/>
        <v>20</v>
      </c>
      <c r="R19" s="30"/>
      <c r="S19" s="27" t="str">
        <f t="shared" si="9"/>
        <v>2017</v>
      </c>
      <c r="T19" s="42" t="str">
        <f t="shared" si="10"/>
        <v>102</v>
      </c>
      <c r="U19" s="27" t="b">
        <f t="shared" si="11"/>
        <v>1</v>
      </c>
      <c r="V19" s="12" t="str">
        <f t="shared" si="1"/>
        <v>B</v>
      </c>
      <c r="W19" s="12" t="str">
        <f t="shared" si="2"/>
        <v>B+</v>
      </c>
      <c r="AA19" s="88" t="s">
        <v>104</v>
      </c>
      <c r="AB19" s="91">
        <f>COUNTIFS($T$2:$T$54,"="&amp;AB$17, $W$2:$W$54,"="&amp;$AA19)</f>
        <v>1</v>
      </c>
      <c r="AC19" s="78">
        <f t="shared" ref="AC19:AF27" si="119">COUNTIFS($T$2:$T$54,"="&amp;AC$17, $W$2:$W$54,"="&amp;$AA19)</f>
        <v>0</v>
      </c>
      <c r="AD19" s="78">
        <f t="shared" si="119"/>
        <v>1</v>
      </c>
      <c r="AE19" s="78">
        <f t="shared" si="119"/>
        <v>0</v>
      </c>
      <c r="AF19" s="92">
        <f t="shared" si="119"/>
        <v>1</v>
      </c>
      <c r="AM19" s="187"/>
      <c r="AN19" s="181"/>
      <c r="AO19" s="115" t="s">
        <v>130</v>
      </c>
      <c r="AP19" s="130">
        <f t="shared" ref="AP19" si="120">SUMIFS($O$2:$O$54,$B$2:$B$54,"="&amp;$AN18,$T$2:$T$54,"="&amp;$AM$15,$W$2:$W$54,"="&amp;AP$2)</f>
        <v>0</v>
      </c>
      <c r="AQ19" s="116">
        <f t="shared" ref="AQ19" si="121">SUMIFS($O$2:$O$54,$B$2:$B$54,"="&amp;$AN18,$T$2:$T$54,"="&amp;$AM$15,$W$2:$W$54,"="&amp;AQ$2)</f>
        <v>149.42000000000002</v>
      </c>
      <c r="AR19" s="116">
        <f t="shared" ref="AR19" si="122">SUMIFS($O$2:$O$54,$B$2:$B$54,"="&amp;$AN18,$T$2:$T$54,"="&amp;$AM$15,$W$2:$W$54,"="&amp;AR$2)</f>
        <v>0</v>
      </c>
      <c r="AS19" s="116">
        <f t="shared" ref="AS19" si="123">SUMIFS($O$2:$O$54,$B$2:$B$54,"="&amp;$AN18,$T$2:$T$54,"="&amp;$AM$15,$W$2:$W$54,"="&amp;AS$2)</f>
        <v>133.43</v>
      </c>
      <c r="AT19" s="116">
        <f t="shared" ref="AT19" si="124">SUMIFS($O$2:$O$54,$B$2:$B$54,"="&amp;$AN18,$T$2:$T$54,"="&amp;$AM$15,$W$2:$W$54,"="&amp;AT$2)</f>
        <v>56.97</v>
      </c>
      <c r="AU19" s="116">
        <f t="shared" ref="AU19" si="125">SUMIFS($O$2:$O$54,$B$2:$B$54,"="&amp;$AN18,$T$2:$T$54,"="&amp;$AM$15,$W$2:$W$54,"="&amp;AU$2)</f>
        <v>0</v>
      </c>
      <c r="AV19" s="116">
        <f t="shared" ref="AV19" si="126">SUMIFS($O$2:$O$54,$B$2:$B$54,"="&amp;$AN18,$T$2:$T$54,"="&amp;$AM$15,$W$2:$W$54,"="&amp;AV$2)</f>
        <v>0</v>
      </c>
      <c r="AW19" s="116">
        <f t="shared" ref="AW19" si="127">SUMIFS($O$2:$O$54,$B$2:$B$54,"="&amp;$AN18,$T$2:$T$54,"="&amp;$AM$15,$W$2:$W$54,"="&amp;AW$2)</f>
        <v>39.770000000000003</v>
      </c>
      <c r="AX19" s="115">
        <f t="shared" ref="AX19" si="128">SUMIFS($O$2:$O$54,$B$2:$B$54,"="&amp;$AN18,$T$2:$T$54,"="&amp;$AM$15,$W$2:$W$54,"="&amp;AX$2)</f>
        <v>0</v>
      </c>
      <c r="BD19" s="237">
        <v>105</v>
      </c>
      <c r="BE19" s="146">
        <v>1</v>
      </c>
      <c r="BF19" s="166">
        <f>_xlfn.MAXIFS($O$2:$O$54,$T$2:$T$54,"="&amp;$BD$19,$B$2:$B$54,"="&amp;$BE19)</f>
        <v>72.69</v>
      </c>
      <c r="BG19" s="146">
        <f>_xlfn.MINIFS($O$2:$O$54,$T$2:$T$54,"="&amp;$BD$19,$B$2:$B$54,"="&amp;$BE19)</f>
        <v>28.25</v>
      </c>
      <c r="BI19" s="238"/>
      <c r="BJ19" s="156">
        <v>4</v>
      </c>
      <c r="BK19" s="176">
        <f t="shared" si="112"/>
        <v>0</v>
      </c>
      <c r="BL19" s="177">
        <f t="shared" si="113"/>
        <v>0</v>
      </c>
      <c r="BM19" s="176">
        <f t="shared" si="105"/>
        <v>0</v>
      </c>
      <c r="BN19" s="177">
        <f t="shared" ref="BN19" si="129">_xlfn.MINIFS($O$2:$O$54,$T$2:$T$54,"="&amp;$BI$16,$B$2:$B$54,"="&amp;$BJ19,$S$2:$S$54,"="&amp;BM$2)</f>
        <v>0</v>
      </c>
      <c r="BO19" s="176">
        <f t="shared" si="107"/>
        <v>0</v>
      </c>
      <c r="BP19" s="177">
        <f t="shared" ref="BP19" si="130">_xlfn.MINIFS($O$2:$O$54,$T$2:$T$54,"="&amp;$BI$16,$B$2:$B$54,"="&amp;$BJ19,$S$2:$S$54,"="&amp;BO$2)</f>
        <v>0</v>
      </c>
      <c r="BQ19" s="176">
        <f t="shared" si="109"/>
        <v>64.66</v>
      </c>
      <c r="BR19" s="177">
        <f t="shared" si="110"/>
        <v>48.16</v>
      </c>
    </row>
    <row r="20" spans="1:70" ht="20.100000000000001" customHeight="1" thickTop="1" x14ac:dyDescent="0.3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3"/>
        <v>69.5</v>
      </c>
      <c r="H20" s="15">
        <v>89</v>
      </c>
      <c r="I20" s="10">
        <f t="shared" si="4"/>
        <v>80.91</v>
      </c>
      <c r="J20" s="15">
        <v>96.67</v>
      </c>
      <c r="K20" s="15">
        <v>60</v>
      </c>
      <c r="L20" s="10">
        <f t="shared" si="5"/>
        <v>54.55</v>
      </c>
      <c r="M20" s="15">
        <v>87</v>
      </c>
      <c r="N20" s="16">
        <v>100</v>
      </c>
      <c r="O20" s="12">
        <f t="shared" si="6"/>
        <v>77.989999999999995</v>
      </c>
      <c r="P20" s="25">
        <f t="shared" si="7"/>
        <v>6</v>
      </c>
      <c r="Q20" s="12">
        <f t="shared" si="8"/>
        <v>6</v>
      </c>
      <c r="R20" s="30"/>
      <c r="S20" s="27" t="str">
        <f t="shared" si="9"/>
        <v>2018</v>
      </c>
      <c r="T20" s="42" t="str">
        <f t="shared" si="10"/>
        <v>101</v>
      </c>
      <c r="U20" s="27" t="b">
        <f t="shared" si="11"/>
        <v>1</v>
      </c>
      <c r="V20" s="12" t="str">
        <f t="shared" si="1"/>
        <v>A</v>
      </c>
      <c r="W20" s="12" t="str">
        <f t="shared" si="2"/>
        <v>A0</v>
      </c>
      <c r="AA20" s="89" t="s">
        <v>105</v>
      </c>
      <c r="AB20" s="84">
        <f t="shared" ref="AB20:AB27" si="131">COUNTIFS($T$2:$T$54,"="&amp;AB$17, $W$2:$W$54,"="&amp;$AA20)</f>
        <v>4</v>
      </c>
      <c r="AC20" s="85">
        <f t="shared" si="119"/>
        <v>2</v>
      </c>
      <c r="AD20" s="85">
        <f t="shared" si="119"/>
        <v>2</v>
      </c>
      <c r="AE20" s="85">
        <f t="shared" si="119"/>
        <v>0</v>
      </c>
      <c r="AF20" s="93">
        <f t="shared" si="119"/>
        <v>3</v>
      </c>
      <c r="AM20" s="187"/>
      <c r="AN20" s="183"/>
      <c r="AO20" s="117" t="s">
        <v>131</v>
      </c>
      <c r="AP20" s="131" t="str">
        <f t="shared" ref="AP20:AX20" si="132">IFERROR(ROUND(AVERAGEIFS($O$2:$O$54,$B$2:$B$54,"="&amp;$AN18,$T$2:$T$54,"="&amp;$AM$15,$W$2:$W$54,"="&amp;AP$2),2),"-")</f>
        <v>-</v>
      </c>
      <c r="AQ20" s="118">
        <f t="shared" si="132"/>
        <v>74.709999999999994</v>
      </c>
      <c r="AR20" s="118" t="str">
        <f t="shared" si="132"/>
        <v>-</v>
      </c>
      <c r="AS20" s="118">
        <f t="shared" si="132"/>
        <v>66.72</v>
      </c>
      <c r="AT20" s="118">
        <f t="shared" si="132"/>
        <v>56.97</v>
      </c>
      <c r="AU20" s="118" t="str">
        <f t="shared" si="132"/>
        <v>-</v>
      </c>
      <c r="AV20" s="118" t="str">
        <f t="shared" si="132"/>
        <v>-</v>
      </c>
      <c r="AW20" s="118">
        <f t="shared" si="132"/>
        <v>39.770000000000003</v>
      </c>
      <c r="AX20" s="117" t="str">
        <f t="shared" si="132"/>
        <v>-</v>
      </c>
      <c r="BD20" s="237"/>
      <c r="BE20" s="148">
        <v>2</v>
      </c>
      <c r="BF20" s="170">
        <f t="shared" ref="BF20:BF22" si="133">_xlfn.MAXIFS($O$2:$O$54,$T$2:$T$54,"="&amp;$BD$19,$B$2:$B$54,"="&amp;$BE20)</f>
        <v>87.02</v>
      </c>
      <c r="BG20" s="148">
        <f t="shared" ref="BG20:BG22" si="134">_xlfn.MINIFS($O$2:$O$54,$T$2:$T$54,"="&amp;$BD$19,$B$2:$B$54,"="&amp;$BE20)</f>
        <v>43.86</v>
      </c>
      <c r="BI20" s="237">
        <v>105</v>
      </c>
      <c r="BJ20" s="146">
        <v>1</v>
      </c>
      <c r="BK20" s="166">
        <f>_xlfn.MAXIFS($O$2:$O$54,$T$2:$T$54,"="&amp;$BI$20,$B$2:$B$54,"="&amp;$BJ20,$S$2:$S$54,"="&amp;BK$2)</f>
        <v>72.69</v>
      </c>
      <c r="BL20" s="146">
        <f>_xlfn.MINIFS($O$2:$O$54,$T$2:$T$54,"="&amp;$BI$20,$B$2:$B$54,"="&amp;$BJ20,$S$2:$S$54,"="&amp;BK$2)</f>
        <v>72.69</v>
      </c>
      <c r="BM20" s="145">
        <f t="shared" ref="BM20:BM23" si="135">_xlfn.MAXIFS($O$2:$O$54,$T$2:$T$54,"="&amp;$BI$20,$B$2:$B$54,"="&amp;$BJ20,$S$2:$S$54,"="&amp;BM$2)</f>
        <v>28.25</v>
      </c>
      <c r="BN20" s="146">
        <f t="shared" ref="BN20" si="136">_xlfn.MINIFS($O$2:$O$54,$T$2:$T$54,"="&amp;$BI$20,$B$2:$B$54,"="&amp;$BJ20,$S$2:$S$54,"="&amp;BM$2)</f>
        <v>28.25</v>
      </c>
      <c r="BO20" s="145">
        <f t="shared" ref="BO20:BO23" si="137">_xlfn.MAXIFS($O$2:$O$54,$T$2:$T$54,"="&amp;$BI$20,$B$2:$B$54,"="&amp;$BJ20,$S$2:$S$54,"="&amp;BO$2)</f>
        <v>0</v>
      </c>
      <c r="BP20" s="146">
        <f t="shared" ref="BP20" si="138">_xlfn.MINIFS($O$2:$O$54,$T$2:$T$54,"="&amp;$BI$20,$B$2:$B$54,"="&amp;$BJ20,$S$2:$S$54,"="&amp;BO$2)</f>
        <v>0</v>
      </c>
      <c r="BQ20" s="145">
        <f t="shared" ref="BQ20:BQ23" si="139">_xlfn.MAXIFS($O$2:$O$54,$T$2:$T$54,"="&amp;$BI$20,$B$2:$B$54,"="&amp;$BJ20,$S$2:$S$54,"="&amp;BQ$2)</f>
        <v>0</v>
      </c>
      <c r="BR20" s="146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3"/>
        <v>72.5</v>
      </c>
      <c r="H21" s="15">
        <v>93</v>
      </c>
      <c r="I21" s="10">
        <f t="shared" si="4"/>
        <v>84.55</v>
      </c>
      <c r="J21" s="15">
        <v>98.89</v>
      </c>
      <c r="K21" s="15">
        <v>74</v>
      </c>
      <c r="L21" s="10">
        <f t="shared" si="5"/>
        <v>67.27</v>
      </c>
      <c r="M21" s="15">
        <v>50</v>
      </c>
      <c r="N21" s="16">
        <v>100</v>
      </c>
      <c r="O21" s="12">
        <f t="shared" si="6"/>
        <v>77.959999999999994</v>
      </c>
      <c r="P21" s="25">
        <f t="shared" si="7"/>
        <v>7</v>
      </c>
      <c r="Q21" s="12">
        <f>_xlfn.RANK.AVG(O21,$O$2:$O$54,0)</f>
        <v>7</v>
      </c>
      <c r="R21" s="30"/>
      <c r="S21" s="27" t="str">
        <f t="shared" si="9"/>
        <v>2016</v>
      </c>
      <c r="T21" s="42" t="str">
        <f t="shared" si="10"/>
        <v>101</v>
      </c>
      <c r="U21" s="27" t="b">
        <f t="shared" si="11"/>
        <v>1</v>
      </c>
      <c r="V21" s="12" t="str">
        <f t="shared" si="1"/>
        <v>A</v>
      </c>
      <c r="W21" s="12" t="str">
        <f t="shared" si="2"/>
        <v>A0</v>
      </c>
      <c r="AA21" s="89" t="s">
        <v>106</v>
      </c>
      <c r="AB21" s="84">
        <f t="shared" si="131"/>
        <v>2</v>
      </c>
      <c r="AC21" s="85">
        <f t="shared" si="119"/>
        <v>3</v>
      </c>
      <c r="AD21" s="85">
        <f t="shared" si="119"/>
        <v>1</v>
      </c>
      <c r="AE21" s="85">
        <f t="shared" si="119"/>
        <v>1</v>
      </c>
      <c r="AF21" s="93">
        <f t="shared" si="119"/>
        <v>2</v>
      </c>
      <c r="AM21" s="187"/>
      <c r="AN21" s="180">
        <v>3</v>
      </c>
      <c r="AO21" s="121" t="s">
        <v>129</v>
      </c>
      <c r="AP21" s="133">
        <f t="shared" ref="AP21" si="141">COUNTIFS($B$2:$B$54,"="&amp;$AN21,$T$2:$T$54,"="&amp;$AM$15,$W$2:$W$54,"="&amp;AP$2)</f>
        <v>0</v>
      </c>
      <c r="AQ21" s="122">
        <f t="shared" si="116"/>
        <v>0</v>
      </c>
      <c r="AR21" s="122">
        <f t="shared" si="116"/>
        <v>2</v>
      </c>
      <c r="AS21" s="122">
        <f t="shared" si="116"/>
        <v>0</v>
      </c>
      <c r="AT21" s="122">
        <f t="shared" si="116"/>
        <v>1</v>
      </c>
      <c r="AU21" s="122">
        <f t="shared" si="116"/>
        <v>0</v>
      </c>
      <c r="AV21" s="122">
        <f t="shared" si="116"/>
        <v>0</v>
      </c>
      <c r="AW21" s="122">
        <f t="shared" si="116"/>
        <v>0</v>
      </c>
      <c r="AX21" s="121">
        <f t="shared" si="116"/>
        <v>0</v>
      </c>
      <c r="BD21" s="237"/>
      <c r="BE21" s="148">
        <v>3</v>
      </c>
      <c r="BF21" s="170">
        <f t="shared" si="133"/>
        <v>68.150000000000006</v>
      </c>
      <c r="BG21" s="148">
        <f t="shared" si="134"/>
        <v>67.44</v>
      </c>
      <c r="BI21" s="237"/>
      <c r="BJ21" s="148">
        <v>2</v>
      </c>
      <c r="BK21" s="166">
        <f t="shared" ref="BK21:BK23" si="142">_xlfn.MAXIFS($O$2:$O$54,$T$2:$T$54,"="&amp;$BI$20,$B$2:$B$54,"="&amp;$BJ21,$S$2:$S$54,"="&amp;BK$2)</f>
        <v>87.02</v>
      </c>
      <c r="BL21" s="146">
        <f t="shared" ref="BL21:BL23" si="143">_xlfn.MINIFS($O$2:$O$54,$T$2:$T$54,"="&amp;$BI$20,$B$2:$B$54,"="&amp;$BJ21,$S$2:$S$54,"="&amp;BK$2)</f>
        <v>43.86</v>
      </c>
      <c r="BM21" s="145">
        <f t="shared" si="135"/>
        <v>0</v>
      </c>
      <c r="BN21" s="146">
        <f t="shared" ref="BN21" si="144">_xlfn.MINIFS($O$2:$O$54,$T$2:$T$54,"="&amp;$BI$20,$B$2:$B$54,"="&amp;$BJ21,$S$2:$S$54,"="&amp;BM$2)</f>
        <v>0</v>
      </c>
      <c r="BO21" s="145">
        <f t="shared" si="137"/>
        <v>70.52</v>
      </c>
      <c r="BP21" s="146">
        <f t="shared" ref="BP21" si="145">_xlfn.MINIFS($O$2:$O$54,$T$2:$T$54,"="&amp;$BI$20,$B$2:$B$54,"="&amp;$BJ21,$S$2:$S$54,"="&amp;BO$2)</f>
        <v>70.52</v>
      </c>
      <c r="BQ21" s="145">
        <f t="shared" si="139"/>
        <v>0</v>
      </c>
      <c r="BR21" s="146">
        <f t="shared" si="140"/>
        <v>0</v>
      </c>
    </row>
    <row r="22" spans="1:70" ht="20.100000000000001" customHeight="1" thickBot="1" x14ac:dyDescent="0.35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3"/>
        <v>41</v>
      </c>
      <c r="H22" s="15">
        <v>50</v>
      </c>
      <c r="I22" s="10">
        <f t="shared" si="4"/>
        <v>45.45</v>
      </c>
      <c r="J22" s="15">
        <v>94.44</v>
      </c>
      <c r="K22" s="15">
        <v>54</v>
      </c>
      <c r="L22" s="10">
        <f t="shared" si="5"/>
        <v>49.09</v>
      </c>
      <c r="M22" s="15">
        <v>26</v>
      </c>
      <c r="N22" s="16">
        <v>60</v>
      </c>
      <c r="O22" s="12">
        <f t="shared" si="6"/>
        <v>48.16</v>
      </c>
      <c r="P22" s="25">
        <f t="shared" si="7"/>
        <v>41</v>
      </c>
      <c r="Q22" s="12">
        <f t="shared" si="8"/>
        <v>41</v>
      </c>
      <c r="R22" s="30" t="s">
        <v>77</v>
      </c>
      <c r="S22" s="27" t="str">
        <f t="shared" si="9"/>
        <v>2015</v>
      </c>
      <c r="T22" s="42" t="str">
        <f t="shared" si="10"/>
        <v>104</v>
      </c>
      <c r="U22" s="27" t="b">
        <f t="shared" si="11"/>
        <v>1</v>
      </c>
      <c r="V22" s="12" t="str">
        <f t="shared" si="1"/>
        <v>C</v>
      </c>
      <c r="W22" s="12" t="str">
        <f t="shared" si="2"/>
        <v>C0</v>
      </c>
      <c r="AA22" s="89" t="s">
        <v>107</v>
      </c>
      <c r="AB22" s="84">
        <f t="shared" si="131"/>
        <v>0</v>
      </c>
      <c r="AC22" s="85">
        <f t="shared" si="119"/>
        <v>2</v>
      </c>
      <c r="AD22" s="85">
        <f t="shared" si="119"/>
        <v>2</v>
      </c>
      <c r="AE22" s="85">
        <f t="shared" si="119"/>
        <v>2</v>
      </c>
      <c r="AF22" s="93">
        <f t="shared" si="119"/>
        <v>2</v>
      </c>
      <c r="AM22" s="187"/>
      <c r="AN22" s="181"/>
      <c r="AO22" s="115" t="s">
        <v>130</v>
      </c>
      <c r="AP22" s="130">
        <f t="shared" ref="AP22" si="146">SUMIFS($O$2:$O$54,$B$2:$B$54,"="&amp;$AN21,$T$2:$T$54,"="&amp;$AM$15,$W$2:$W$54,"="&amp;AP$2)</f>
        <v>0</v>
      </c>
      <c r="AQ22" s="116">
        <f t="shared" ref="AQ22" si="147">SUMIFS($O$2:$O$54,$B$2:$B$54,"="&amp;$AN21,$T$2:$T$54,"="&amp;$AM$15,$W$2:$W$54,"="&amp;AQ$2)</f>
        <v>0</v>
      </c>
      <c r="AR22" s="116">
        <f t="shared" ref="AR22" si="148">SUMIFS($O$2:$O$54,$B$2:$B$54,"="&amp;$AN21,$T$2:$T$54,"="&amp;$AM$15,$W$2:$W$54,"="&amp;AR$2)</f>
        <v>142.27999999999997</v>
      </c>
      <c r="AS22" s="116">
        <f t="shared" ref="AS22" si="149">SUMIFS($O$2:$O$54,$B$2:$B$54,"="&amp;$AN21,$T$2:$T$54,"="&amp;$AM$15,$W$2:$W$54,"="&amp;AS$2)</f>
        <v>0</v>
      </c>
      <c r="AT22" s="116">
        <f t="shared" ref="AT22" si="150">SUMIFS($O$2:$O$54,$B$2:$B$54,"="&amp;$AN21,$T$2:$T$54,"="&amp;$AM$15,$W$2:$W$54,"="&amp;AT$2)</f>
        <v>60.36</v>
      </c>
      <c r="AU22" s="116">
        <f t="shared" ref="AU22" si="151">SUMIFS($O$2:$O$54,$B$2:$B$54,"="&amp;$AN21,$T$2:$T$54,"="&amp;$AM$15,$W$2:$W$54,"="&amp;AU$2)</f>
        <v>0</v>
      </c>
      <c r="AV22" s="116">
        <f t="shared" ref="AV22" si="152">SUMIFS($O$2:$O$54,$B$2:$B$54,"="&amp;$AN21,$T$2:$T$54,"="&amp;$AM$15,$W$2:$W$54,"="&amp;AV$2)</f>
        <v>0</v>
      </c>
      <c r="AW22" s="116">
        <f t="shared" ref="AW22" si="153">SUMIFS($O$2:$O$54,$B$2:$B$54,"="&amp;$AN21,$T$2:$T$54,"="&amp;$AM$15,$W$2:$W$54,"="&amp;AW$2)</f>
        <v>0</v>
      </c>
      <c r="AX22" s="115">
        <f t="shared" ref="AX22" si="154">SUMIFS($O$2:$O$54,$B$2:$B$54,"="&amp;$AN21,$T$2:$T$54,"="&amp;$AM$15,$W$2:$W$54,"="&amp;AX$2)</f>
        <v>0</v>
      </c>
      <c r="BD22" s="239"/>
      <c r="BE22" s="83">
        <v>4</v>
      </c>
      <c r="BF22" s="151">
        <f t="shared" si="133"/>
        <v>0</v>
      </c>
      <c r="BG22" s="83">
        <f t="shared" si="134"/>
        <v>0</v>
      </c>
      <c r="BI22" s="237"/>
      <c r="BJ22" s="148">
        <v>3</v>
      </c>
      <c r="BK22" s="166">
        <f t="shared" si="142"/>
        <v>0</v>
      </c>
      <c r="BL22" s="146">
        <f t="shared" si="143"/>
        <v>0</v>
      </c>
      <c r="BM22" s="145">
        <f t="shared" si="135"/>
        <v>0</v>
      </c>
      <c r="BN22" s="146">
        <f t="shared" ref="BN22" si="155">_xlfn.MINIFS($O$2:$O$54,$T$2:$T$54,"="&amp;$BI$20,$B$2:$B$54,"="&amp;$BJ22,$S$2:$S$54,"="&amp;BM$2)</f>
        <v>0</v>
      </c>
      <c r="BO22" s="145">
        <f t="shared" si="137"/>
        <v>0</v>
      </c>
      <c r="BP22" s="146">
        <f t="shared" ref="BP22" si="156">_xlfn.MINIFS($O$2:$O$54,$T$2:$T$54,"="&amp;$BI$20,$B$2:$B$54,"="&amp;$BJ22,$S$2:$S$54,"="&amp;BO$2)</f>
        <v>0</v>
      </c>
      <c r="BQ22" s="145">
        <f t="shared" si="139"/>
        <v>68.150000000000006</v>
      </c>
      <c r="BR22" s="146">
        <f t="shared" si="140"/>
        <v>67.44</v>
      </c>
    </row>
    <row r="23" spans="1:70" ht="20.100000000000001" customHeight="1" thickTop="1" thickBot="1" x14ac:dyDescent="0.35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3"/>
        <v>65.5</v>
      </c>
      <c r="H23" s="15">
        <v>56</v>
      </c>
      <c r="I23" s="10">
        <f t="shared" si="4"/>
        <v>50.91</v>
      </c>
      <c r="J23" s="15">
        <v>94.44</v>
      </c>
      <c r="K23" s="15">
        <v>47</v>
      </c>
      <c r="L23" s="10">
        <f t="shared" si="5"/>
        <v>42.73</v>
      </c>
      <c r="M23" s="15">
        <v>48</v>
      </c>
      <c r="N23" s="16">
        <v>80</v>
      </c>
      <c r="O23" s="12">
        <f t="shared" si="6"/>
        <v>59.99</v>
      </c>
      <c r="P23" s="25">
        <f t="shared" si="7"/>
        <v>34</v>
      </c>
      <c r="Q23" s="12">
        <f t="shared" si="8"/>
        <v>34</v>
      </c>
      <c r="R23" s="30"/>
      <c r="S23" s="27" t="str">
        <f t="shared" si="9"/>
        <v>2018</v>
      </c>
      <c r="T23" s="42" t="str">
        <f t="shared" si="10"/>
        <v>103</v>
      </c>
      <c r="U23" s="27" t="b">
        <f t="shared" si="11"/>
        <v>1</v>
      </c>
      <c r="V23" s="12" t="str">
        <f t="shared" si="1"/>
        <v>C</v>
      </c>
      <c r="W23" s="12" t="str">
        <f t="shared" si="2"/>
        <v>C+</v>
      </c>
      <c r="AA23" s="89" t="s">
        <v>108</v>
      </c>
      <c r="AB23" s="84">
        <f t="shared" si="131"/>
        <v>3</v>
      </c>
      <c r="AC23" s="85">
        <f t="shared" si="119"/>
        <v>2</v>
      </c>
      <c r="AD23" s="85">
        <f t="shared" si="119"/>
        <v>1</v>
      </c>
      <c r="AE23" s="85">
        <f t="shared" si="119"/>
        <v>0</v>
      </c>
      <c r="AF23" s="93">
        <f t="shared" si="119"/>
        <v>0</v>
      </c>
      <c r="AM23" s="187"/>
      <c r="AN23" s="183"/>
      <c r="AO23" s="117" t="s">
        <v>131</v>
      </c>
      <c r="AP23" s="131" t="str">
        <f t="shared" ref="AP23:AX23" si="157">IFERROR(ROUND(AVERAGEIFS($O$2:$O$54,$B$2:$B$54,"="&amp;$AN21,$T$2:$T$54,"="&amp;$AM$15,$W$2:$W$54,"="&amp;AP$2),2),"-")</f>
        <v>-</v>
      </c>
      <c r="AQ23" s="118" t="str">
        <f t="shared" si="157"/>
        <v>-</v>
      </c>
      <c r="AR23" s="118">
        <f t="shared" si="157"/>
        <v>71.14</v>
      </c>
      <c r="AS23" s="118" t="str">
        <f t="shared" si="157"/>
        <v>-</v>
      </c>
      <c r="AT23" s="118">
        <f t="shared" si="157"/>
        <v>60.36</v>
      </c>
      <c r="AU23" s="118" t="str">
        <f t="shared" si="157"/>
        <v>-</v>
      </c>
      <c r="AV23" s="118" t="str">
        <f t="shared" si="157"/>
        <v>-</v>
      </c>
      <c r="AW23" s="118" t="str">
        <f t="shared" si="157"/>
        <v>-</v>
      </c>
      <c r="AX23" s="117" t="str">
        <f t="shared" si="157"/>
        <v>-</v>
      </c>
      <c r="BI23" s="239"/>
      <c r="BJ23" s="83">
        <v>4</v>
      </c>
      <c r="BK23" s="164">
        <f t="shared" si="142"/>
        <v>0</v>
      </c>
      <c r="BL23" s="167">
        <f t="shared" si="143"/>
        <v>0</v>
      </c>
      <c r="BM23" s="173">
        <f t="shared" si="135"/>
        <v>0</v>
      </c>
      <c r="BN23" s="167">
        <f t="shared" ref="BN23" si="158">_xlfn.MINIFS($O$2:$O$54,$T$2:$T$54,"="&amp;$BI$20,$B$2:$B$54,"="&amp;$BJ23,$S$2:$S$54,"="&amp;BM$2)</f>
        <v>0</v>
      </c>
      <c r="BO23" s="173">
        <f t="shared" si="137"/>
        <v>0</v>
      </c>
      <c r="BP23" s="167">
        <f t="shared" ref="BP23" si="159">_xlfn.MINIFS($O$2:$O$54,$T$2:$T$54,"="&amp;$BI$20,$B$2:$B$54,"="&amp;$BJ23,$S$2:$S$54,"="&amp;BO$2)</f>
        <v>0</v>
      </c>
      <c r="BQ23" s="173">
        <f t="shared" si="139"/>
        <v>0</v>
      </c>
      <c r="BR23" s="167">
        <f t="shared" si="140"/>
        <v>0</v>
      </c>
    </row>
    <row r="24" spans="1:70" ht="20.100000000000001" customHeight="1" thickTop="1" x14ac:dyDescent="0.3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3"/>
        <v>55.5</v>
      </c>
      <c r="H24" s="15">
        <v>60</v>
      </c>
      <c r="I24" s="10">
        <f t="shared" si="4"/>
        <v>54.55</v>
      </c>
      <c r="J24" s="15">
        <v>94.44</v>
      </c>
      <c r="K24" s="15">
        <v>47</v>
      </c>
      <c r="L24" s="10">
        <f t="shared" si="5"/>
        <v>42.73</v>
      </c>
      <c r="M24" s="15">
        <v>30</v>
      </c>
      <c r="N24" s="16">
        <v>80</v>
      </c>
      <c r="O24" s="12">
        <f t="shared" si="6"/>
        <v>56.46</v>
      </c>
      <c r="P24" s="25">
        <f t="shared" si="7"/>
        <v>36</v>
      </c>
      <c r="Q24" s="12">
        <f t="shared" si="8"/>
        <v>36</v>
      </c>
      <c r="R24" s="30"/>
      <c r="S24" s="27" t="str">
        <f t="shared" si="9"/>
        <v>2016</v>
      </c>
      <c r="T24" s="42" t="str">
        <f t="shared" si="10"/>
        <v>101</v>
      </c>
      <c r="U24" s="27" t="b">
        <f t="shared" si="11"/>
        <v>1</v>
      </c>
      <c r="V24" s="12" t="str">
        <f t="shared" si="1"/>
        <v>C</v>
      </c>
      <c r="W24" s="12" t="str">
        <f t="shared" si="2"/>
        <v>C+</v>
      </c>
      <c r="AA24" s="89" t="s">
        <v>109</v>
      </c>
      <c r="AB24" s="84">
        <f t="shared" si="131"/>
        <v>2</v>
      </c>
      <c r="AC24" s="85">
        <f t="shared" si="119"/>
        <v>0</v>
      </c>
      <c r="AD24" s="85">
        <f t="shared" si="119"/>
        <v>1</v>
      </c>
      <c r="AE24" s="85">
        <f t="shared" si="119"/>
        <v>2</v>
      </c>
      <c r="AF24" s="93">
        <f t="shared" si="119"/>
        <v>0</v>
      </c>
      <c r="AM24" s="187"/>
      <c r="AN24" s="180">
        <v>4</v>
      </c>
      <c r="AO24" s="121" t="s">
        <v>129</v>
      </c>
      <c r="AP24" s="134">
        <f t="shared" ref="AP24" si="160">COUNTIFS($B$2:$B$54,"="&amp;$AN24,$T$2:$T$54,"="&amp;$AM$15,$W$2:$W$54,"="&amp;AP$2)</f>
        <v>0</v>
      </c>
      <c r="AQ24" s="124">
        <f t="shared" si="116"/>
        <v>0</v>
      </c>
      <c r="AR24" s="124">
        <f t="shared" si="116"/>
        <v>1</v>
      </c>
      <c r="AS24" s="124">
        <f t="shared" si="116"/>
        <v>0</v>
      </c>
      <c r="AT24" s="124">
        <f t="shared" si="116"/>
        <v>0</v>
      </c>
      <c r="AU24" s="124">
        <f t="shared" si="116"/>
        <v>0</v>
      </c>
      <c r="AV24" s="124">
        <f t="shared" si="116"/>
        <v>1</v>
      </c>
      <c r="AW24" s="124">
        <f t="shared" si="116"/>
        <v>0</v>
      </c>
      <c r="AX24" s="123">
        <f t="shared" si="116"/>
        <v>0</v>
      </c>
    </row>
    <row r="25" spans="1:70" ht="20.100000000000001" customHeight="1" x14ac:dyDescent="0.3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3"/>
        <v>65</v>
      </c>
      <c r="H25" s="15">
        <v>0</v>
      </c>
      <c r="I25" s="10">
        <f t="shared" si="4"/>
        <v>0</v>
      </c>
      <c r="J25" s="15">
        <v>60</v>
      </c>
      <c r="K25" s="15">
        <v>57</v>
      </c>
      <c r="L25" s="10">
        <f t="shared" si="5"/>
        <v>51.82</v>
      </c>
      <c r="M25" s="15">
        <v>0</v>
      </c>
      <c r="N25" s="16">
        <v>0</v>
      </c>
      <c r="O25" s="12">
        <f t="shared" si="6"/>
        <v>30.68</v>
      </c>
      <c r="P25" s="25">
        <f t="shared" si="7"/>
        <v>49</v>
      </c>
      <c r="Q25" s="12">
        <f t="shared" si="8"/>
        <v>49</v>
      </c>
      <c r="R25" s="30"/>
      <c r="S25" s="27" t="str">
        <f t="shared" si="9"/>
        <v>2017</v>
      </c>
      <c r="T25" s="42" t="str">
        <f t="shared" si="10"/>
        <v>101</v>
      </c>
      <c r="U25" s="27" t="b">
        <f t="shared" si="11"/>
        <v>1</v>
      </c>
      <c r="V25" s="12" t="str">
        <f t="shared" si="1"/>
        <v>F</v>
      </c>
      <c r="W25" s="12" t="str">
        <f t="shared" si="2"/>
        <v>F</v>
      </c>
      <c r="AA25" s="89" t="s">
        <v>110</v>
      </c>
      <c r="AB25" s="84">
        <f t="shared" si="131"/>
        <v>0</v>
      </c>
      <c r="AC25" s="85">
        <f t="shared" si="119"/>
        <v>1</v>
      </c>
      <c r="AD25" s="85">
        <f t="shared" si="119"/>
        <v>0</v>
      </c>
      <c r="AE25" s="85">
        <f t="shared" si="119"/>
        <v>1</v>
      </c>
      <c r="AF25" s="93">
        <f t="shared" si="119"/>
        <v>1</v>
      </c>
      <c r="AM25" s="187"/>
      <c r="AN25" s="181"/>
      <c r="AO25" s="115" t="s">
        <v>130</v>
      </c>
      <c r="AP25" s="130">
        <f t="shared" ref="AP25" si="161">SUMIFS($O$2:$O$54,$B$2:$B$54,"="&amp;$AN24,$T$2:$T$54,"="&amp;$AM$15,$W$2:$W$54,"="&amp;AP$2)</f>
        <v>0</v>
      </c>
      <c r="AQ25" s="116">
        <f t="shared" ref="AQ25" si="162">SUMIFS($O$2:$O$54,$B$2:$B$54,"="&amp;$AN24,$T$2:$T$54,"="&amp;$AM$15,$W$2:$W$54,"="&amp;AQ$2)</f>
        <v>0</v>
      </c>
      <c r="AR25" s="116">
        <f t="shared" ref="AR25" si="163">SUMIFS($O$2:$O$54,$B$2:$B$54,"="&amp;$AN24,$T$2:$T$54,"="&amp;$AM$15,$W$2:$W$54,"="&amp;AR$2)</f>
        <v>68.88</v>
      </c>
      <c r="AS25" s="116">
        <f t="shared" ref="AS25" si="164">SUMIFS($O$2:$O$54,$B$2:$B$54,"="&amp;$AN24,$T$2:$T$54,"="&amp;$AM$15,$W$2:$W$54,"="&amp;AS$2)</f>
        <v>0</v>
      </c>
      <c r="AT25" s="116">
        <f t="shared" ref="AT25" si="165">SUMIFS($O$2:$O$54,$B$2:$B$54,"="&amp;$AN24,$T$2:$T$54,"="&amp;$AM$15,$W$2:$W$54,"="&amp;AT$2)</f>
        <v>0</v>
      </c>
      <c r="AU25" s="116">
        <f t="shared" ref="AU25" si="166">SUMIFS($O$2:$O$54,$B$2:$B$54,"="&amp;$AN24,$T$2:$T$54,"="&amp;$AM$15,$W$2:$W$54,"="&amp;AU$2)</f>
        <v>0</v>
      </c>
      <c r="AV25" s="116">
        <f t="shared" ref="AV25" si="167">SUMIFS($O$2:$O$54,$B$2:$B$54,"="&amp;$AN24,$T$2:$T$54,"="&amp;$AM$15,$W$2:$W$54,"="&amp;AV$2)</f>
        <v>44.88</v>
      </c>
      <c r="AW25" s="116">
        <f t="shared" ref="AW25" si="168">SUMIFS($O$2:$O$54,$B$2:$B$54,"="&amp;$AN24,$T$2:$T$54,"="&amp;$AM$15,$W$2:$W$54,"="&amp;AW$2)</f>
        <v>0</v>
      </c>
      <c r="AX25" s="115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3"/>
        <v>81</v>
      </c>
      <c r="H26" s="15">
        <v>80</v>
      </c>
      <c r="I26" s="10">
        <f t="shared" si="4"/>
        <v>72.73</v>
      </c>
      <c r="J26" s="15">
        <v>96.67</v>
      </c>
      <c r="K26" s="15">
        <v>55</v>
      </c>
      <c r="L26" s="10">
        <f t="shared" si="5"/>
        <v>50</v>
      </c>
      <c r="M26" s="15">
        <v>83</v>
      </c>
      <c r="N26" s="16">
        <v>100</v>
      </c>
      <c r="O26" s="12">
        <f t="shared" si="6"/>
        <v>77.72</v>
      </c>
      <c r="P26" s="25">
        <f t="shared" si="7"/>
        <v>8</v>
      </c>
      <c r="Q26" s="12">
        <f t="shared" si="8"/>
        <v>8</v>
      </c>
      <c r="R26" s="30"/>
      <c r="S26" s="27" t="str">
        <f t="shared" si="9"/>
        <v>2016</v>
      </c>
      <c r="T26" s="42" t="str">
        <f t="shared" si="10"/>
        <v>101</v>
      </c>
      <c r="U26" s="27" t="b">
        <f t="shared" si="11"/>
        <v>1</v>
      </c>
      <c r="V26" s="12" t="str">
        <f t="shared" si="1"/>
        <v>A</v>
      </c>
      <c r="W26" s="12" t="str">
        <f t="shared" si="2"/>
        <v>A0</v>
      </c>
      <c r="AA26" s="89" t="s">
        <v>111</v>
      </c>
      <c r="AB26" s="84">
        <f t="shared" si="131"/>
        <v>1</v>
      </c>
      <c r="AC26" s="85">
        <f t="shared" si="119"/>
        <v>1</v>
      </c>
      <c r="AD26" s="85">
        <f t="shared" si="119"/>
        <v>0</v>
      </c>
      <c r="AE26" s="85">
        <f t="shared" si="119"/>
        <v>0</v>
      </c>
      <c r="AF26" s="93">
        <f t="shared" si="119"/>
        <v>0</v>
      </c>
      <c r="AM26" s="190"/>
      <c r="AN26" s="182"/>
      <c r="AO26" s="127" t="s">
        <v>131</v>
      </c>
      <c r="AP26" s="136" t="str">
        <f t="shared" ref="AP26:AX26" si="170">IFERROR(ROUND(AVERAGEIFS($O$2:$O$54,$B$2:$B$54,"="&amp;$AN24,$T$2:$T$54,"="&amp;$AM$15,$W$2:$W$54,"="&amp;AP$2),2),"-")</f>
        <v>-</v>
      </c>
      <c r="AQ26" s="128" t="str">
        <f t="shared" si="170"/>
        <v>-</v>
      </c>
      <c r="AR26" s="128">
        <f t="shared" si="170"/>
        <v>68.88</v>
      </c>
      <c r="AS26" s="128" t="str">
        <f t="shared" si="170"/>
        <v>-</v>
      </c>
      <c r="AT26" s="128" t="str">
        <f t="shared" si="170"/>
        <v>-</v>
      </c>
      <c r="AU26" s="128" t="str">
        <f t="shared" si="170"/>
        <v>-</v>
      </c>
      <c r="AV26" s="128">
        <f t="shared" si="170"/>
        <v>44.88</v>
      </c>
      <c r="AW26" s="128" t="str">
        <f t="shared" si="170"/>
        <v>-</v>
      </c>
      <c r="AX26" s="127" t="str">
        <f t="shared" si="170"/>
        <v>-</v>
      </c>
    </row>
    <row r="27" spans="1:70" ht="20.100000000000001" customHeight="1" thickTop="1" thickBot="1" x14ac:dyDescent="0.35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3"/>
        <v>70.5</v>
      </c>
      <c r="H27" s="15">
        <v>85</v>
      </c>
      <c r="I27" s="10">
        <f t="shared" si="4"/>
        <v>77.27</v>
      </c>
      <c r="J27" s="15">
        <v>100</v>
      </c>
      <c r="K27" s="15">
        <v>70</v>
      </c>
      <c r="L27" s="10">
        <f t="shared" si="5"/>
        <v>63.64</v>
      </c>
      <c r="M27" s="15">
        <v>77</v>
      </c>
      <c r="N27" s="16">
        <v>100</v>
      </c>
      <c r="O27" s="12">
        <f t="shared" si="6"/>
        <v>77.260000000000005</v>
      </c>
      <c r="P27" s="25">
        <f t="shared" si="7"/>
        <v>9</v>
      </c>
      <c r="Q27" s="12">
        <f t="shared" si="8"/>
        <v>9</v>
      </c>
      <c r="R27" s="30"/>
      <c r="S27" s="27" t="str">
        <f t="shared" si="9"/>
        <v>2018</v>
      </c>
      <c r="T27" s="42" t="str">
        <f t="shared" si="10"/>
        <v>105</v>
      </c>
      <c r="U27" s="27" t="b">
        <f t="shared" si="11"/>
        <v>1</v>
      </c>
      <c r="V27" s="12" t="str">
        <f t="shared" si="1"/>
        <v>A</v>
      </c>
      <c r="W27" s="12" t="str">
        <f t="shared" si="2"/>
        <v>A0</v>
      </c>
      <c r="AA27" s="90" t="s">
        <v>103</v>
      </c>
      <c r="AB27" s="94">
        <f t="shared" si="131"/>
        <v>3</v>
      </c>
      <c r="AC27" s="95">
        <f t="shared" si="119"/>
        <v>0</v>
      </c>
      <c r="AD27" s="95">
        <f t="shared" si="119"/>
        <v>1</v>
      </c>
      <c r="AE27" s="95">
        <f t="shared" si="119"/>
        <v>1</v>
      </c>
      <c r="AF27" s="96">
        <f t="shared" si="119"/>
        <v>1</v>
      </c>
      <c r="AM27" s="187">
        <v>103</v>
      </c>
      <c r="AN27" s="181">
        <v>1</v>
      </c>
      <c r="AO27" s="123" t="s">
        <v>129</v>
      </c>
      <c r="AP27" s="135">
        <f>COUNTIFS($B$2:$B$54,"="&amp;$AN27,$T$2:$T$54,"="&amp;$AM$27,$W$2:$W$54,"="&amp;AP$2)</f>
        <v>0</v>
      </c>
      <c r="AQ27" s="126">
        <f t="shared" ref="AQ27:AX27" si="171">COUNTIFS($B$2:$B$54,"="&amp;$AN27,$T$2:$T$54,"="&amp;$AM$27,$W$2:$W$54,"="&amp;AQ$2)</f>
        <v>0</v>
      </c>
      <c r="AR27" s="126">
        <f t="shared" si="171"/>
        <v>0</v>
      </c>
      <c r="AS27" s="126">
        <f t="shared" si="171"/>
        <v>0</v>
      </c>
      <c r="AT27" s="126">
        <f t="shared" si="171"/>
        <v>0</v>
      </c>
      <c r="AU27" s="126">
        <f t="shared" si="171"/>
        <v>0</v>
      </c>
      <c r="AV27" s="126">
        <f t="shared" si="171"/>
        <v>0</v>
      </c>
      <c r="AW27" s="126">
        <f t="shared" si="171"/>
        <v>0</v>
      </c>
      <c r="AX27" s="125">
        <f t="shared" si="171"/>
        <v>0</v>
      </c>
    </row>
    <row r="28" spans="1:70" ht="20.100000000000001" customHeight="1" thickTop="1" thickBot="1" x14ac:dyDescent="0.35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3"/>
        <v>76.5</v>
      </c>
      <c r="H28" s="15">
        <v>105</v>
      </c>
      <c r="I28" s="10">
        <f t="shared" si="4"/>
        <v>95.45</v>
      </c>
      <c r="J28" s="15">
        <v>100</v>
      </c>
      <c r="K28" s="15">
        <v>81</v>
      </c>
      <c r="L28" s="10">
        <f t="shared" si="5"/>
        <v>73.64</v>
      </c>
      <c r="M28" s="15">
        <v>83</v>
      </c>
      <c r="N28" s="16">
        <v>100</v>
      </c>
      <c r="O28" s="12">
        <f t="shared" si="6"/>
        <v>87.02</v>
      </c>
      <c r="P28" s="25">
        <f t="shared" si="7"/>
        <v>2</v>
      </c>
      <c r="Q28" s="12">
        <f t="shared" si="8"/>
        <v>2</v>
      </c>
      <c r="R28" s="30"/>
      <c r="S28" s="27" t="str">
        <f t="shared" si="9"/>
        <v>2018</v>
      </c>
      <c r="T28" s="42" t="str">
        <f t="shared" si="10"/>
        <v>105</v>
      </c>
      <c r="U28" s="27" t="b">
        <f t="shared" si="11"/>
        <v>1</v>
      </c>
      <c r="V28" s="12" t="str">
        <f t="shared" si="1"/>
        <v>A</v>
      </c>
      <c r="W28" s="12" t="str">
        <f t="shared" si="2"/>
        <v>A+</v>
      </c>
      <c r="AM28" s="187"/>
      <c r="AN28" s="181"/>
      <c r="AO28" s="115" t="s">
        <v>130</v>
      </c>
      <c r="AP28" s="130">
        <f>SUMIFS($O$2:$O$54,$B$2:$B$54,"="&amp;$AN27,$T$2:$T$54,"="&amp;$AM$27,$W$2:$W$54,"="&amp;AP$2)</f>
        <v>0</v>
      </c>
      <c r="AQ28" s="116">
        <f t="shared" ref="AQ28:AX28" si="172">SUMIFS($O$2:$O$54,$B$2:$B$54,"="&amp;$AN27,$T$2:$T$54,"="&amp;$AM$27,$W$2:$W$54,"="&amp;AQ$2)</f>
        <v>0</v>
      </c>
      <c r="AR28" s="116">
        <f t="shared" si="172"/>
        <v>0</v>
      </c>
      <c r="AS28" s="116">
        <f t="shared" si="172"/>
        <v>0</v>
      </c>
      <c r="AT28" s="116">
        <f t="shared" si="172"/>
        <v>0</v>
      </c>
      <c r="AU28" s="116">
        <f t="shared" si="172"/>
        <v>0</v>
      </c>
      <c r="AV28" s="116">
        <f t="shared" si="172"/>
        <v>0</v>
      </c>
      <c r="AW28" s="116">
        <f t="shared" si="172"/>
        <v>0</v>
      </c>
      <c r="AX28" s="115">
        <f t="shared" si="172"/>
        <v>0</v>
      </c>
    </row>
    <row r="29" spans="1:70" ht="20.100000000000001" customHeight="1" thickTop="1" x14ac:dyDescent="0.3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3"/>
        <v>43</v>
      </c>
      <c r="H29" s="15">
        <v>21</v>
      </c>
      <c r="I29" s="10">
        <f t="shared" si="4"/>
        <v>19.09</v>
      </c>
      <c r="J29" s="15">
        <v>78.89</v>
      </c>
      <c r="K29" s="15">
        <v>56</v>
      </c>
      <c r="L29" s="10">
        <f t="shared" si="5"/>
        <v>50.91</v>
      </c>
      <c r="M29" s="15">
        <v>13</v>
      </c>
      <c r="N29" s="16">
        <v>40</v>
      </c>
      <c r="O29" s="12">
        <f t="shared" si="6"/>
        <v>35.86</v>
      </c>
      <c r="P29" s="25">
        <f t="shared" si="7"/>
        <v>48</v>
      </c>
      <c r="Q29" s="12">
        <f t="shared" si="8"/>
        <v>48</v>
      </c>
      <c r="R29" s="30"/>
      <c r="S29" s="27" t="str">
        <f t="shared" si="9"/>
        <v>2018</v>
      </c>
      <c r="T29" s="42" t="str">
        <f t="shared" si="10"/>
        <v>101</v>
      </c>
      <c r="U29" s="27" t="b">
        <f t="shared" si="11"/>
        <v>1</v>
      </c>
      <c r="V29" s="12" t="str">
        <f t="shared" si="1"/>
        <v>F</v>
      </c>
      <c r="W29" s="12" t="str">
        <f t="shared" si="2"/>
        <v>F</v>
      </c>
      <c r="AA29" s="232" t="s">
        <v>117</v>
      </c>
      <c r="AB29" s="234">
        <v>101</v>
      </c>
      <c r="AC29" s="235"/>
      <c r="AD29" s="216">
        <v>102</v>
      </c>
      <c r="AE29" s="217"/>
      <c r="AF29" s="218">
        <v>103</v>
      </c>
      <c r="AG29" s="219"/>
      <c r="AH29" s="220">
        <v>104</v>
      </c>
      <c r="AI29" s="221"/>
      <c r="AJ29" s="218">
        <v>105</v>
      </c>
      <c r="AK29" s="222"/>
      <c r="AM29" s="187"/>
      <c r="AN29" s="183"/>
      <c r="AO29" s="117" t="s">
        <v>131</v>
      </c>
      <c r="AP29" s="132" t="str">
        <f>IFERROR(ROUND(AVERAGEIFS($O$2:$O$54,$B$2:$B$54,"="&amp;$AN27,$T$2:$T$54,"="&amp;$AM$27,$W$2:$W$54,"="&amp;AP$2),2),"-")</f>
        <v>-</v>
      </c>
      <c r="AQ29" s="120" t="str">
        <f t="shared" ref="AQ29:AX29" si="173">IFERROR(ROUND(AVERAGEIFS($O$2:$O$54,$B$2:$B$54,"="&amp;$AN27,$T$2:$T$54,"="&amp;$AM$27,$W$2:$W$54,"="&amp;AQ$2),2),"-")</f>
        <v>-</v>
      </c>
      <c r="AR29" s="120" t="str">
        <f t="shared" si="173"/>
        <v>-</v>
      </c>
      <c r="AS29" s="120" t="str">
        <f t="shared" si="173"/>
        <v>-</v>
      </c>
      <c r="AT29" s="120" t="str">
        <f t="shared" si="173"/>
        <v>-</v>
      </c>
      <c r="AU29" s="120" t="str">
        <f t="shared" si="173"/>
        <v>-</v>
      </c>
      <c r="AV29" s="120" t="str">
        <f t="shared" si="173"/>
        <v>-</v>
      </c>
      <c r="AW29" s="120" t="str">
        <f t="shared" si="173"/>
        <v>-</v>
      </c>
      <c r="AX29" s="119" t="str">
        <f t="shared" si="173"/>
        <v>-</v>
      </c>
    </row>
    <row r="30" spans="1:70" ht="20.100000000000001" customHeight="1" thickBot="1" x14ac:dyDescent="0.35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3"/>
        <v>56.5</v>
      </c>
      <c r="H30" s="15">
        <v>89</v>
      </c>
      <c r="I30" s="10">
        <f t="shared" si="4"/>
        <v>80.91</v>
      </c>
      <c r="J30" s="15">
        <v>100</v>
      </c>
      <c r="K30" s="15">
        <v>66</v>
      </c>
      <c r="L30" s="10">
        <f t="shared" si="5"/>
        <v>60</v>
      </c>
      <c r="M30" s="15">
        <v>75</v>
      </c>
      <c r="N30" s="16">
        <v>100</v>
      </c>
      <c r="O30" s="12">
        <f t="shared" si="6"/>
        <v>73.77</v>
      </c>
      <c r="P30" s="25">
        <f t="shared" si="7"/>
        <v>13</v>
      </c>
      <c r="Q30" s="12">
        <f t="shared" si="8"/>
        <v>13</v>
      </c>
      <c r="R30" s="30" t="s">
        <v>77</v>
      </c>
      <c r="S30" s="27" t="str">
        <f t="shared" si="9"/>
        <v>2017</v>
      </c>
      <c r="T30" s="42" t="str">
        <f t="shared" si="10"/>
        <v>103</v>
      </c>
      <c r="U30" s="27" t="b">
        <f t="shared" si="11"/>
        <v>0</v>
      </c>
      <c r="V30" s="12" t="str">
        <f t="shared" si="1"/>
        <v>A</v>
      </c>
      <c r="W30" s="12" t="str">
        <f t="shared" si="2"/>
        <v>A0</v>
      </c>
      <c r="AA30" s="233"/>
      <c r="AB30" s="87" t="s">
        <v>118</v>
      </c>
      <c r="AC30" s="99" t="s">
        <v>119</v>
      </c>
      <c r="AD30" s="102" t="s">
        <v>118</v>
      </c>
      <c r="AE30" s="103" t="s">
        <v>119</v>
      </c>
      <c r="AF30" s="100" t="s">
        <v>118</v>
      </c>
      <c r="AG30" s="99" t="s">
        <v>119</v>
      </c>
      <c r="AH30" s="102" t="s">
        <v>118</v>
      </c>
      <c r="AI30" s="103" t="s">
        <v>119</v>
      </c>
      <c r="AJ30" s="102" t="s">
        <v>118</v>
      </c>
      <c r="AK30" s="98" t="s">
        <v>119</v>
      </c>
      <c r="AM30" s="187"/>
      <c r="AN30" s="180">
        <v>2</v>
      </c>
      <c r="AO30" s="121" t="s">
        <v>129</v>
      </c>
      <c r="AP30" s="133">
        <f t="shared" ref="AP30:AX36" si="174">COUNTIFS($B$2:$B$54,"="&amp;$AN30,$T$2:$T$54,"="&amp;$AM$27,$W$2:$W$54,"="&amp;AP$2)</f>
        <v>0</v>
      </c>
      <c r="AQ30" s="122">
        <f t="shared" si="174"/>
        <v>0</v>
      </c>
      <c r="AR30" s="122">
        <f t="shared" si="174"/>
        <v>1</v>
      </c>
      <c r="AS30" s="122">
        <f t="shared" si="174"/>
        <v>1</v>
      </c>
      <c r="AT30" s="122">
        <f t="shared" si="174"/>
        <v>1</v>
      </c>
      <c r="AU30" s="122">
        <f t="shared" si="174"/>
        <v>1</v>
      </c>
      <c r="AV30" s="122">
        <f t="shared" si="174"/>
        <v>0</v>
      </c>
      <c r="AW30" s="122">
        <f t="shared" si="174"/>
        <v>0</v>
      </c>
      <c r="AX30" s="121">
        <f t="shared" si="174"/>
        <v>1</v>
      </c>
    </row>
    <row r="31" spans="1:70" ht="20.100000000000001" customHeight="1" thickTop="1" x14ac:dyDescent="0.3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3"/>
        <v>62</v>
      </c>
      <c r="H31" s="15">
        <v>97</v>
      </c>
      <c r="I31" s="10">
        <f t="shared" si="4"/>
        <v>88.18</v>
      </c>
      <c r="J31" s="15">
        <v>96.67</v>
      </c>
      <c r="K31" s="15">
        <v>60</v>
      </c>
      <c r="L31" s="10">
        <f t="shared" si="5"/>
        <v>54.55</v>
      </c>
      <c r="M31" s="15">
        <v>74</v>
      </c>
      <c r="N31" s="16">
        <v>100</v>
      </c>
      <c r="O31" s="12">
        <f t="shared" si="6"/>
        <v>76.989999999999995</v>
      </c>
      <c r="P31" s="25">
        <f t="shared" si="7"/>
        <v>10</v>
      </c>
      <c r="Q31" s="12">
        <f t="shared" si="8"/>
        <v>10</v>
      </c>
      <c r="R31" s="30"/>
      <c r="S31" s="27" t="str">
        <f t="shared" si="9"/>
        <v>2018</v>
      </c>
      <c r="T31" s="42" t="str">
        <f t="shared" si="10"/>
        <v>105</v>
      </c>
      <c r="U31" s="27" t="b">
        <f t="shared" si="11"/>
        <v>1</v>
      </c>
      <c r="V31" s="12" t="str">
        <f t="shared" si="1"/>
        <v>A</v>
      </c>
      <c r="W31" s="12" t="str">
        <f t="shared" si="2"/>
        <v>A0</v>
      </c>
      <c r="AA31" s="88" t="s">
        <v>104</v>
      </c>
      <c r="AB31" s="91">
        <f>SUMIFS($O$2:$O$54,$T$2:$T$54,"="&amp;AB$29,$W$2:$W$54,"="&amp;$AA31)</f>
        <v>89.82</v>
      </c>
      <c r="AC31" s="178">
        <f>IFERROR(ROUND(AVERAGEIFS($O$2:$O$54,$T$2:$T$54,"="&amp;AB$29,$W$2:$W$54,"="&amp;$AA31),2),0)</f>
        <v>89.82</v>
      </c>
      <c r="AD31" s="106">
        <f t="shared" ref="AD31:AD39" si="175">SUMIFS($O$2:$O$54,$T$2:$T$54,"="&amp;AD$29,$W$2:$W$54,"="&amp;$AA31)</f>
        <v>0</v>
      </c>
      <c r="AE31" s="178">
        <f>IFERROR(ROUND(AVERAGEIFS($O$2:$O$54,$T$2:$T$54,"="&amp;AD$29,$W$2:$W$54,"="&amp;$AA31),2),0)</f>
        <v>0</v>
      </c>
      <c r="AF31" s="107">
        <f t="shared" ref="AF31:AF39" si="176">SUMIFS($O$2:$O$54,$T$2:$T$54,"="&amp;AF$29,$W$2:$W$54,"="&amp;$AA31)</f>
        <v>81.27</v>
      </c>
      <c r="AG31" s="178">
        <f>IFERROR(ROUND(AVERAGEIFS($O$2:$O$54,$T$2:$T$54,"="&amp;AF$29,$W$2:$W$54,"="&amp;$AA31),2),0)</f>
        <v>81.27</v>
      </c>
      <c r="AH31" s="106">
        <f t="shared" ref="AH31:AH39" si="177">SUMIFS($O$2:$O$54,$T$2:$T$54,"="&amp;AH$29,$W$2:$W$54,"="&amp;$AA31)</f>
        <v>0</v>
      </c>
      <c r="AI31" s="178">
        <f>IFERROR(ROUND(AVERAGEIFS($O$2:$O$54,$T$2:$T$54,"="&amp;AH$29,$W$2:$W$54,"="&amp;$AA31),2),0)</f>
        <v>0</v>
      </c>
      <c r="AJ31" s="179">
        <f t="shared" ref="AJ31:AJ39" si="178">SUMIFS($O$2:$O$54,$T$2:$T$54,"="&amp;AJ$29,$W$2:$W$54,"="&amp;$AA31)</f>
        <v>87.02</v>
      </c>
      <c r="AK31" s="93">
        <f>IFERROR(ROUND(AVERAGEIFS($O$2:$O$54,$T$2:$T$54,"="&amp;AJ$29,$W$2:$W$54,"="&amp;$AA31),2),0)</f>
        <v>87.02</v>
      </c>
      <c r="AM31" s="187"/>
      <c r="AN31" s="181"/>
      <c r="AO31" s="115" t="s">
        <v>130</v>
      </c>
      <c r="AP31" s="130">
        <f t="shared" ref="AP31" si="179">SUMIFS($O$2:$O$54,$B$2:$B$54,"="&amp;$AN30,$T$2:$T$54,"="&amp;$AM$27,$W$2:$W$54,"="&amp;AP$2)</f>
        <v>0</v>
      </c>
      <c r="AQ31" s="116">
        <f t="shared" ref="AQ31" si="180">SUMIFS($O$2:$O$54,$B$2:$B$54,"="&amp;$AN30,$T$2:$T$54,"="&amp;$AM$27,$W$2:$W$54,"="&amp;AQ$2)</f>
        <v>0</v>
      </c>
      <c r="AR31" s="116">
        <f t="shared" ref="AR31" si="181">SUMIFS($O$2:$O$54,$B$2:$B$54,"="&amp;$AN30,$T$2:$T$54,"="&amp;$AM$27,$W$2:$W$54,"="&amp;AR$2)</f>
        <v>72.14</v>
      </c>
      <c r="AS31" s="116">
        <f t="shared" ref="AS31" si="182">SUMIFS($O$2:$O$54,$B$2:$B$54,"="&amp;$AN30,$T$2:$T$54,"="&amp;$AM$27,$W$2:$W$54,"="&amp;AS$2)</f>
        <v>63.95</v>
      </c>
      <c r="AT31" s="116">
        <f t="shared" ref="AT31" si="183">SUMIFS($O$2:$O$54,$B$2:$B$54,"="&amp;$AN30,$T$2:$T$54,"="&amp;$AM$27,$W$2:$W$54,"="&amp;AT$2)</f>
        <v>59.99</v>
      </c>
      <c r="AU31" s="116">
        <f t="shared" ref="AU31" si="184">SUMIFS($O$2:$O$54,$B$2:$B$54,"="&amp;$AN30,$T$2:$T$54,"="&amp;$AM$27,$W$2:$W$54,"="&amp;AU$2)</f>
        <v>45.71</v>
      </c>
      <c r="AV31" s="116">
        <f t="shared" ref="AV31" si="185">SUMIFS($O$2:$O$54,$B$2:$B$54,"="&amp;$AN30,$T$2:$T$54,"="&amp;$AM$27,$W$2:$W$54,"="&amp;AV$2)</f>
        <v>0</v>
      </c>
      <c r="AW31" s="116">
        <f t="shared" ref="AW31" si="186">SUMIFS($O$2:$O$54,$B$2:$B$54,"="&amp;$AN30,$T$2:$T$54,"="&amp;$AM$27,$W$2:$W$54,"="&amp;AW$2)</f>
        <v>0</v>
      </c>
      <c r="AX31" s="115">
        <f t="shared" ref="AX31" si="187">SUMIFS($O$2:$O$54,$B$2:$B$54,"="&amp;$AN30,$T$2:$T$54,"="&amp;$AM$27,$W$2:$W$54,"="&amp;AX$2)</f>
        <v>26.57</v>
      </c>
    </row>
    <row r="32" spans="1:70" ht="20.100000000000001" customHeight="1" x14ac:dyDescent="0.3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3"/>
        <v>28.5</v>
      </c>
      <c r="H32" s="15">
        <v>47</v>
      </c>
      <c r="I32" s="10">
        <f t="shared" si="4"/>
        <v>42.73</v>
      </c>
      <c r="J32" s="15">
        <v>90</v>
      </c>
      <c r="K32" s="15">
        <v>58</v>
      </c>
      <c r="L32" s="10">
        <f t="shared" si="5"/>
        <v>52.73</v>
      </c>
      <c r="M32" s="15">
        <v>21</v>
      </c>
      <c r="N32" s="16">
        <v>100</v>
      </c>
      <c r="O32" s="12">
        <f t="shared" si="6"/>
        <v>44.88</v>
      </c>
      <c r="P32" s="25">
        <f t="shared" si="7"/>
        <v>43</v>
      </c>
      <c r="Q32" s="12">
        <f t="shared" si="8"/>
        <v>43</v>
      </c>
      <c r="R32" s="30" t="s">
        <v>77</v>
      </c>
      <c r="S32" s="27" t="str">
        <f t="shared" si="9"/>
        <v>2016</v>
      </c>
      <c r="T32" s="42" t="str">
        <f t="shared" si="10"/>
        <v>102</v>
      </c>
      <c r="U32" s="27" t="b">
        <f t="shared" si="11"/>
        <v>0</v>
      </c>
      <c r="V32" s="12" t="str">
        <f t="shared" si="1"/>
        <v>D</v>
      </c>
      <c r="W32" s="12" t="str">
        <f t="shared" si="2"/>
        <v>D+</v>
      </c>
      <c r="AA32" s="89" t="s">
        <v>105</v>
      </c>
      <c r="AB32" s="86">
        <f t="shared" ref="AB32:AB39" si="188">SUMIFS($O$2:$O$54,$T$2:$T$54,"="&amp;AB$29,$W$2:$W$54,"="&amp;$AA32)</f>
        <v>312.51</v>
      </c>
      <c r="AC32" s="105">
        <f t="shared" ref="AC32:AC39" si="189">IFERROR(ROUND(AVERAGEIFS($O$2:$O$54,$T$2:$T$54,"="&amp;AB$29,$W$2:$W$54,"="&amp;$AA32),2),0)</f>
        <v>78.13</v>
      </c>
      <c r="AD32" s="104">
        <f t="shared" si="175"/>
        <v>149.42000000000002</v>
      </c>
      <c r="AE32" s="105">
        <f t="shared" ref="AE32:AE39" si="190">IFERROR(ROUND(AVERAGEIFS($O$2:$O$54,$T$2:$T$54,"="&amp;AD$29,$W$2:$W$54,"="&amp;$AA32),2),0)</f>
        <v>74.709999999999994</v>
      </c>
      <c r="AF32" s="101">
        <f t="shared" si="176"/>
        <v>149.1</v>
      </c>
      <c r="AG32" s="105">
        <f t="shared" ref="AG32:AG39" si="191">IFERROR(ROUND(AVERAGEIFS($O$2:$O$54,$T$2:$T$54,"="&amp;AF$29,$W$2:$W$54,"="&amp;$AA32),2),0)</f>
        <v>74.55</v>
      </c>
      <c r="AH32" s="104">
        <f t="shared" si="177"/>
        <v>0</v>
      </c>
      <c r="AI32" s="105">
        <f t="shared" ref="AI32:AI39" si="192">IFERROR(ROUND(AVERAGEIFS($O$2:$O$54,$T$2:$T$54,"="&amp;AH$29,$W$2:$W$54,"="&amp;$AA32),2),0)</f>
        <v>0</v>
      </c>
      <c r="AJ32" s="104">
        <f t="shared" si="178"/>
        <v>226.94</v>
      </c>
      <c r="AK32" s="97">
        <f t="shared" ref="AK32:AK39" si="193">IFERROR(ROUND(AVERAGEIFS($O$2:$O$54,$T$2:$T$54,"="&amp;AJ$29,$W$2:$W$54,"="&amp;$AA32),2),0)</f>
        <v>75.650000000000006</v>
      </c>
      <c r="AM32" s="187"/>
      <c r="AN32" s="183"/>
      <c r="AO32" s="117" t="s">
        <v>131</v>
      </c>
      <c r="AP32" s="131" t="str">
        <f t="shared" ref="AP32:AX32" si="194">IFERROR(ROUND(AVERAGEIFS($O$2:$O$54,$B$2:$B$54,"="&amp;$AN30,$T$2:$T$54,"="&amp;$AM$27,$W$2:$W$54,"="&amp;AP$2),2),"-")</f>
        <v>-</v>
      </c>
      <c r="AQ32" s="118" t="str">
        <f t="shared" si="194"/>
        <v>-</v>
      </c>
      <c r="AR32" s="118">
        <f t="shared" si="194"/>
        <v>72.14</v>
      </c>
      <c r="AS32" s="118">
        <f t="shared" si="194"/>
        <v>63.95</v>
      </c>
      <c r="AT32" s="118">
        <f t="shared" si="194"/>
        <v>59.99</v>
      </c>
      <c r="AU32" s="118">
        <f t="shared" si="194"/>
        <v>45.71</v>
      </c>
      <c r="AV32" s="118" t="str">
        <f t="shared" si="194"/>
        <v>-</v>
      </c>
      <c r="AW32" s="118" t="str">
        <f t="shared" si="194"/>
        <v>-</v>
      </c>
      <c r="AX32" s="117">
        <f t="shared" si="194"/>
        <v>26.57</v>
      </c>
    </row>
    <row r="33" spans="1:50" ht="20.100000000000001" customHeight="1" x14ac:dyDescent="0.3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3"/>
        <v>55.5</v>
      </c>
      <c r="H33" s="15">
        <v>52</v>
      </c>
      <c r="I33" s="10">
        <f t="shared" si="4"/>
        <v>47.27</v>
      </c>
      <c r="J33" s="15">
        <v>96.67</v>
      </c>
      <c r="K33" s="15">
        <v>23</v>
      </c>
      <c r="L33" s="10">
        <f t="shared" si="5"/>
        <v>20.91</v>
      </c>
      <c r="M33" s="15">
        <v>59</v>
      </c>
      <c r="N33" s="16">
        <v>70</v>
      </c>
      <c r="O33" s="12">
        <f t="shared" si="6"/>
        <v>54.35</v>
      </c>
      <c r="P33" s="25">
        <f t="shared" si="7"/>
        <v>38</v>
      </c>
      <c r="Q33" s="12">
        <f t="shared" si="8"/>
        <v>38</v>
      </c>
      <c r="R33" s="30"/>
      <c r="S33" s="27" t="str">
        <f t="shared" si="9"/>
        <v>2016</v>
      </c>
      <c r="T33" s="42" t="str">
        <f t="shared" si="10"/>
        <v>101</v>
      </c>
      <c r="U33" s="27" t="b">
        <f t="shared" si="11"/>
        <v>1</v>
      </c>
      <c r="V33" s="12" t="str">
        <f t="shared" si="1"/>
        <v>C</v>
      </c>
      <c r="W33" s="12" t="str">
        <f t="shared" si="2"/>
        <v>C0</v>
      </c>
      <c r="AA33" s="89" t="s">
        <v>106</v>
      </c>
      <c r="AB33" s="86">
        <f t="shared" si="188"/>
        <v>141.30000000000001</v>
      </c>
      <c r="AC33" s="105">
        <f t="shared" si="189"/>
        <v>70.650000000000006</v>
      </c>
      <c r="AD33" s="104">
        <f t="shared" si="175"/>
        <v>211.15999999999997</v>
      </c>
      <c r="AE33" s="105">
        <f t="shared" si="190"/>
        <v>70.39</v>
      </c>
      <c r="AF33" s="101">
        <f t="shared" si="176"/>
        <v>72.14</v>
      </c>
      <c r="AG33" s="105">
        <f t="shared" si="191"/>
        <v>72.14</v>
      </c>
      <c r="AH33" s="104">
        <f t="shared" si="177"/>
        <v>82.26</v>
      </c>
      <c r="AI33" s="105">
        <f t="shared" si="192"/>
        <v>82.26</v>
      </c>
      <c r="AJ33" s="104">
        <f t="shared" si="178"/>
        <v>139.26</v>
      </c>
      <c r="AK33" s="97">
        <f t="shared" si="193"/>
        <v>69.63</v>
      </c>
      <c r="AM33" s="187"/>
      <c r="AN33" s="180">
        <v>3</v>
      </c>
      <c r="AO33" s="121" t="s">
        <v>129</v>
      </c>
      <c r="AP33" s="133">
        <f t="shared" ref="AP33" si="195">COUNTIFS($B$2:$B$54,"="&amp;$AN33,$T$2:$T$54,"="&amp;$AM$27,$W$2:$W$54,"="&amp;AP$2)</f>
        <v>1</v>
      </c>
      <c r="AQ33" s="122">
        <f t="shared" si="174"/>
        <v>1</v>
      </c>
      <c r="AR33" s="122">
        <f t="shared" si="174"/>
        <v>0</v>
      </c>
      <c r="AS33" s="122">
        <f t="shared" si="174"/>
        <v>0</v>
      </c>
      <c r="AT33" s="122">
        <f t="shared" si="174"/>
        <v>0</v>
      </c>
      <c r="AU33" s="122">
        <f t="shared" si="174"/>
        <v>0</v>
      </c>
      <c r="AV33" s="122">
        <f t="shared" si="174"/>
        <v>0</v>
      </c>
      <c r="AW33" s="122">
        <f t="shared" si="174"/>
        <v>0</v>
      </c>
      <c r="AX33" s="121">
        <f t="shared" si="174"/>
        <v>0</v>
      </c>
    </row>
    <row r="34" spans="1:50" ht="20.100000000000001" customHeight="1" x14ac:dyDescent="0.3">
      <c r="A34" s="57">
        <v>33</v>
      </c>
      <c r="B34" s="15">
        <v>4</v>
      </c>
      <c r="C34" s="55">
        <v>201610102</v>
      </c>
      <c r="D34" s="40" t="str">
        <f t="shared" ref="D34:D54" si="196">VLOOKUP(VALUE(T34),$AA$4:$AB$8,2,FALSE)&amp;"학과"</f>
        <v>컴퓨터학과</v>
      </c>
      <c r="E34" s="15" t="s">
        <v>43</v>
      </c>
      <c r="F34" s="15">
        <v>46</v>
      </c>
      <c r="G34" s="10">
        <f t="shared" si="3"/>
        <v>23</v>
      </c>
      <c r="H34" s="15">
        <v>58</v>
      </c>
      <c r="I34" s="10">
        <f t="shared" si="4"/>
        <v>52.73</v>
      </c>
      <c r="J34" s="15">
        <v>86.67</v>
      </c>
      <c r="K34" s="15">
        <v>10</v>
      </c>
      <c r="L34" s="10">
        <f t="shared" si="5"/>
        <v>9.09</v>
      </c>
      <c r="M34" s="15">
        <v>10</v>
      </c>
      <c r="N34" s="16">
        <v>60</v>
      </c>
      <c r="O34" s="12">
        <f t="shared" si="6"/>
        <v>38.93</v>
      </c>
      <c r="P34" s="25">
        <f t="shared" si="7"/>
        <v>47</v>
      </c>
      <c r="Q34" s="12">
        <f t="shared" si="8"/>
        <v>47</v>
      </c>
      <c r="R34" s="30"/>
      <c r="S34" s="27" t="str">
        <f t="shared" si="9"/>
        <v>2016</v>
      </c>
      <c r="T34" s="42" t="str">
        <f t="shared" si="10"/>
        <v>101</v>
      </c>
      <c r="U34" s="27" t="b">
        <f t="shared" si="11"/>
        <v>1</v>
      </c>
      <c r="V34" s="12" t="str">
        <f t="shared" ref="V34:V54" si="197">IF(P34&lt;=$AB$11*0.3, "A", IF(P34&lt;=$AB$11*0.6, "B", IF(P34&lt;=$AB$11*0.8, "C", IF(P34&lt;=$AB$11*0.9, "D","F"))))</f>
        <v>D</v>
      </c>
      <c r="W34" s="12" t="str">
        <f t="shared" ref="W34:W54" si="198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89" t="s">
        <v>107</v>
      </c>
      <c r="AB34" s="86">
        <f t="shared" si="188"/>
        <v>0</v>
      </c>
      <c r="AC34" s="105">
        <f t="shared" si="189"/>
        <v>0</v>
      </c>
      <c r="AD34" s="104">
        <f t="shared" si="175"/>
        <v>133.43</v>
      </c>
      <c r="AE34" s="105">
        <f t="shared" si="190"/>
        <v>66.72</v>
      </c>
      <c r="AF34" s="101">
        <f t="shared" si="176"/>
        <v>126.81</v>
      </c>
      <c r="AG34" s="105">
        <f t="shared" si="191"/>
        <v>63.41</v>
      </c>
      <c r="AH34" s="104">
        <f t="shared" si="177"/>
        <v>132.76</v>
      </c>
      <c r="AI34" s="105">
        <f t="shared" si="192"/>
        <v>66.38</v>
      </c>
      <c r="AJ34" s="104">
        <f t="shared" si="178"/>
        <v>135.59</v>
      </c>
      <c r="AK34" s="97">
        <f t="shared" si="193"/>
        <v>67.8</v>
      </c>
      <c r="AM34" s="187"/>
      <c r="AN34" s="181"/>
      <c r="AO34" s="115" t="s">
        <v>130</v>
      </c>
      <c r="AP34" s="130">
        <f t="shared" ref="AP34" si="199">SUMIFS($O$2:$O$54,$B$2:$B$54,"="&amp;$AN33,$T$2:$T$54,"="&amp;$AM$27,$W$2:$W$54,"="&amp;AP$2)</f>
        <v>81.27</v>
      </c>
      <c r="AQ34" s="116">
        <f t="shared" ref="AQ34" si="200">SUMIFS($O$2:$O$54,$B$2:$B$54,"="&amp;$AN33,$T$2:$T$54,"="&amp;$AM$27,$W$2:$W$54,"="&amp;AQ$2)</f>
        <v>73.77</v>
      </c>
      <c r="AR34" s="116">
        <f t="shared" ref="AR34" si="201">SUMIFS($O$2:$O$54,$B$2:$B$54,"="&amp;$AN33,$T$2:$T$54,"="&amp;$AM$27,$W$2:$W$54,"="&amp;AR$2)</f>
        <v>0</v>
      </c>
      <c r="AS34" s="116">
        <f t="shared" ref="AS34" si="202">SUMIFS($O$2:$O$54,$B$2:$B$54,"="&amp;$AN33,$T$2:$T$54,"="&amp;$AM$27,$W$2:$W$54,"="&amp;AS$2)</f>
        <v>0</v>
      </c>
      <c r="AT34" s="116">
        <f t="shared" ref="AT34" si="203">SUMIFS($O$2:$O$54,$B$2:$B$54,"="&amp;$AN33,$T$2:$T$54,"="&amp;$AM$27,$W$2:$W$54,"="&amp;AT$2)</f>
        <v>0</v>
      </c>
      <c r="AU34" s="116">
        <f t="shared" ref="AU34" si="204">SUMIFS($O$2:$O$54,$B$2:$B$54,"="&amp;$AN33,$T$2:$T$54,"="&amp;$AM$27,$W$2:$W$54,"="&amp;AU$2)</f>
        <v>0</v>
      </c>
      <c r="AV34" s="116">
        <f t="shared" ref="AV34" si="205">SUMIFS($O$2:$O$54,$B$2:$B$54,"="&amp;$AN33,$T$2:$T$54,"="&amp;$AM$27,$W$2:$W$54,"="&amp;AV$2)</f>
        <v>0</v>
      </c>
      <c r="AW34" s="116">
        <f t="shared" ref="AW34" si="206">SUMIFS($O$2:$O$54,$B$2:$B$54,"="&amp;$AN33,$T$2:$T$54,"="&amp;$AM$27,$W$2:$W$54,"="&amp;AW$2)</f>
        <v>0</v>
      </c>
      <c r="AX34" s="115">
        <f t="shared" ref="AX34" si="207">SUMIFS($O$2:$O$54,$B$2:$B$54,"="&amp;$AN33,$T$2:$T$54,"="&amp;$AM$27,$W$2:$W$54,"="&amp;AX$2)</f>
        <v>0</v>
      </c>
    </row>
    <row r="35" spans="1:50" ht="20.100000000000001" customHeight="1" x14ac:dyDescent="0.3">
      <c r="A35" s="57">
        <v>34</v>
      </c>
      <c r="B35" s="15">
        <v>1</v>
      </c>
      <c r="C35" s="55">
        <v>201810418</v>
      </c>
      <c r="D35" s="40" t="str">
        <f t="shared" si="196"/>
        <v>게임학과</v>
      </c>
      <c r="E35" s="15" t="s">
        <v>44</v>
      </c>
      <c r="F35" s="15">
        <v>85</v>
      </c>
      <c r="G35" s="10">
        <f t="shared" si="3"/>
        <v>42.5</v>
      </c>
      <c r="H35" s="15">
        <v>58</v>
      </c>
      <c r="I35" s="10">
        <f t="shared" si="4"/>
        <v>52.73</v>
      </c>
      <c r="J35" s="15">
        <v>94.44</v>
      </c>
      <c r="K35" s="15">
        <v>40</v>
      </c>
      <c r="L35" s="10">
        <f t="shared" si="5"/>
        <v>36.36</v>
      </c>
      <c r="M35" s="15">
        <v>58</v>
      </c>
      <c r="N35" s="16">
        <v>60</v>
      </c>
      <c r="O35" s="12">
        <f t="shared" si="6"/>
        <v>53.09</v>
      </c>
      <c r="P35" s="25">
        <f t="shared" si="7"/>
        <v>39</v>
      </c>
      <c r="Q35" s="12">
        <f t="shared" si="8"/>
        <v>39</v>
      </c>
      <c r="R35" s="30"/>
      <c r="S35" s="27" t="str">
        <f t="shared" si="9"/>
        <v>2018</v>
      </c>
      <c r="T35" s="42" t="str">
        <f t="shared" si="10"/>
        <v>104</v>
      </c>
      <c r="U35" s="27" t="b">
        <f t="shared" si="11"/>
        <v>1</v>
      </c>
      <c r="V35" s="12" t="str">
        <f t="shared" si="197"/>
        <v>C</v>
      </c>
      <c r="W35" s="12" t="str">
        <f t="shared" si="198"/>
        <v>C0</v>
      </c>
      <c r="AA35" s="89" t="s">
        <v>108</v>
      </c>
      <c r="AB35" s="86">
        <f t="shared" si="188"/>
        <v>172.47</v>
      </c>
      <c r="AC35" s="105">
        <f t="shared" si="189"/>
        <v>57.49</v>
      </c>
      <c r="AD35" s="104">
        <f t="shared" si="175"/>
        <v>117.33</v>
      </c>
      <c r="AE35" s="105">
        <f t="shared" si="190"/>
        <v>58.67</v>
      </c>
      <c r="AF35" s="101">
        <f t="shared" si="176"/>
        <v>59.99</v>
      </c>
      <c r="AG35" s="105">
        <f t="shared" si="191"/>
        <v>59.99</v>
      </c>
      <c r="AH35" s="104">
        <f t="shared" si="177"/>
        <v>0</v>
      </c>
      <c r="AI35" s="105">
        <f t="shared" si="192"/>
        <v>0</v>
      </c>
      <c r="AJ35" s="104">
        <f t="shared" si="178"/>
        <v>0</v>
      </c>
      <c r="AK35" s="97">
        <f t="shared" si="193"/>
        <v>0</v>
      </c>
      <c r="AM35" s="187"/>
      <c r="AN35" s="183"/>
      <c r="AO35" s="117" t="s">
        <v>131</v>
      </c>
      <c r="AP35" s="131">
        <f t="shared" ref="AP35:AX35" si="208">IFERROR(ROUND(AVERAGEIFS($O$2:$O$54,$B$2:$B$54,"="&amp;$AN33,$T$2:$T$54,"="&amp;$AM$27,$W$2:$W$54,"="&amp;AP$2),2),"-")</f>
        <v>81.27</v>
      </c>
      <c r="AQ35" s="118">
        <f t="shared" si="208"/>
        <v>73.77</v>
      </c>
      <c r="AR35" s="118" t="str">
        <f t="shared" si="208"/>
        <v>-</v>
      </c>
      <c r="AS35" s="118" t="str">
        <f t="shared" si="208"/>
        <v>-</v>
      </c>
      <c r="AT35" s="118" t="str">
        <f t="shared" si="208"/>
        <v>-</v>
      </c>
      <c r="AU35" s="118" t="str">
        <f t="shared" si="208"/>
        <v>-</v>
      </c>
      <c r="AV35" s="118" t="str">
        <f t="shared" si="208"/>
        <v>-</v>
      </c>
      <c r="AW35" s="118" t="str">
        <f t="shared" si="208"/>
        <v>-</v>
      </c>
      <c r="AX35" s="117" t="str">
        <f t="shared" si="208"/>
        <v>-</v>
      </c>
    </row>
    <row r="36" spans="1:50" ht="20.100000000000001" customHeight="1" x14ac:dyDescent="0.3">
      <c r="A36" s="57">
        <v>35</v>
      </c>
      <c r="B36" s="15">
        <v>2</v>
      </c>
      <c r="C36" s="55">
        <v>201710223</v>
      </c>
      <c r="D36" s="40" t="str">
        <f t="shared" si="196"/>
        <v>보안학과</v>
      </c>
      <c r="E36" s="15" t="s">
        <v>45</v>
      </c>
      <c r="F36" s="15">
        <v>52</v>
      </c>
      <c r="G36" s="10">
        <f t="shared" si="3"/>
        <v>26</v>
      </c>
      <c r="H36" s="15">
        <v>56</v>
      </c>
      <c r="I36" s="10">
        <f t="shared" si="4"/>
        <v>50.91</v>
      </c>
      <c r="J36" s="15">
        <v>83.33</v>
      </c>
      <c r="K36" s="15">
        <v>31</v>
      </c>
      <c r="L36" s="10">
        <f t="shared" si="5"/>
        <v>28.18</v>
      </c>
      <c r="M36" s="15">
        <v>0</v>
      </c>
      <c r="N36" s="16">
        <v>60</v>
      </c>
      <c r="O36" s="12">
        <f t="shared" si="6"/>
        <v>39.770000000000003</v>
      </c>
      <c r="P36" s="25">
        <f t="shared" si="7"/>
        <v>46</v>
      </c>
      <c r="Q36" s="12">
        <f t="shared" si="8"/>
        <v>46</v>
      </c>
      <c r="R36" s="30" t="s">
        <v>77</v>
      </c>
      <c r="S36" s="27" t="str">
        <f t="shared" si="9"/>
        <v>2017</v>
      </c>
      <c r="T36" s="42" t="str">
        <f t="shared" si="10"/>
        <v>102</v>
      </c>
      <c r="U36" s="27" t="b">
        <f t="shared" si="11"/>
        <v>0</v>
      </c>
      <c r="V36" s="12" t="str">
        <f t="shared" si="197"/>
        <v>D</v>
      </c>
      <c r="W36" s="12" t="str">
        <f t="shared" si="198"/>
        <v>D0</v>
      </c>
      <c r="AA36" s="89" t="s">
        <v>109</v>
      </c>
      <c r="AB36" s="86">
        <f t="shared" si="188"/>
        <v>107.03999999999999</v>
      </c>
      <c r="AC36" s="105">
        <f t="shared" si="189"/>
        <v>53.52</v>
      </c>
      <c r="AD36" s="104">
        <f t="shared" si="175"/>
        <v>0</v>
      </c>
      <c r="AE36" s="105">
        <f t="shared" si="190"/>
        <v>0</v>
      </c>
      <c r="AF36" s="101">
        <f t="shared" si="176"/>
        <v>45.71</v>
      </c>
      <c r="AG36" s="105">
        <f t="shared" si="191"/>
        <v>45.71</v>
      </c>
      <c r="AH36" s="104">
        <f t="shared" si="177"/>
        <v>101.25</v>
      </c>
      <c r="AI36" s="105">
        <f t="shared" si="192"/>
        <v>50.63</v>
      </c>
      <c r="AJ36" s="104">
        <f t="shared" si="178"/>
        <v>0</v>
      </c>
      <c r="AK36" s="97">
        <f t="shared" si="193"/>
        <v>0</v>
      </c>
      <c r="AM36" s="187"/>
      <c r="AN36" s="180">
        <v>4</v>
      </c>
      <c r="AO36" s="121" t="s">
        <v>129</v>
      </c>
      <c r="AP36" s="134">
        <f t="shared" ref="AP36" si="209">COUNTIFS($B$2:$B$54,"="&amp;$AN36,$T$2:$T$54,"="&amp;$AM$27,$W$2:$W$54,"="&amp;AP$2)</f>
        <v>0</v>
      </c>
      <c r="AQ36" s="124">
        <f t="shared" si="174"/>
        <v>1</v>
      </c>
      <c r="AR36" s="124">
        <f t="shared" si="174"/>
        <v>0</v>
      </c>
      <c r="AS36" s="124">
        <f t="shared" si="174"/>
        <v>1</v>
      </c>
      <c r="AT36" s="124">
        <f t="shared" si="174"/>
        <v>0</v>
      </c>
      <c r="AU36" s="124">
        <f t="shared" si="174"/>
        <v>0</v>
      </c>
      <c r="AV36" s="124">
        <f t="shared" si="174"/>
        <v>0</v>
      </c>
      <c r="AW36" s="124">
        <f t="shared" si="174"/>
        <v>0</v>
      </c>
      <c r="AX36" s="123">
        <f t="shared" si="174"/>
        <v>0</v>
      </c>
    </row>
    <row r="37" spans="1:50" ht="20.100000000000001" customHeight="1" x14ac:dyDescent="0.3">
      <c r="A37" s="57">
        <v>36</v>
      </c>
      <c r="B37" s="15">
        <v>2</v>
      </c>
      <c r="C37" s="55">
        <v>201710339</v>
      </c>
      <c r="D37" s="40" t="str">
        <f t="shared" si="196"/>
        <v>전자학과</v>
      </c>
      <c r="E37" s="15" t="s">
        <v>46</v>
      </c>
      <c r="F37" s="15">
        <v>16</v>
      </c>
      <c r="G37" s="10">
        <f t="shared" si="3"/>
        <v>8</v>
      </c>
      <c r="H37" s="15">
        <v>20</v>
      </c>
      <c r="I37" s="10">
        <f t="shared" si="4"/>
        <v>18.18</v>
      </c>
      <c r="J37" s="15">
        <v>88.89</v>
      </c>
      <c r="K37" s="15">
        <v>20</v>
      </c>
      <c r="L37" s="10">
        <f t="shared" si="5"/>
        <v>18.18</v>
      </c>
      <c r="M37" s="15">
        <v>21</v>
      </c>
      <c r="N37" s="16">
        <v>100</v>
      </c>
      <c r="O37" s="12">
        <f t="shared" si="6"/>
        <v>26.57</v>
      </c>
      <c r="P37" s="25">
        <f t="shared" si="7"/>
        <v>53</v>
      </c>
      <c r="Q37" s="12">
        <f t="shared" si="8"/>
        <v>53</v>
      </c>
      <c r="R37" s="30"/>
      <c r="S37" s="27" t="str">
        <f t="shared" si="9"/>
        <v>2017</v>
      </c>
      <c r="T37" s="42" t="str">
        <f t="shared" si="10"/>
        <v>103</v>
      </c>
      <c r="U37" s="27" t="b">
        <f t="shared" si="11"/>
        <v>1</v>
      </c>
      <c r="V37" s="12" t="str">
        <f t="shared" si="197"/>
        <v>F</v>
      </c>
      <c r="W37" s="12" t="str">
        <f t="shared" si="198"/>
        <v>F</v>
      </c>
      <c r="AA37" s="89" t="s">
        <v>110</v>
      </c>
      <c r="AB37" s="86">
        <f t="shared" si="188"/>
        <v>0</v>
      </c>
      <c r="AC37" s="105">
        <f t="shared" si="189"/>
        <v>0</v>
      </c>
      <c r="AD37" s="104">
        <f t="shared" si="175"/>
        <v>44.88</v>
      </c>
      <c r="AE37" s="105">
        <f t="shared" si="190"/>
        <v>44.88</v>
      </c>
      <c r="AF37" s="101">
        <f t="shared" si="176"/>
        <v>0</v>
      </c>
      <c r="AG37" s="105">
        <f t="shared" si="191"/>
        <v>0</v>
      </c>
      <c r="AH37" s="104">
        <f t="shared" si="177"/>
        <v>43.09</v>
      </c>
      <c r="AI37" s="105">
        <f t="shared" si="192"/>
        <v>43.09</v>
      </c>
      <c r="AJ37" s="104">
        <f t="shared" si="178"/>
        <v>43.86</v>
      </c>
      <c r="AK37" s="97">
        <f t="shared" si="193"/>
        <v>43.86</v>
      </c>
      <c r="AM37" s="187"/>
      <c r="AN37" s="181"/>
      <c r="AO37" s="115" t="s">
        <v>130</v>
      </c>
      <c r="AP37" s="130">
        <f t="shared" ref="AP37" si="210">SUMIFS($O$2:$O$54,$B$2:$B$54,"="&amp;$AN36,$T$2:$T$54,"="&amp;$AM$27,$W$2:$W$54,"="&amp;AP$2)</f>
        <v>0</v>
      </c>
      <c r="AQ37" s="116">
        <f t="shared" ref="AQ37" si="211">SUMIFS($O$2:$O$54,$B$2:$B$54,"="&amp;$AN36,$T$2:$T$54,"="&amp;$AM$27,$W$2:$W$54,"="&amp;AQ$2)</f>
        <v>75.33</v>
      </c>
      <c r="AR37" s="116">
        <f t="shared" ref="AR37" si="212">SUMIFS($O$2:$O$54,$B$2:$B$54,"="&amp;$AN36,$T$2:$T$54,"="&amp;$AM$27,$W$2:$W$54,"="&amp;AR$2)</f>
        <v>0</v>
      </c>
      <c r="AS37" s="116">
        <f t="shared" ref="AS37" si="213">SUMIFS($O$2:$O$54,$B$2:$B$54,"="&amp;$AN36,$T$2:$T$54,"="&amp;$AM$27,$W$2:$W$54,"="&amp;AS$2)</f>
        <v>62.86</v>
      </c>
      <c r="AT37" s="116">
        <f t="shared" ref="AT37" si="214">SUMIFS($O$2:$O$54,$B$2:$B$54,"="&amp;$AN36,$T$2:$T$54,"="&amp;$AM$27,$W$2:$W$54,"="&amp;AT$2)</f>
        <v>0</v>
      </c>
      <c r="AU37" s="116">
        <f t="shared" ref="AU37" si="215">SUMIFS($O$2:$O$54,$B$2:$B$54,"="&amp;$AN36,$T$2:$T$54,"="&amp;$AM$27,$W$2:$W$54,"="&amp;AU$2)</f>
        <v>0</v>
      </c>
      <c r="AV37" s="116">
        <f t="shared" ref="AV37" si="216">SUMIFS($O$2:$O$54,$B$2:$B$54,"="&amp;$AN36,$T$2:$T$54,"="&amp;$AM$27,$W$2:$W$54,"="&amp;AV$2)</f>
        <v>0</v>
      </c>
      <c r="AW37" s="116">
        <f t="shared" ref="AW37" si="217">SUMIFS($O$2:$O$54,$B$2:$B$54,"="&amp;$AN36,$T$2:$T$54,"="&amp;$AM$27,$W$2:$W$54,"="&amp;AW$2)</f>
        <v>0</v>
      </c>
      <c r="AX37" s="115">
        <f t="shared" ref="AX37" si="218">SUMIFS($O$2:$O$54,$B$2:$B$54,"="&amp;$AN36,$T$2:$T$54,"="&amp;$AM$27,$W$2:$W$54,"="&amp;AX$2)</f>
        <v>0</v>
      </c>
    </row>
    <row r="38" spans="1:50" ht="20.100000000000001" customHeight="1" thickBot="1" x14ac:dyDescent="0.35">
      <c r="A38" s="57">
        <v>37</v>
      </c>
      <c r="B38" s="15">
        <v>2</v>
      </c>
      <c r="C38" s="55">
        <v>201810223</v>
      </c>
      <c r="D38" s="40" t="str">
        <f t="shared" si="196"/>
        <v>보안학과</v>
      </c>
      <c r="E38" s="15" t="s">
        <v>47</v>
      </c>
      <c r="F38" s="15">
        <v>143</v>
      </c>
      <c r="G38" s="10">
        <f t="shared" si="3"/>
        <v>71.5</v>
      </c>
      <c r="H38" s="15">
        <v>82</v>
      </c>
      <c r="I38" s="10">
        <f t="shared" si="4"/>
        <v>74.55</v>
      </c>
      <c r="J38" s="15">
        <v>100</v>
      </c>
      <c r="K38" s="15">
        <v>48</v>
      </c>
      <c r="L38" s="10">
        <f t="shared" si="5"/>
        <v>43.64</v>
      </c>
      <c r="M38" s="15">
        <v>65</v>
      </c>
      <c r="N38" s="16">
        <v>100</v>
      </c>
      <c r="O38" s="12">
        <f t="shared" si="6"/>
        <v>73.41</v>
      </c>
      <c r="P38" s="25">
        <f t="shared" si="7"/>
        <v>14</v>
      </c>
      <c r="Q38" s="12">
        <f t="shared" si="8"/>
        <v>14</v>
      </c>
      <c r="R38" s="30"/>
      <c r="S38" s="27" t="str">
        <f t="shared" si="9"/>
        <v>2018</v>
      </c>
      <c r="T38" s="42" t="str">
        <f t="shared" si="10"/>
        <v>102</v>
      </c>
      <c r="U38" s="27" t="b">
        <f t="shared" si="11"/>
        <v>1</v>
      </c>
      <c r="V38" s="12" t="str">
        <f t="shared" si="197"/>
        <v>A</v>
      </c>
      <c r="W38" s="12" t="str">
        <f t="shared" si="198"/>
        <v>A0</v>
      </c>
      <c r="AA38" s="89" t="s">
        <v>111</v>
      </c>
      <c r="AB38" s="86">
        <f t="shared" si="188"/>
        <v>38.93</v>
      </c>
      <c r="AC38" s="105">
        <f t="shared" si="189"/>
        <v>38.93</v>
      </c>
      <c r="AD38" s="104">
        <f t="shared" si="175"/>
        <v>39.770000000000003</v>
      </c>
      <c r="AE38" s="105">
        <f t="shared" si="190"/>
        <v>39.770000000000003</v>
      </c>
      <c r="AF38" s="101">
        <f t="shared" si="176"/>
        <v>0</v>
      </c>
      <c r="AG38" s="105">
        <f t="shared" si="191"/>
        <v>0</v>
      </c>
      <c r="AH38" s="104">
        <f t="shared" si="177"/>
        <v>0</v>
      </c>
      <c r="AI38" s="105">
        <f t="shared" si="192"/>
        <v>0</v>
      </c>
      <c r="AJ38" s="104">
        <f t="shared" si="178"/>
        <v>0</v>
      </c>
      <c r="AK38" s="97">
        <f t="shared" si="193"/>
        <v>0</v>
      </c>
      <c r="AM38" s="187"/>
      <c r="AN38" s="181"/>
      <c r="AO38" s="119" t="s">
        <v>131</v>
      </c>
      <c r="AP38" s="136" t="str">
        <f t="shared" ref="AP38:AX38" si="219">IFERROR(ROUND(AVERAGEIFS($O$2:$O$54,$B$2:$B$54,"="&amp;$AN36,$T$2:$T$54,"="&amp;$AM$27,$W$2:$W$54,"="&amp;AP$2),2),"-")</f>
        <v>-</v>
      </c>
      <c r="AQ38" s="128">
        <f t="shared" si="219"/>
        <v>75.33</v>
      </c>
      <c r="AR38" s="128" t="str">
        <f t="shared" si="219"/>
        <v>-</v>
      </c>
      <c r="AS38" s="128">
        <f t="shared" si="219"/>
        <v>62.86</v>
      </c>
      <c r="AT38" s="128" t="str">
        <f t="shared" si="219"/>
        <v>-</v>
      </c>
      <c r="AU38" s="128" t="str">
        <f t="shared" si="219"/>
        <v>-</v>
      </c>
      <c r="AV38" s="128" t="str">
        <f t="shared" si="219"/>
        <v>-</v>
      </c>
      <c r="AW38" s="128" t="str">
        <f t="shared" si="219"/>
        <v>-</v>
      </c>
      <c r="AX38" s="127" t="str">
        <f t="shared" si="219"/>
        <v>-</v>
      </c>
    </row>
    <row r="39" spans="1:50" ht="20.100000000000001" customHeight="1" thickTop="1" thickBot="1" x14ac:dyDescent="0.35">
      <c r="A39" s="57">
        <v>38</v>
      </c>
      <c r="B39" s="15">
        <v>3</v>
      </c>
      <c r="C39" s="55">
        <v>201510196</v>
      </c>
      <c r="D39" s="40" t="str">
        <f t="shared" si="196"/>
        <v>컴퓨터학과</v>
      </c>
      <c r="E39" s="15" t="s">
        <v>48</v>
      </c>
      <c r="F39" s="15">
        <v>160</v>
      </c>
      <c r="G39" s="10">
        <f t="shared" si="3"/>
        <v>80</v>
      </c>
      <c r="H39" s="15">
        <v>79</v>
      </c>
      <c r="I39" s="10">
        <f t="shared" si="4"/>
        <v>71.819999999999993</v>
      </c>
      <c r="J39" s="15">
        <v>91.11</v>
      </c>
      <c r="K39" s="15">
        <v>67</v>
      </c>
      <c r="L39" s="10">
        <f t="shared" si="5"/>
        <v>60.91</v>
      </c>
      <c r="M39" s="15">
        <v>95</v>
      </c>
      <c r="N39" s="16">
        <v>100</v>
      </c>
      <c r="O39" s="12">
        <f t="shared" si="6"/>
        <v>78.84</v>
      </c>
      <c r="P39" s="25">
        <f t="shared" si="7"/>
        <v>5</v>
      </c>
      <c r="Q39" s="12">
        <f t="shared" si="8"/>
        <v>5</v>
      </c>
      <c r="R39" s="30" t="s">
        <v>77</v>
      </c>
      <c r="S39" s="27" t="str">
        <f t="shared" si="9"/>
        <v>2015</v>
      </c>
      <c r="T39" s="42" t="str">
        <f t="shared" si="10"/>
        <v>101</v>
      </c>
      <c r="U39" s="27" t="b">
        <f t="shared" si="11"/>
        <v>1</v>
      </c>
      <c r="V39" s="12" t="str">
        <f t="shared" si="197"/>
        <v>A</v>
      </c>
      <c r="W39" s="12" t="str">
        <f t="shared" si="198"/>
        <v>A0</v>
      </c>
      <c r="AA39" s="90" t="s">
        <v>103</v>
      </c>
      <c r="AB39" s="87">
        <f t="shared" si="188"/>
        <v>96.93</v>
      </c>
      <c r="AC39" s="103">
        <f t="shared" si="189"/>
        <v>32.31</v>
      </c>
      <c r="AD39" s="102">
        <f t="shared" si="175"/>
        <v>0</v>
      </c>
      <c r="AE39" s="103">
        <f t="shared" si="190"/>
        <v>0</v>
      </c>
      <c r="AF39" s="100">
        <f t="shared" si="176"/>
        <v>26.57</v>
      </c>
      <c r="AG39" s="103">
        <f t="shared" si="191"/>
        <v>26.57</v>
      </c>
      <c r="AH39" s="102">
        <f t="shared" si="177"/>
        <v>30.02</v>
      </c>
      <c r="AI39" s="103">
        <f t="shared" si="192"/>
        <v>30.02</v>
      </c>
      <c r="AJ39" s="102">
        <f t="shared" si="178"/>
        <v>28.25</v>
      </c>
      <c r="AK39" s="98">
        <f t="shared" si="193"/>
        <v>28.25</v>
      </c>
      <c r="AM39" s="189">
        <v>104</v>
      </c>
      <c r="AN39" s="185">
        <v>1</v>
      </c>
      <c r="AO39" s="125" t="s">
        <v>129</v>
      </c>
      <c r="AP39" s="135">
        <f>COUNTIFS($B$2:$B$54,"="&amp;$AN39,$T$2:$T$54,"="&amp;$AM$39,$W$2:$W$54,"="&amp;AP$2)</f>
        <v>0</v>
      </c>
      <c r="AQ39" s="126">
        <f t="shared" ref="AQ39:AX39" si="220">COUNTIFS($B$2:$B$54,"="&amp;$AN39,$T$2:$T$54,"="&amp;$AM$39,$W$2:$W$54,"="&amp;AQ$2)</f>
        <v>0</v>
      </c>
      <c r="AR39" s="126">
        <f t="shared" si="220"/>
        <v>0</v>
      </c>
      <c r="AS39" s="126">
        <f t="shared" si="220"/>
        <v>0</v>
      </c>
      <c r="AT39" s="126">
        <f t="shared" si="220"/>
        <v>0</v>
      </c>
      <c r="AU39" s="126">
        <f t="shared" si="220"/>
        <v>1</v>
      </c>
      <c r="AV39" s="126">
        <f t="shared" si="220"/>
        <v>0</v>
      </c>
      <c r="AW39" s="126">
        <f t="shared" si="220"/>
        <v>0</v>
      </c>
      <c r="AX39" s="125">
        <f t="shared" si="220"/>
        <v>0</v>
      </c>
    </row>
    <row r="40" spans="1:50" ht="20.100000000000001" customHeight="1" thickTop="1" x14ac:dyDescent="0.3">
      <c r="A40" s="57">
        <v>39</v>
      </c>
      <c r="B40" s="15">
        <v>2</v>
      </c>
      <c r="C40" s="55">
        <v>201610106</v>
      </c>
      <c r="D40" s="40" t="str">
        <f t="shared" si="196"/>
        <v>컴퓨터학과</v>
      </c>
      <c r="E40" s="15" t="s">
        <v>49</v>
      </c>
      <c r="F40" s="15">
        <v>128</v>
      </c>
      <c r="G40" s="10">
        <f t="shared" si="3"/>
        <v>64</v>
      </c>
      <c r="H40" s="15">
        <v>85</v>
      </c>
      <c r="I40" s="10">
        <f t="shared" si="4"/>
        <v>77.27</v>
      </c>
      <c r="J40" s="15">
        <v>100</v>
      </c>
      <c r="K40" s="15">
        <v>60</v>
      </c>
      <c r="L40" s="10">
        <f t="shared" si="5"/>
        <v>54.55</v>
      </c>
      <c r="M40" s="15">
        <v>56</v>
      </c>
      <c r="N40" s="16">
        <v>100</v>
      </c>
      <c r="O40" s="12">
        <f t="shared" si="6"/>
        <v>72.3</v>
      </c>
      <c r="P40" s="25">
        <f t="shared" si="7"/>
        <v>17</v>
      </c>
      <c r="Q40" s="12">
        <f t="shared" si="8"/>
        <v>17</v>
      </c>
      <c r="R40" s="30"/>
      <c r="S40" s="27" t="str">
        <f t="shared" si="9"/>
        <v>2016</v>
      </c>
      <c r="T40" s="42" t="str">
        <f t="shared" si="10"/>
        <v>101</v>
      </c>
      <c r="U40" s="27" t="b">
        <f t="shared" si="11"/>
        <v>1</v>
      </c>
      <c r="V40" s="12" t="str">
        <f t="shared" si="197"/>
        <v>B</v>
      </c>
      <c r="W40" s="12" t="str">
        <f t="shared" si="198"/>
        <v>B+</v>
      </c>
      <c r="AM40" s="187"/>
      <c r="AN40" s="181"/>
      <c r="AO40" s="115" t="s">
        <v>130</v>
      </c>
      <c r="AP40" s="130">
        <f>SUMIFS($O$2:$O$54,$B$2:$B$54,"="&amp;$AN39,$T$2:$T$54,"="&amp;$AM$39,$W$2:$W$54,"="&amp;AP$2)</f>
        <v>0</v>
      </c>
      <c r="AQ40" s="116">
        <f t="shared" ref="AQ40:AX40" si="221">SUMIFS($O$2:$O$54,$B$2:$B$54,"="&amp;$AN39,$T$2:$T$54,"="&amp;$AM$39,$W$2:$W$54,"="&amp;AQ$2)</f>
        <v>0</v>
      </c>
      <c r="AR40" s="116">
        <f t="shared" si="221"/>
        <v>0</v>
      </c>
      <c r="AS40" s="116">
        <f t="shared" si="221"/>
        <v>0</v>
      </c>
      <c r="AT40" s="116">
        <f t="shared" si="221"/>
        <v>0</v>
      </c>
      <c r="AU40" s="116">
        <f t="shared" si="221"/>
        <v>53.09</v>
      </c>
      <c r="AV40" s="116">
        <f t="shared" si="221"/>
        <v>0</v>
      </c>
      <c r="AW40" s="116">
        <f t="shared" si="221"/>
        <v>0</v>
      </c>
      <c r="AX40" s="115">
        <f t="shared" si="221"/>
        <v>0</v>
      </c>
    </row>
    <row r="41" spans="1:50" ht="20.100000000000001" customHeight="1" x14ac:dyDescent="0.3">
      <c r="A41" s="57">
        <v>40</v>
      </c>
      <c r="B41" s="15">
        <v>2</v>
      </c>
      <c r="C41" s="55">
        <v>201710110</v>
      </c>
      <c r="D41" s="40" t="str">
        <f t="shared" si="196"/>
        <v>컴퓨터학과</v>
      </c>
      <c r="E41" s="15" t="s">
        <v>50</v>
      </c>
      <c r="F41" s="15">
        <v>167</v>
      </c>
      <c r="G41" s="10">
        <f t="shared" si="3"/>
        <v>83.5</v>
      </c>
      <c r="H41" s="15">
        <v>99</v>
      </c>
      <c r="I41" s="10">
        <f t="shared" si="4"/>
        <v>90</v>
      </c>
      <c r="J41" s="15">
        <v>100</v>
      </c>
      <c r="K41" s="15">
        <v>102</v>
      </c>
      <c r="L41" s="10">
        <f t="shared" si="5"/>
        <v>92.73</v>
      </c>
      <c r="M41" s="15">
        <v>90</v>
      </c>
      <c r="N41" s="16">
        <v>100</v>
      </c>
      <c r="O41" s="12">
        <f t="shared" si="6"/>
        <v>89.82</v>
      </c>
      <c r="P41" s="25">
        <f t="shared" si="7"/>
        <v>1</v>
      </c>
      <c r="Q41" s="12">
        <f t="shared" si="8"/>
        <v>1</v>
      </c>
      <c r="R41" s="30"/>
      <c r="S41" s="27" t="str">
        <f t="shared" si="9"/>
        <v>2017</v>
      </c>
      <c r="T41" s="42" t="str">
        <f t="shared" si="10"/>
        <v>101</v>
      </c>
      <c r="U41" s="27" t="b">
        <f t="shared" si="11"/>
        <v>1</v>
      </c>
      <c r="V41" s="12" t="str">
        <f t="shared" si="197"/>
        <v>A</v>
      </c>
      <c r="W41" s="12" t="str">
        <f t="shared" si="198"/>
        <v>A+</v>
      </c>
      <c r="AM41" s="187"/>
      <c r="AN41" s="183"/>
      <c r="AO41" s="117" t="s">
        <v>131</v>
      </c>
      <c r="AP41" s="132" t="str">
        <f>IFERROR(ROUND(AVERAGEIFS($O$2:$O$54,$B$2:$B$54,"="&amp;$AN39,$T$2:$T$54,"="&amp;$AM$39,$W$2:$W$54,"="&amp;AP$2),2),"-")</f>
        <v>-</v>
      </c>
      <c r="AQ41" s="120" t="str">
        <f t="shared" ref="AQ41:AX41" si="222">IFERROR(ROUND(AVERAGEIFS($O$2:$O$54,$B$2:$B$54,"="&amp;$AN39,$T$2:$T$54,"="&amp;$AM$39,$W$2:$W$54,"="&amp;AQ$2),2),"-")</f>
        <v>-</v>
      </c>
      <c r="AR41" s="120" t="str">
        <f t="shared" si="222"/>
        <v>-</v>
      </c>
      <c r="AS41" s="120" t="str">
        <f t="shared" si="222"/>
        <v>-</v>
      </c>
      <c r="AT41" s="120" t="str">
        <f t="shared" si="222"/>
        <v>-</v>
      </c>
      <c r="AU41" s="120">
        <f t="shared" si="222"/>
        <v>53.09</v>
      </c>
      <c r="AV41" s="120" t="str">
        <f t="shared" si="222"/>
        <v>-</v>
      </c>
      <c r="AW41" s="120" t="str">
        <f t="shared" si="222"/>
        <v>-</v>
      </c>
      <c r="AX41" s="119" t="str">
        <f t="shared" si="222"/>
        <v>-</v>
      </c>
    </row>
    <row r="42" spans="1:50" ht="20.100000000000001" customHeight="1" x14ac:dyDescent="0.3">
      <c r="A42" s="57">
        <v>41</v>
      </c>
      <c r="B42" s="15">
        <v>4</v>
      </c>
      <c r="C42" s="55">
        <v>201510311</v>
      </c>
      <c r="D42" s="40" t="str">
        <f t="shared" si="196"/>
        <v>전자학과</v>
      </c>
      <c r="E42" s="15" t="s">
        <v>51</v>
      </c>
      <c r="F42" s="15">
        <v>127</v>
      </c>
      <c r="G42" s="10">
        <f t="shared" si="3"/>
        <v>63.5</v>
      </c>
      <c r="H42" s="15">
        <v>80</v>
      </c>
      <c r="I42" s="10">
        <f t="shared" si="4"/>
        <v>72.73</v>
      </c>
      <c r="J42" s="15">
        <v>100</v>
      </c>
      <c r="K42" s="15">
        <v>74</v>
      </c>
      <c r="L42" s="10">
        <f t="shared" si="5"/>
        <v>67.27</v>
      </c>
      <c r="M42" s="15">
        <v>91</v>
      </c>
      <c r="N42" s="16">
        <v>100</v>
      </c>
      <c r="O42" s="12">
        <f t="shared" si="6"/>
        <v>75.33</v>
      </c>
      <c r="P42" s="25">
        <f t="shared" si="7"/>
        <v>12</v>
      </c>
      <c r="Q42" s="12">
        <f t="shared" si="8"/>
        <v>12</v>
      </c>
      <c r="R42" s="30" t="s">
        <v>77</v>
      </c>
      <c r="S42" s="27" t="str">
        <f t="shared" si="9"/>
        <v>2015</v>
      </c>
      <c r="T42" s="42" t="str">
        <f t="shared" si="10"/>
        <v>103</v>
      </c>
      <c r="U42" s="27" t="b">
        <f t="shared" si="11"/>
        <v>1</v>
      </c>
      <c r="V42" s="12" t="str">
        <f t="shared" si="197"/>
        <v>A</v>
      </c>
      <c r="W42" s="12" t="str">
        <f t="shared" si="198"/>
        <v>A0</v>
      </c>
      <c r="AM42" s="187"/>
      <c r="AN42" s="180">
        <v>2</v>
      </c>
      <c r="AO42" s="121" t="s">
        <v>129</v>
      </c>
      <c r="AP42" s="133">
        <f t="shared" ref="AP42:AX48" si="223">COUNTIFS($B$2:$B$54,"="&amp;$AN42,$T$2:$T$54,"="&amp;$AM$39,$W$2:$W$54,"="&amp;AP$2)</f>
        <v>0</v>
      </c>
      <c r="AQ42" s="122">
        <f t="shared" si="223"/>
        <v>0</v>
      </c>
      <c r="AR42" s="122">
        <f t="shared" si="223"/>
        <v>0</v>
      </c>
      <c r="AS42" s="122">
        <f t="shared" si="223"/>
        <v>1</v>
      </c>
      <c r="AT42" s="122">
        <f t="shared" si="223"/>
        <v>0</v>
      </c>
      <c r="AU42" s="122">
        <f t="shared" si="223"/>
        <v>0</v>
      </c>
      <c r="AV42" s="122">
        <f t="shared" si="223"/>
        <v>1</v>
      </c>
      <c r="AW42" s="122">
        <f t="shared" si="223"/>
        <v>0</v>
      </c>
      <c r="AX42" s="121">
        <f t="shared" si="223"/>
        <v>1</v>
      </c>
    </row>
    <row r="43" spans="1:50" ht="20.100000000000001" customHeight="1" x14ac:dyDescent="0.3">
      <c r="A43" s="57">
        <v>42</v>
      </c>
      <c r="B43" s="15">
        <v>4</v>
      </c>
      <c r="C43" s="55">
        <v>201510319</v>
      </c>
      <c r="D43" s="40" t="str">
        <f t="shared" si="196"/>
        <v>전자학과</v>
      </c>
      <c r="E43" s="15" t="s">
        <v>52</v>
      </c>
      <c r="F43" s="15">
        <v>86</v>
      </c>
      <c r="G43" s="10">
        <f t="shared" si="3"/>
        <v>43</v>
      </c>
      <c r="H43" s="15">
        <v>76</v>
      </c>
      <c r="I43" s="10">
        <f t="shared" si="4"/>
        <v>69.09</v>
      </c>
      <c r="J43" s="15">
        <v>98.89</v>
      </c>
      <c r="K43" s="15">
        <v>56</v>
      </c>
      <c r="L43" s="10">
        <f t="shared" si="5"/>
        <v>50.91</v>
      </c>
      <c r="M43" s="15">
        <v>58</v>
      </c>
      <c r="N43" s="16">
        <v>100</v>
      </c>
      <c r="O43" s="12">
        <f t="shared" si="6"/>
        <v>62.86</v>
      </c>
      <c r="P43" s="25">
        <f t="shared" si="7"/>
        <v>31</v>
      </c>
      <c r="Q43" s="12">
        <f t="shared" si="8"/>
        <v>31</v>
      </c>
      <c r="R43" s="30" t="s">
        <v>77</v>
      </c>
      <c r="S43" s="27" t="str">
        <f t="shared" si="9"/>
        <v>2015</v>
      </c>
      <c r="T43" s="42" t="str">
        <f t="shared" si="10"/>
        <v>103</v>
      </c>
      <c r="U43" s="27" t="b">
        <f t="shared" si="11"/>
        <v>1</v>
      </c>
      <c r="V43" s="12" t="str">
        <f t="shared" si="197"/>
        <v>B</v>
      </c>
      <c r="W43" s="12" t="str">
        <f t="shared" si="198"/>
        <v>B0</v>
      </c>
      <c r="AM43" s="187"/>
      <c r="AN43" s="181"/>
      <c r="AO43" s="115" t="s">
        <v>130</v>
      </c>
      <c r="AP43" s="130">
        <f t="shared" ref="AP43" si="224">SUMIFS($O$2:$O$54,$B$2:$B$54,"="&amp;$AN42,$T$2:$T$54,"="&amp;$AM$39,$W$2:$W$54,"="&amp;AP$2)</f>
        <v>0</v>
      </c>
      <c r="AQ43" s="116">
        <f t="shared" ref="AQ43" si="225">SUMIFS($O$2:$O$54,$B$2:$B$54,"="&amp;$AN42,$T$2:$T$54,"="&amp;$AM$39,$W$2:$W$54,"="&amp;AQ$2)</f>
        <v>0</v>
      </c>
      <c r="AR43" s="116">
        <f t="shared" ref="AR43" si="226">SUMIFS($O$2:$O$54,$B$2:$B$54,"="&amp;$AN42,$T$2:$T$54,"="&amp;$AM$39,$W$2:$W$54,"="&amp;AR$2)</f>
        <v>0</v>
      </c>
      <c r="AS43" s="116">
        <f t="shared" ref="AS43" si="227">SUMIFS($O$2:$O$54,$B$2:$B$54,"="&amp;$AN42,$T$2:$T$54,"="&amp;$AM$39,$W$2:$W$54,"="&amp;AS$2)</f>
        <v>68.099999999999994</v>
      </c>
      <c r="AT43" s="116">
        <f t="shared" ref="AT43" si="228">SUMIFS($O$2:$O$54,$B$2:$B$54,"="&amp;$AN42,$T$2:$T$54,"="&amp;$AM$39,$W$2:$W$54,"="&amp;AT$2)</f>
        <v>0</v>
      </c>
      <c r="AU43" s="116">
        <f t="shared" ref="AU43" si="229">SUMIFS($O$2:$O$54,$B$2:$B$54,"="&amp;$AN42,$T$2:$T$54,"="&amp;$AM$39,$W$2:$W$54,"="&amp;AU$2)</f>
        <v>0</v>
      </c>
      <c r="AV43" s="116">
        <f t="shared" ref="AV43" si="230">SUMIFS($O$2:$O$54,$B$2:$B$54,"="&amp;$AN42,$T$2:$T$54,"="&amp;$AM$39,$W$2:$W$54,"="&amp;AV$2)</f>
        <v>43.09</v>
      </c>
      <c r="AW43" s="116">
        <f t="shared" ref="AW43" si="231">SUMIFS($O$2:$O$54,$B$2:$B$54,"="&amp;$AN42,$T$2:$T$54,"="&amp;$AM$39,$W$2:$W$54,"="&amp;AW$2)</f>
        <v>0</v>
      </c>
      <c r="AX43" s="115">
        <f t="shared" ref="AX43" si="232">SUMIFS($O$2:$O$54,$B$2:$B$54,"="&amp;$AN42,$T$2:$T$54,"="&amp;$AM$39,$W$2:$W$54,"="&amp;AX$2)</f>
        <v>30.02</v>
      </c>
    </row>
    <row r="44" spans="1:50" ht="20.100000000000001" customHeight="1" x14ac:dyDescent="0.3">
      <c r="A44" s="57">
        <v>43</v>
      </c>
      <c r="B44" s="15">
        <v>3</v>
      </c>
      <c r="C44" s="55">
        <v>201510342</v>
      </c>
      <c r="D44" s="40" t="str">
        <f t="shared" si="196"/>
        <v>전자학과</v>
      </c>
      <c r="E44" s="15" t="s">
        <v>53</v>
      </c>
      <c r="F44" s="15">
        <v>160</v>
      </c>
      <c r="G44" s="10">
        <f t="shared" si="3"/>
        <v>80</v>
      </c>
      <c r="H44" s="15">
        <v>82</v>
      </c>
      <c r="I44" s="10">
        <f t="shared" si="4"/>
        <v>74.55</v>
      </c>
      <c r="J44" s="15">
        <v>100</v>
      </c>
      <c r="K44" s="15">
        <v>79</v>
      </c>
      <c r="L44" s="10">
        <f t="shared" si="5"/>
        <v>71.819999999999993</v>
      </c>
      <c r="M44" s="15">
        <v>90</v>
      </c>
      <c r="N44" s="16">
        <v>100</v>
      </c>
      <c r="O44" s="12">
        <f t="shared" si="6"/>
        <v>81.27</v>
      </c>
      <c r="P44" s="25">
        <f t="shared" si="7"/>
        <v>4</v>
      </c>
      <c r="Q44" s="12">
        <f t="shared" si="8"/>
        <v>4</v>
      </c>
      <c r="R44" s="30"/>
      <c r="S44" s="27" t="str">
        <f t="shared" si="9"/>
        <v>2015</v>
      </c>
      <c r="T44" s="42" t="str">
        <f t="shared" si="10"/>
        <v>103</v>
      </c>
      <c r="U44" s="27" t="b">
        <f t="shared" si="11"/>
        <v>1</v>
      </c>
      <c r="V44" s="12" t="str">
        <f t="shared" si="197"/>
        <v>A</v>
      </c>
      <c r="W44" s="12" t="str">
        <f t="shared" si="198"/>
        <v>A+</v>
      </c>
      <c r="AM44" s="187"/>
      <c r="AN44" s="183"/>
      <c r="AO44" s="117" t="s">
        <v>131</v>
      </c>
      <c r="AP44" s="131" t="str">
        <f t="shared" ref="AP44:AX44" si="233">IFERROR(ROUND(AVERAGEIFS($O$2:$O$54,$B$2:$B$54,"="&amp;$AN42,$T$2:$T$54,"="&amp;$AM$39,$W$2:$W$54,"="&amp;AP$2),2),"-")</f>
        <v>-</v>
      </c>
      <c r="AQ44" s="118" t="str">
        <f t="shared" si="233"/>
        <v>-</v>
      </c>
      <c r="AR44" s="118" t="str">
        <f t="shared" si="233"/>
        <v>-</v>
      </c>
      <c r="AS44" s="118">
        <f t="shared" si="233"/>
        <v>68.099999999999994</v>
      </c>
      <c r="AT44" s="118" t="str">
        <f t="shared" si="233"/>
        <v>-</v>
      </c>
      <c r="AU44" s="118" t="str">
        <f t="shared" si="233"/>
        <v>-</v>
      </c>
      <c r="AV44" s="118">
        <f t="shared" si="233"/>
        <v>43.09</v>
      </c>
      <c r="AW44" s="118" t="str">
        <f t="shared" si="233"/>
        <v>-</v>
      </c>
      <c r="AX44" s="117">
        <f t="shared" si="233"/>
        <v>30.02</v>
      </c>
    </row>
    <row r="45" spans="1:50" ht="20.100000000000001" customHeight="1" x14ac:dyDescent="0.3">
      <c r="A45" s="57">
        <v>44</v>
      </c>
      <c r="B45" s="15">
        <v>2</v>
      </c>
      <c r="C45" s="55">
        <v>201710460</v>
      </c>
      <c r="D45" s="40" t="str">
        <f t="shared" si="196"/>
        <v>게임학과</v>
      </c>
      <c r="E45" s="15" t="s">
        <v>54</v>
      </c>
      <c r="F45" s="15">
        <v>129</v>
      </c>
      <c r="G45" s="10">
        <f t="shared" si="3"/>
        <v>64.5</v>
      </c>
      <c r="H45" s="15">
        <v>70</v>
      </c>
      <c r="I45" s="10">
        <f t="shared" si="4"/>
        <v>63.64</v>
      </c>
      <c r="J45" s="15">
        <v>97.78</v>
      </c>
      <c r="K45" s="15">
        <v>66</v>
      </c>
      <c r="L45" s="10">
        <f t="shared" si="5"/>
        <v>60</v>
      </c>
      <c r="M45" s="15">
        <v>57</v>
      </c>
      <c r="N45" s="16">
        <v>100</v>
      </c>
      <c r="O45" s="12">
        <f t="shared" si="6"/>
        <v>68.099999999999994</v>
      </c>
      <c r="P45" s="25">
        <f t="shared" si="7"/>
        <v>25</v>
      </c>
      <c r="Q45" s="12">
        <f t="shared" si="8"/>
        <v>25</v>
      </c>
      <c r="R45" s="30"/>
      <c r="S45" s="27" t="str">
        <f t="shared" si="9"/>
        <v>2017</v>
      </c>
      <c r="T45" s="42" t="str">
        <f t="shared" si="10"/>
        <v>104</v>
      </c>
      <c r="U45" s="27" t="b">
        <f t="shared" si="11"/>
        <v>1</v>
      </c>
      <c r="V45" s="12" t="str">
        <f t="shared" si="197"/>
        <v>B</v>
      </c>
      <c r="W45" s="12" t="str">
        <f t="shared" si="198"/>
        <v>B0</v>
      </c>
      <c r="AM45" s="187"/>
      <c r="AN45" s="180">
        <v>3</v>
      </c>
      <c r="AO45" s="121" t="s">
        <v>129</v>
      </c>
      <c r="AP45" s="133">
        <f t="shared" ref="AP45" si="234">COUNTIFS($B$2:$B$54,"="&amp;$AN45,$T$2:$T$54,"="&amp;$AM$39,$W$2:$W$54,"="&amp;AP$2)</f>
        <v>0</v>
      </c>
      <c r="AQ45" s="122">
        <f t="shared" si="223"/>
        <v>0</v>
      </c>
      <c r="AR45" s="122">
        <f t="shared" si="223"/>
        <v>1</v>
      </c>
      <c r="AS45" s="122">
        <f t="shared" si="223"/>
        <v>0</v>
      </c>
      <c r="AT45" s="122">
        <f t="shared" si="223"/>
        <v>0</v>
      </c>
      <c r="AU45" s="122">
        <f t="shared" si="223"/>
        <v>0</v>
      </c>
      <c r="AV45" s="122">
        <f t="shared" si="223"/>
        <v>0</v>
      </c>
      <c r="AW45" s="122">
        <f t="shared" si="223"/>
        <v>0</v>
      </c>
      <c r="AX45" s="121">
        <f t="shared" si="223"/>
        <v>0</v>
      </c>
    </row>
    <row r="46" spans="1:50" ht="20.100000000000001" customHeight="1" x14ac:dyDescent="0.3">
      <c r="A46" s="57">
        <v>45</v>
      </c>
      <c r="B46" s="15">
        <v>3</v>
      </c>
      <c r="C46" s="55">
        <v>201710471</v>
      </c>
      <c r="D46" s="40" t="str">
        <f t="shared" si="196"/>
        <v>게임학과</v>
      </c>
      <c r="E46" s="15" t="s">
        <v>55</v>
      </c>
      <c r="F46" s="15">
        <v>155</v>
      </c>
      <c r="G46" s="10">
        <f t="shared" si="3"/>
        <v>77.5</v>
      </c>
      <c r="H46" s="15">
        <v>91</v>
      </c>
      <c r="I46" s="10">
        <f t="shared" si="4"/>
        <v>82.73</v>
      </c>
      <c r="J46" s="15">
        <v>100</v>
      </c>
      <c r="K46" s="15">
        <v>82</v>
      </c>
      <c r="L46" s="10">
        <f t="shared" si="5"/>
        <v>74.55</v>
      </c>
      <c r="M46" s="15">
        <v>76</v>
      </c>
      <c r="N46" s="16">
        <v>100</v>
      </c>
      <c r="O46" s="12">
        <f t="shared" si="6"/>
        <v>82.26</v>
      </c>
      <c r="P46" s="25">
        <f t="shared" si="7"/>
        <v>3</v>
      </c>
      <c r="Q46" s="12">
        <f t="shared" si="8"/>
        <v>3</v>
      </c>
      <c r="R46" s="30" t="s">
        <v>77</v>
      </c>
      <c r="S46" s="27" t="str">
        <f t="shared" si="9"/>
        <v>2017</v>
      </c>
      <c r="T46" s="42" t="str">
        <f t="shared" si="10"/>
        <v>104</v>
      </c>
      <c r="U46" s="27" t="b">
        <f t="shared" si="11"/>
        <v>0</v>
      </c>
      <c r="V46" s="12" t="str">
        <f t="shared" si="197"/>
        <v>A</v>
      </c>
      <c r="W46" s="12" t="str">
        <f t="shared" si="198"/>
        <v>B+</v>
      </c>
      <c r="AM46" s="187"/>
      <c r="AN46" s="181"/>
      <c r="AO46" s="115" t="s">
        <v>130</v>
      </c>
      <c r="AP46" s="130">
        <f t="shared" ref="AP46" si="235">SUMIFS($O$2:$O$54,$B$2:$B$54,"="&amp;$AN45,$T$2:$T$54,"="&amp;$AM$39,$W$2:$W$54,"="&amp;AP$2)</f>
        <v>0</v>
      </c>
      <c r="AQ46" s="116">
        <f t="shared" ref="AQ46" si="236">SUMIFS($O$2:$O$54,$B$2:$B$54,"="&amp;$AN45,$T$2:$T$54,"="&amp;$AM$39,$W$2:$W$54,"="&amp;AQ$2)</f>
        <v>0</v>
      </c>
      <c r="AR46" s="116">
        <f t="shared" ref="AR46" si="237">SUMIFS($O$2:$O$54,$B$2:$B$54,"="&amp;$AN45,$T$2:$T$54,"="&amp;$AM$39,$W$2:$W$54,"="&amp;AR$2)</f>
        <v>82.26</v>
      </c>
      <c r="AS46" s="116">
        <f t="shared" ref="AS46" si="238">SUMIFS($O$2:$O$54,$B$2:$B$54,"="&amp;$AN45,$T$2:$T$54,"="&amp;$AM$39,$W$2:$W$54,"="&amp;AS$2)</f>
        <v>0</v>
      </c>
      <c r="AT46" s="116">
        <f t="shared" ref="AT46" si="239">SUMIFS($O$2:$O$54,$B$2:$B$54,"="&amp;$AN45,$T$2:$T$54,"="&amp;$AM$39,$W$2:$W$54,"="&amp;AT$2)</f>
        <v>0</v>
      </c>
      <c r="AU46" s="116">
        <f t="shared" ref="AU46" si="240">SUMIFS($O$2:$O$54,$B$2:$B$54,"="&amp;$AN45,$T$2:$T$54,"="&amp;$AM$39,$W$2:$W$54,"="&amp;AU$2)</f>
        <v>0</v>
      </c>
      <c r="AV46" s="116">
        <f t="shared" ref="AV46" si="241">SUMIFS($O$2:$O$54,$B$2:$B$54,"="&amp;$AN45,$T$2:$T$54,"="&amp;$AM$39,$W$2:$W$54,"="&amp;AV$2)</f>
        <v>0</v>
      </c>
      <c r="AW46" s="116">
        <f t="shared" ref="AW46" si="242">SUMIFS($O$2:$O$54,$B$2:$B$54,"="&amp;$AN45,$T$2:$T$54,"="&amp;$AM$39,$W$2:$W$54,"="&amp;AW$2)</f>
        <v>0</v>
      </c>
      <c r="AX46" s="115">
        <f t="shared" ref="AX46" si="243">SUMIFS($O$2:$O$54,$B$2:$B$54,"="&amp;$AN45,$T$2:$T$54,"="&amp;$AM$39,$W$2:$W$54,"="&amp;AX$2)</f>
        <v>0</v>
      </c>
    </row>
    <row r="47" spans="1:50" ht="20.100000000000001" customHeight="1" x14ac:dyDescent="0.3">
      <c r="A47" s="57">
        <v>46</v>
      </c>
      <c r="B47" s="15">
        <v>2</v>
      </c>
      <c r="C47" s="55">
        <v>201710226</v>
      </c>
      <c r="D47" s="40" t="str">
        <f t="shared" si="196"/>
        <v>보안학과</v>
      </c>
      <c r="E47" s="15" t="s">
        <v>56</v>
      </c>
      <c r="F47" s="15">
        <v>105</v>
      </c>
      <c r="G47" s="10">
        <f t="shared" si="3"/>
        <v>52.5</v>
      </c>
      <c r="H47" s="15">
        <v>57</v>
      </c>
      <c r="I47" s="10">
        <f t="shared" si="4"/>
        <v>51.82</v>
      </c>
      <c r="J47" s="15">
        <v>97.78</v>
      </c>
      <c r="K47" s="15">
        <v>33</v>
      </c>
      <c r="L47" s="10">
        <f t="shared" si="5"/>
        <v>30</v>
      </c>
      <c r="M47" s="15">
        <v>53</v>
      </c>
      <c r="N47" s="16">
        <v>100</v>
      </c>
      <c r="O47" s="12">
        <f t="shared" si="6"/>
        <v>56.97</v>
      </c>
      <c r="P47" s="25">
        <f t="shared" si="7"/>
        <v>35</v>
      </c>
      <c r="Q47" s="12">
        <f t="shared" si="8"/>
        <v>35</v>
      </c>
      <c r="R47" s="30"/>
      <c r="S47" s="27" t="str">
        <f t="shared" si="9"/>
        <v>2017</v>
      </c>
      <c r="T47" s="42" t="str">
        <f t="shared" si="10"/>
        <v>102</v>
      </c>
      <c r="U47" s="27" t="b">
        <f t="shared" si="11"/>
        <v>1</v>
      </c>
      <c r="V47" s="12" t="str">
        <f t="shared" si="197"/>
        <v>C</v>
      </c>
      <c r="W47" s="12" t="str">
        <f t="shared" si="198"/>
        <v>C+</v>
      </c>
      <c r="AM47" s="187"/>
      <c r="AN47" s="183"/>
      <c r="AO47" s="117" t="s">
        <v>131</v>
      </c>
      <c r="AP47" s="131" t="str">
        <f t="shared" ref="AP47:AX47" si="244">IFERROR(ROUND(AVERAGEIFS($O$2:$O$54,$B$2:$B$54,"="&amp;$AN45,$T$2:$T$54,"="&amp;$AM$39,$W$2:$W$54,"="&amp;AP$2),2),"-")</f>
        <v>-</v>
      </c>
      <c r="AQ47" s="118" t="str">
        <f t="shared" si="244"/>
        <v>-</v>
      </c>
      <c r="AR47" s="118">
        <f t="shared" si="244"/>
        <v>82.26</v>
      </c>
      <c r="AS47" s="118" t="str">
        <f t="shared" si="244"/>
        <v>-</v>
      </c>
      <c r="AT47" s="118" t="str">
        <f t="shared" si="244"/>
        <v>-</v>
      </c>
      <c r="AU47" s="118" t="str">
        <f t="shared" si="244"/>
        <v>-</v>
      </c>
      <c r="AV47" s="118" t="str">
        <f t="shared" si="244"/>
        <v>-</v>
      </c>
      <c r="AW47" s="118" t="str">
        <f t="shared" si="244"/>
        <v>-</v>
      </c>
      <c r="AX47" s="117" t="str">
        <f t="shared" si="244"/>
        <v>-</v>
      </c>
    </row>
    <row r="48" spans="1:50" ht="20.100000000000001" customHeight="1" x14ac:dyDescent="0.3">
      <c r="A48" s="57">
        <v>47</v>
      </c>
      <c r="B48" s="15">
        <v>2</v>
      </c>
      <c r="C48" s="55">
        <v>201810529</v>
      </c>
      <c r="D48" s="40" t="str">
        <f t="shared" si="196"/>
        <v>통신학과</v>
      </c>
      <c r="E48" s="15" t="s">
        <v>57</v>
      </c>
      <c r="F48" s="15">
        <v>141</v>
      </c>
      <c r="G48" s="10">
        <f t="shared" si="3"/>
        <v>70.5</v>
      </c>
      <c r="H48" s="15">
        <v>67</v>
      </c>
      <c r="I48" s="10">
        <f t="shared" si="4"/>
        <v>60.91</v>
      </c>
      <c r="J48" s="15">
        <v>97.78</v>
      </c>
      <c r="K48" s="15">
        <v>78</v>
      </c>
      <c r="L48" s="10">
        <f t="shared" si="5"/>
        <v>70.91</v>
      </c>
      <c r="M48" s="15">
        <v>54</v>
      </c>
      <c r="N48" s="16">
        <v>80</v>
      </c>
      <c r="O48" s="12">
        <f t="shared" si="6"/>
        <v>68.739999999999995</v>
      </c>
      <c r="P48" s="25">
        <f t="shared" si="7"/>
        <v>23</v>
      </c>
      <c r="Q48" s="12">
        <f t="shared" si="8"/>
        <v>23</v>
      </c>
      <c r="R48" s="30"/>
      <c r="S48" s="27" t="str">
        <f t="shared" si="9"/>
        <v>2018</v>
      </c>
      <c r="T48" s="42" t="str">
        <f t="shared" si="10"/>
        <v>105</v>
      </c>
      <c r="U48" s="27" t="b">
        <f t="shared" si="11"/>
        <v>1</v>
      </c>
      <c r="V48" s="12" t="str">
        <f t="shared" si="197"/>
        <v>B</v>
      </c>
      <c r="W48" s="12" t="str">
        <f t="shared" si="198"/>
        <v>B+</v>
      </c>
      <c r="AM48" s="187"/>
      <c r="AN48" s="180">
        <v>4</v>
      </c>
      <c r="AO48" s="121" t="s">
        <v>129</v>
      </c>
      <c r="AP48" s="134">
        <f t="shared" ref="AP48" si="245">COUNTIFS($B$2:$B$54,"="&amp;$AN48,$T$2:$T$54,"="&amp;$AM$39,$W$2:$W$54,"="&amp;AP$2)</f>
        <v>0</v>
      </c>
      <c r="AQ48" s="124">
        <f t="shared" si="223"/>
        <v>0</v>
      </c>
      <c r="AR48" s="124">
        <f t="shared" si="223"/>
        <v>0</v>
      </c>
      <c r="AS48" s="124">
        <f t="shared" si="223"/>
        <v>1</v>
      </c>
      <c r="AT48" s="124">
        <f t="shared" si="223"/>
        <v>0</v>
      </c>
      <c r="AU48" s="124">
        <f t="shared" si="223"/>
        <v>1</v>
      </c>
      <c r="AV48" s="124">
        <f t="shared" si="223"/>
        <v>0</v>
      </c>
      <c r="AW48" s="124">
        <f t="shared" si="223"/>
        <v>0</v>
      </c>
      <c r="AX48" s="123">
        <f t="shared" si="223"/>
        <v>0</v>
      </c>
    </row>
    <row r="49" spans="1:50" ht="20.100000000000001" customHeight="1" x14ac:dyDescent="0.3">
      <c r="A49" s="57">
        <v>48</v>
      </c>
      <c r="B49" s="15">
        <v>1</v>
      </c>
      <c r="C49" s="55">
        <v>201810535</v>
      </c>
      <c r="D49" s="40" t="str">
        <f t="shared" si="196"/>
        <v>통신학과</v>
      </c>
      <c r="E49" s="15" t="s">
        <v>58</v>
      </c>
      <c r="F49" s="15">
        <v>114</v>
      </c>
      <c r="G49" s="10">
        <f t="shared" si="3"/>
        <v>57</v>
      </c>
      <c r="H49" s="15">
        <v>92</v>
      </c>
      <c r="I49" s="10">
        <f t="shared" si="4"/>
        <v>83.64</v>
      </c>
      <c r="J49" s="15">
        <v>95.56</v>
      </c>
      <c r="K49" s="15">
        <v>48</v>
      </c>
      <c r="L49" s="10">
        <f t="shared" si="5"/>
        <v>43.64</v>
      </c>
      <c r="M49" s="15">
        <v>74</v>
      </c>
      <c r="N49" s="16">
        <v>100</v>
      </c>
      <c r="O49" s="12">
        <f t="shared" si="6"/>
        <v>72.69</v>
      </c>
      <c r="P49" s="25">
        <f t="shared" si="7"/>
        <v>15</v>
      </c>
      <c r="Q49" s="12">
        <f t="shared" si="8"/>
        <v>15</v>
      </c>
      <c r="R49" s="30"/>
      <c r="S49" s="27" t="str">
        <f t="shared" si="9"/>
        <v>2018</v>
      </c>
      <c r="T49" s="42" t="str">
        <f t="shared" si="10"/>
        <v>105</v>
      </c>
      <c r="U49" s="27" t="b">
        <f t="shared" si="11"/>
        <v>1</v>
      </c>
      <c r="V49" s="12" t="str">
        <f t="shared" si="197"/>
        <v>A</v>
      </c>
      <c r="W49" s="12" t="str">
        <f t="shared" si="198"/>
        <v>A0</v>
      </c>
      <c r="AM49" s="187"/>
      <c r="AN49" s="181"/>
      <c r="AO49" s="115" t="s">
        <v>130</v>
      </c>
      <c r="AP49" s="130">
        <f t="shared" ref="AP49" si="246">SUMIFS($O$2:$O$54,$B$2:$B$54,"="&amp;$AN48,$T$2:$T$54,"="&amp;$AM$39,$W$2:$W$54,"="&amp;AP$2)</f>
        <v>0</v>
      </c>
      <c r="AQ49" s="116">
        <f t="shared" ref="AQ49" si="247">SUMIFS($O$2:$O$54,$B$2:$B$54,"="&amp;$AN48,$T$2:$T$54,"="&amp;$AM$39,$W$2:$W$54,"="&amp;AQ$2)</f>
        <v>0</v>
      </c>
      <c r="AR49" s="116">
        <f t="shared" ref="AR49" si="248">SUMIFS($O$2:$O$54,$B$2:$B$54,"="&amp;$AN48,$T$2:$T$54,"="&amp;$AM$39,$W$2:$W$54,"="&amp;AR$2)</f>
        <v>0</v>
      </c>
      <c r="AS49" s="116">
        <f t="shared" ref="AS49" si="249">SUMIFS($O$2:$O$54,$B$2:$B$54,"="&amp;$AN48,$T$2:$T$54,"="&amp;$AM$39,$W$2:$W$54,"="&amp;AS$2)</f>
        <v>64.66</v>
      </c>
      <c r="AT49" s="116">
        <f t="shared" ref="AT49" si="250">SUMIFS($O$2:$O$54,$B$2:$B$54,"="&amp;$AN48,$T$2:$T$54,"="&amp;$AM$39,$W$2:$W$54,"="&amp;AT$2)</f>
        <v>0</v>
      </c>
      <c r="AU49" s="116">
        <f t="shared" ref="AU49" si="251">SUMIFS($O$2:$O$54,$B$2:$B$54,"="&amp;$AN48,$T$2:$T$54,"="&amp;$AM$39,$W$2:$W$54,"="&amp;AU$2)</f>
        <v>48.16</v>
      </c>
      <c r="AV49" s="116">
        <f t="shared" ref="AV49" si="252">SUMIFS($O$2:$O$54,$B$2:$B$54,"="&amp;$AN48,$T$2:$T$54,"="&amp;$AM$39,$W$2:$W$54,"="&amp;AV$2)</f>
        <v>0</v>
      </c>
      <c r="AW49" s="116">
        <f t="shared" ref="AW49" si="253">SUMIFS($O$2:$O$54,$B$2:$B$54,"="&amp;$AN48,$T$2:$T$54,"="&amp;$AM$39,$W$2:$W$54,"="&amp;AW$2)</f>
        <v>0</v>
      </c>
      <c r="AX49" s="115">
        <f t="shared" ref="AX49" si="254">SUMIFS($O$2:$O$54,$B$2:$B$54,"="&amp;$AN48,$T$2:$T$54,"="&amp;$AM$39,$W$2:$W$54,"="&amp;AX$2)</f>
        <v>0</v>
      </c>
    </row>
    <row r="50" spans="1:50" ht="20.100000000000001" customHeight="1" thickBot="1" x14ac:dyDescent="0.35">
      <c r="A50" s="57">
        <v>49</v>
      </c>
      <c r="B50" s="15">
        <v>3</v>
      </c>
      <c r="C50" s="55">
        <v>201510546</v>
      </c>
      <c r="D50" s="40" t="str">
        <f t="shared" si="196"/>
        <v>통신학과</v>
      </c>
      <c r="E50" s="15" t="s">
        <v>59</v>
      </c>
      <c r="F50" s="15">
        <v>148</v>
      </c>
      <c r="G50" s="10">
        <f t="shared" si="3"/>
        <v>74</v>
      </c>
      <c r="H50" s="15">
        <v>66</v>
      </c>
      <c r="I50" s="10">
        <f t="shared" si="4"/>
        <v>60</v>
      </c>
      <c r="J50" s="15">
        <v>96.67</v>
      </c>
      <c r="K50" s="15">
        <v>57</v>
      </c>
      <c r="L50" s="10">
        <f t="shared" si="5"/>
        <v>51.82</v>
      </c>
      <c r="M50" s="15">
        <v>51</v>
      </c>
      <c r="N50" s="16">
        <v>100</v>
      </c>
      <c r="O50" s="12">
        <f t="shared" si="6"/>
        <v>68.150000000000006</v>
      </c>
      <c r="P50" s="25">
        <f t="shared" si="7"/>
        <v>24</v>
      </c>
      <c r="Q50" s="12">
        <f t="shared" si="8"/>
        <v>24</v>
      </c>
      <c r="R50" s="30" t="s">
        <v>77</v>
      </c>
      <c r="S50" s="27" t="str">
        <f t="shared" si="9"/>
        <v>2015</v>
      </c>
      <c r="T50" s="42" t="str">
        <f t="shared" si="10"/>
        <v>105</v>
      </c>
      <c r="U50" s="27" t="b">
        <f t="shared" si="11"/>
        <v>1</v>
      </c>
      <c r="V50" s="12" t="str">
        <f t="shared" si="197"/>
        <v>B</v>
      </c>
      <c r="W50" s="12" t="str">
        <f t="shared" si="198"/>
        <v>B0</v>
      </c>
      <c r="AM50" s="190"/>
      <c r="AN50" s="182"/>
      <c r="AO50" s="127" t="s">
        <v>131</v>
      </c>
      <c r="AP50" s="136" t="str">
        <f t="shared" ref="AP50:AX50" si="255">IFERROR(ROUND(AVERAGEIFS($O$2:$O$54,$B$2:$B$54,"="&amp;$AN48,$T$2:$T$54,"="&amp;$AM$39,$W$2:$W$54,"="&amp;AP$2),2),"-")</f>
        <v>-</v>
      </c>
      <c r="AQ50" s="128" t="str">
        <f t="shared" si="255"/>
        <v>-</v>
      </c>
      <c r="AR50" s="128" t="str">
        <f t="shared" si="255"/>
        <v>-</v>
      </c>
      <c r="AS50" s="128">
        <f t="shared" si="255"/>
        <v>64.66</v>
      </c>
      <c r="AT50" s="128" t="str">
        <f t="shared" si="255"/>
        <v>-</v>
      </c>
      <c r="AU50" s="128">
        <f t="shared" si="255"/>
        <v>48.16</v>
      </c>
      <c r="AV50" s="128" t="str">
        <f t="shared" si="255"/>
        <v>-</v>
      </c>
      <c r="AW50" s="128" t="str">
        <f t="shared" si="255"/>
        <v>-</v>
      </c>
      <c r="AX50" s="127" t="str">
        <f t="shared" si="255"/>
        <v>-</v>
      </c>
    </row>
    <row r="51" spans="1:50" ht="20.100000000000001" customHeight="1" thickTop="1" x14ac:dyDescent="0.3">
      <c r="A51" s="57">
        <v>50</v>
      </c>
      <c r="B51" s="15">
        <v>2</v>
      </c>
      <c r="C51" s="55">
        <v>201610266</v>
      </c>
      <c r="D51" s="40" t="str">
        <f t="shared" si="196"/>
        <v>보안학과</v>
      </c>
      <c r="E51" s="15" t="s">
        <v>60</v>
      </c>
      <c r="F51" s="15">
        <v>97</v>
      </c>
      <c r="G51" s="10">
        <f t="shared" si="3"/>
        <v>48.5</v>
      </c>
      <c r="H51" s="15">
        <v>101</v>
      </c>
      <c r="I51" s="10">
        <f t="shared" si="4"/>
        <v>91.82</v>
      </c>
      <c r="J51" s="15">
        <v>98.89</v>
      </c>
      <c r="K51" s="15">
        <v>73</v>
      </c>
      <c r="L51" s="10">
        <f t="shared" si="5"/>
        <v>66.36</v>
      </c>
      <c r="M51" s="15">
        <v>88</v>
      </c>
      <c r="N51" s="16">
        <v>80</v>
      </c>
      <c r="O51" s="12">
        <f t="shared" si="6"/>
        <v>76.010000000000005</v>
      </c>
      <c r="P51" s="25">
        <f t="shared" si="7"/>
        <v>11</v>
      </c>
      <c r="Q51" s="12">
        <f t="shared" si="8"/>
        <v>11</v>
      </c>
      <c r="R51" s="30"/>
      <c r="S51" s="27" t="str">
        <f t="shared" si="9"/>
        <v>2016</v>
      </c>
      <c r="T51" s="42" t="str">
        <f t="shared" si="10"/>
        <v>102</v>
      </c>
      <c r="U51" s="27" t="b">
        <f t="shared" si="11"/>
        <v>1</v>
      </c>
      <c r="V51" s="12" t="str">
        <f t="shared" si="197"/>
        <v>A</v>
      </c>
      <c r="W51" s="12" t="str">
        <f t="shared" si="198"/>
        <v>A0</v>
      </c>
      <c r="AM51" s="187">
        <v>105</v>
      </c>
      <c r="AN51" s="181">
        <v>1</v>
      </c>
      <c r="AO51" s="123" t="s">
        <v>129</v>
      </c>
      <c r="AP51" s="135">
        <f>COUNTIFS($B$2:$B$54,"="&amp;$AN51,$T$2:$T$54,"="&amp;$AM$51,$W$2:$W$54,"="&amp;AP$2)</f>
        <v>0</v>
      </c>
      <c r="AQ51" s="126">
        <f t="shared" ref="AQ51:AX51" si="256">COUNTIFS($B$2:$B$54,"="&amp;$AN51,$T$2:$T$54,"="&amp;$AM$51,$W$2:$W$54,"="&amp;AQ$2)</f>
        <v>1</v>
      </c>
      <c r="AR51" s="126">
        <f t="shared" si="256"/>
        <v>0</v>
      </c>
      <c r="AS51" s="126">
        <f t="shared" si="256"/>
        <v>0</v>
      </c>
      <c r="AT51" s="126">
        <f t="shared" si="256"/>
        <v>0</v>
      </c>
      <c r="AU51" s="126">
        <f t="shared" si="256"/>
        <v>0</v>
      </c>
      <c r="AV51" s="126">
        <f t="shared" si="256"/>
        <v>0</v>
      </c>
      <c r="AW51" s="126">
        <f t="shared" si="256"/>
        <v>0</v>
      </c>
      <c r="AX51" s="125">
        <f t="shared" si="256"/>
        <v>1</v>
      </c>
    </row>
    <row r="52" spans="1:50" ht="20.100000000000001" customHeight="1" x14ac:dyDescent="0.3">
      <c r="A52" s="57">
        <v>51</v>
      </c>
      <c r="B52" s="15">
        <v>4</v>
      </c>
      <c r="C52" s="55">
        <v>201610275</v>
      </c>
      <c r="D52" s="40" t="str">
        <f t="shared" si="196"/>
        <v>보안학과</v>
      </c>
      <c r="E52" s="15" t="s">
        <v>61</v>
      </c>
      <c r="F52" s="15">
        <v>154</v>
      </c>
      <c r="G52" s="10">
        <f t="shared" si="3"/>
        <v>77</v>
      </c>
      <c r="H52" s="15">
        <v>66</v>
      </c>
      <c r="I52" s="10">
        <f t="shared" si="4"/>
        <v>60</v>
      </c>
      <c r="J52" s="15">
        <v>100</v>
      </c>
      <c r="K52" s="15">
        <v>68</v>
      </c>
      <c r="L52" s="10">
        <f t="shared" si="5"/>
        <v>61.82</v>
      </c>
      <c r="M52" s="15">
        <v>36</v>
      </c>
      <c r="N52" s="16">
        <v>100</v>
      </c>
      <c r="O52" s="12">
        <f t="shared" si="6"/>
        <v>68.88</v>
      </c>
      <c r="P52" s="25">
        <f t="shared" si="7"/>
        <v>22</v>
      </c>
      <c r="Q52" s="12">
        <f t="shared" si="8"/>
        <v>22</v>
      </c>
      <c r="R52" s="30"/>
      <c r="S52" s="27" t="str">
        <f t="shared" si="9"/>
        <v>2016</v>
      </c>
      <c r="T52" s="42" t="str">
        <f t="shared" si="10"/>
        <v>102</v>
      </c>
      <c r="U52" s="27" t="b">
        <f t="shared" si="11"/>
        <v>1</v>
      </c>
      <c r="V52" s="12" t="str">
        <f t="shared" si="197"/>
        <v>B</v>
      </c>
      <c r="W52" s="12" t="str">
        <f t="shared" si="198"/>
        <v>B+</v>
      </c>
      <c r="AM52" s="187"/>
      <c r="AN52" s="181"/>
      <c r="AO52" s="115" t="s">
        <v>130</v>
      </c>
      <c r="AP52" s="130">
        <f>SUMIFS($O$2:$O$54,$B$2:$B$54,"="&amp;$AN51,$T$2:$T$54,"="&amp;$AM$51,$W$2:$W$54,"="&amp;AP$2)</f>
        <v>0</v>
      </c>
      <c r="AQ52" s="116">
        <f t="shared" ref="AQ52:AX52" si="257">SUMIFS($O$2:$O$54,$B$2:$B$54,"="&amp;$AN51,$T$2:$T$54,"="&amp;$AM$51,$W$2:$W$54,"="&amp;AQ$2)</f>
        <v>72.69</v>
      </c>
      <c r="AR52" s="116">
        <f t="shared" si="257"/>
        <v>0</v>
      </c>
      <c r="AS52" s="116">
        <f t="shared" si="257"/>
        <v>0</v>
      </c>
      <c r="AT52" s="116">
        <f t="shared" si="257"/>
        <v>0</v>
      </c>
      <c r="AU52" s="116">
        <f t="shared" si="257"/>
        <v>0</v>
      </c>
      <c r="AV52" s="116">
        <f t="shared" si="257"/>
        <v>0</v>
      </c>
      <c r="AW52" s="116">
        <f t="shared" si="257"/>
        <v>0</v>
      </c>
      <c r="AX52" s="115">
        <f t="shared" si="257"/>
        <v>28.25</v>
      </c>
    </row>
    <row r="53" spans="1:50" ht="20.100000000000001" customHeight="1" x14ac:dyDescent="0.3">
      <c r="A53" s="57">
        <v>52</v>
      </c>
      <c r="B53" s="15">
        <v>4</v>
      </c>
      <c r="C53" s="55">
        <v>201610177</v>
      </c>
      <c r="D53" s="40" t="str">
        <f t="shared" si="196"/>
        <v>컴퓨터학과</v>
      </c>
      <c r="E53" s="15" t="s">
        <v>62</v>
      </c>
      <c r="F53" s="15">
        <v>58</v>
      </c>
      <c r="G53" s="10">
        <f t="shared" si="3"/>
        <v>29</v>
      </c>
      <c r="H53" s="15">
        <v>62</v>
      </c>
      <c r="I53" s="10">
        <f t="shared" si="4"/>
        <v>56.36</v>
      </c>
      <c r="J53" s="15">
        <v>100</v>
      </c>
      <c r="K53" s="15">
        <v>48</v>
      </c>
      <c r="L53" s="10">
        <f t="shared" si="5"/>
        <v>43.64</v>
      </c>
      <c r="M53" s="15">
        <v>49</v>
      </c>
      <c r="N53" s="16">
        <v>100</v>
      </c>
      <c r="O53" s="12">
        <f t="shared" si="6"/>
        <v>52.69</v>
      </c>
      <c r="P53" s="25">
        <f t="shared" si="7"/>
        <v>40</v>
      </c>
      <c r="Q53" s="12">
        <f t="shared" si="8"/>
        <v>40</v>
      </c>
      <c r="R53" s="30"/>
      <c r="S53" s="27" t="str">
        <f t="shared" si="9"/>
        <v>2016</v>
      </c>
      <c r="T53" s="42" t="str">
        <f t="shared" si="10"/>
        <v>101</v>
      </c>
      <c r="U53" s="27" t="b">
        <f t="shared" si="11"/>
        <v>1</v>
      </c>
      <c r="V53" s="12" t="str">
        <f t="shared" si="197"/>
        <v>C</v>
      </c>
      <c r="W53" s="12" t="str">
        <f t="shared" si="198"/>
        <v>C0</v>
      </c>
      <c r="AM53" s="187"/>
      <c r="AN53" s="183"/>
      <c r="AO53" s="117" t="s">
        <v>131</v>
      </c>
      <c r="AP53" s="132" t="str">
        <f>IFERROR(ROUND(AVERAGEIFS($O$2:$O$54,$B$2:$B$54,"="&amp;$AN51,$T$2:$T$54,"="&amp;$AM$51,$W$2:$W$54,"="&amp;AP$2),2),"-")</f>
        <v>-</v>
      </c>
      <c r="AQ53" s="120">
        <f t="shared" ref="AQ53:AX53" si="258">IFERROR(ROUND(AVERAGEIFS($O$2:$O$54,$B$2:$B$54,"="&amp;$AN51,$T$2:$T$54,"="&amp;$AM$51,$W$2:$W$54,"="&amp;AQ$2),2),"-")</f>
        <v>72.69</v>
      </c>
      <c r="AR53" s="120" t="str">
        <f t="shared" si="258"/>
        <v>-</v>
      </c>
      <c r="AS53" s="120" t="str">
        <f t="shared" si="258"/>
        <v>-</v>
      </c>
      <c r="AT53" s="120" t="str">
        <f t="shared" si="258"/>
        <v>-</v>
      </c>
      <c r="AU53" s="120" t="str">
        <f t="shared" si="258"/>
        <v>-</v>
      </c>
      <c r="AV53" s="120" t="str">
        <f t="shared" si="258"/>
        <v>-</v>
      </c>
      <c r="AW53" s="120" t="str">
        <f t="shared" si="258"/>
        <v>-</v>
      </c>
      <c r="AX53" s="119">
        <f t="shared" si="258"/>
        <v>28.25</v>
      </c>
    </row>
    <row r="54" spans="1:50" ht="20.100000000000001" customHeight="1" thickBot="1" x14ac:dyDescent="0.35">
      <c r="A54" s="58">
        <v>53</v>
      </c>
      <c r="B54" s="17">
        <v>2</v>
      </c>
      <c r="C54" s="56">
        <v>201810585</v>
      </c>
      <c r="D54" s="40" t="str">
        <f t="shared" si="196"/>
        <v>통신학과</v>
      </c>
      <c r="E54" s="17" t="s">
        <v>63</v>
      </c>
      <c r="F54" s="17">
        <v>75</v>
      </c>
      <c r="G54" s="10">
        <f t="shared" si="3"/>
        <v>37.5</v>
      </c>
      <c r="H54" s="17">
        <v>42</v>
      </c>
      <c r="I54" s="10">
        <f t="shared" si="4"/>
        <v>38.18</v>
      </c>
      <c r="J54" s="17">
        <v>97.78</v>
      </c>
      <c r="K54" s="17">
        <v>37</v>
      </c>
      <c r="L54" s="10">
        <f t="shared" si="5"/>
        <v>33.64</v>
      </c>
      <c r="M54" s="17">
        <v>11</v>
      </c>
      <c r="N54" s="18">
        <v>100</v>
      </c>
      <c r="O54" s="12">
        <f t="shared" si="6"/>
        <v>43.86</v>
      </c>
      <c r="P54" s="32">
        <f t="shared" si="7"/>
        <v>44</v>
      </c>
      <c r="Q54" s="33">
        <f t="shared" si="8"/>
        <v>44</v>
      </c>
      <c r="R54" s="31"/>
      <c r="S54" s="60" t="str">
        <f t="shared" si="9"/>
        <v>2018</v>
      </c>
      <c r="T54" s="61" t="str">
        <f t="shared" si="10"/>
        <v>105</v>
      </c>
      <c r="U54" s="60" t="b">
        <f t="shared" si="11"/>
        <v>1</v>
      </c>
      <c r="V54" s="33" t="str">
        <f t="shared" si="197"/>
        <v>D</v>
      </c>
      <c r="W54" s="12" t="str">
        <f t="shared" si="198"/>
        <v>D+</v>
      </c>
      <c r="AM54" s="187"/>
      <c r="AN54" s="180">
        <v>2</v>
      </c>
      <c r="AO54" s="121" t="s">
        <v>129</v>
      </c>
      <c r="AP54" s="133">
        <f t="shared" ref="AP54:AX60" si="259">COUNTIFS($B$2:$B$54,"="&amp;$AN54,$T$2:$T$54,"="&amp;$AM$51,$W$2:$W$54,"="&amp;AP$2)</f>
        <v>1</v>
      </c>
      <c r="AQ54" s="122">
        <f t="shared" si="259"/>
        <v>2</v>
      </c>
      <c r="AR54" s="122">
        <f t="shared" si="259"/>
        <v>2</v>
      </c>
      <c r="AS54" s="122">
        <f t="shared" si="259"/>
        <v>0</v>
      </c>
      <c r="AT54" s="122">
        <f t="shared" si="259"/>
        <v>0</v>
      </c>
      <c r="AU54" s="122">
        <f t="shared" si="259"/>
        <v>0</v>
      </c>
      <c r="AV54" s="122">
        <f t="shared" si="259"/>
        <v>1</v>
      </c>
      <c r="AW54" s="122">
        <f t="shared" si="259"/>
        <v>0</v>
      </c>
      <c r="AX54" s="121">
        <f t="shared" si="259"/>
        <v>0</v>
      </c>
    </row>
    <row r="55" spans="1:50" ht="20.100000000000001" customHeight="1" thickTop="1" thickBot="1" x14ac:dyDescent="0.35">
      <c r="A55" s="195" t="s">
        <v>69</v>
      </c>
      <c r="B55" s="196"/>
      <c r="C55" s="196"/>
      <c r="D55" s="197"/>
      <c r="E55" s="198"/>
      <c r="F55" s="19">
        <f>SUM(F2:F54)</f>
        <v>6033</v>
      </c>
      <c r="G55" s="19">
        <f t="shared" ref="G55:N55" si="260">SUM(G2:G54)</f>
        <v>3016.5</v>
      </c>
      <c r="H55" s="19">
        <f t="shared" si="260"/>
        <v>3427</v>
      </c>
      <c r="I55" s="19">
        <f t="shared" si="260"/>
        <v>3115.4700000000007</v>
      </c>
      <c r="J55" s="19">
        <f t="shared" si="260"/>
        <v>5043.3600000000006</v>
      </c>
      <c r="K55" s="19">
        <f t="shared" si="260"/>
        <v>2855</v>
      </c>
      <c r="L55" s="19">
        <f t="shared" si="260"/>
        <v>2595.5100000000007</v>
      </c>
      <c r="M55" s="19">
        <f t="shared" si="260"/>
        <v>2731</v>
      </c>
      <c r="N55" s="19">
        <f t="shared" si="260"/>
        <v>4690</v>
      </c>
      <c r="O55" s="6">
        <f>SUM(O2:O54)</f>
        <v>3266.880000000001</v>
      </c>
      <c r="P55" s="203"/>
      <c r="Q55" s="204"/>
      <c r="R55" s="204"/>
      <c r="S55" s="204"/>
      <c r="T55" s="204"/>
      <c r="U55" s="204"/>
      <c r="V55" s="205"/>
      <c r="W55" s="206"/>
      <c r="AM55" s="187"/>
      <c r="AN55" s="181"/>
      <c r="AO55" s="115" t="s">
        <v>130</v>
      </c>
      <c r="AP55" s="130">
        <f t="shared" ref="AP55" si="261">SUMIFS($O$2:$O$54,$B$2:$B$54,"="&amp;$AN54,$T$2:$T$54,"="&amp;$AM$51,$W$2:$W$54,"="&amp;AP$2)</f>
        <v>87.02</v>
      </c>
      <c r="AQ55" s="116">
        <f t="shared" ref="AQ55" si="262">SUMIFS($O$2:$O$54,$B$2:$B$54,"="&amp;$AN54,$T$2:$T$54,"="&amp;$AM$51,$W$2:$W$54,"="&amp;AQ$2)</f>
        <v>154.25</v>
      </c>
      <c r="AR55" s="116">
        <f t="shared" ref="AR55" si="263">SUMIFS($O$2:$O$54,$B$2:$B$54,"="&amp;$AN54,$T$2:$T$54,"="&amp;$AM$51,$W$2:$W$54,"="&amp;AR$2)</f>
        <v>139.26</v>
      </c>
      <c r="AS55" s="116">
        <f t="shared" ref="AS55" si="264">SUMIFS($O$2:$O$54,$B$2:$B$54,"="&amp;$AN54,$T$2:$T$54,"="&amp;$AM$51,$W$2:$W$54,"="&amp;AS$2)</f>
        <v>0</v>
      </c>
      <c r="AT55" s="116">
        <f t="shared" ref="AT55" si="265">SUMIFS($O$2:$O$54,$B$2:$B$54,"="&amp;$AN54,$T$2:$T$54,"="&amp;$AM$51,$W$2:$W$54,"="&amp;AT$2)</f>
        <v>0</v>
      </c>
      <c r="AU55" s="116">
        <f t="shared" ref="AU55" si="266">SUMIFS($O$2:$O$54,$B$2:$B$54,"="&amp;$AN54,$T$2:$T$54,"="&amp;$AM$51,$W$2:$W$54,"="&amp;AU$2)</f>
        <v>0</v>
      </c>
      <c r="AV55" s="116">
        <f t="shared" ref="AV55" si="267">SUMIFS($O$2:$O$54,$B$2:$B$54,"="&amp;$AN54,$T$2:$T$54,"="&amp;$AM$51,$W$2:$W$54,"="&amp;AV$2)</f>
        <v>43.86</v>
      </c>
      <c r="AW55" s="116">
        <f t="shared" ref="AW55" si="268">SUMIFS($O$2:$O$54,$B$2:$B$54,"="&amp;$AN54,$T$2:$T$54,"="&amp;$AM$51,$W$2:$W$54,"="&amp;AW$2)</f>
        <v>0</v>
      </c>
      <c r="AX55" s="115">
        <f t="shared" ref="AX55" si="269">SUMIFS($O$2:$O$54,$B$2:$B$54,"="&amp;$AN54,$T$2:$T$54,"="&amp;$AM$51,$W$2:$W$54,"="&amp;AX$2)</f>
        <v>0</v>
      </c>
    </row>
    <row r="56" spans="1:50" ht="20.100000000000001" customHeight="1" thickTop="1" thickBot="1" x14ac:dyDescent="0.35">
      <c r="A56" s="192" t="s">
        <v>68</v>
      </c>
      <c r="B56" s="193"/>
      <c r="C56" s="193"/>
      <c r="D56" s="193"/>
      <c r="E56" s="194"/>
      <c r="F56" s="19">
        <f>ROUND(AVERAGE(F2:F54),2)</f>
        <v>113.83</v>
      </c>
      <c r="G56" s="19">
        <f t="shared" ref="G56:N56" si="270">ROUND(AVERAGE(G2:G54),2)</f>
        <v>56.92</v>
      </c>
      <c r="H56" s="19">
        <f t="shared" si="270"/>
        <v>64.66</v>
      </c>
      <c r="I56" s="19">
        <f t="shared" si="270"/>
        <v>58.78</v>
      </c>
      <c r="J56" s="19">
        <f t="shared" si="270"/>
        <v>95.16</v>
      </c>
      <c r="K56" s="19">
        <f t="shared" si="270"/>
        <v>53.87</v>
      </c>
      <c r="L56" s="19">
        <f t="shared" si="270"/>
        <v>48.97</v>
      </c>
      <c r="M56" s="19">
        <f t="shared" si="270"/>
        <v>51.53</v>
      </c>
      <c r="N56" s="19">
        <f t="shared" si="270"/>
        <v>88.49</v>
      </c>
      <c r="O56" s="6">
        <f>AVERAGE(O2:O54)</f>
        <v>61.639245283018887</v>
      </c>
      <c r="P56" s="207"/>
      <c r="Q56" s="208"/>
      <c r="R56" s="208"/>
      <c r="S56" s="208"/>
      <c r="T56" s="208"/>
      <c r="U56" s="208"/>
      <c r="V56" s="209"/>
      <c r="W56" s="210"/>
      <c r="AM56" s="187"/>
      <c r="AN56" s="183"/>
      <c r="AO56" s="117" t="s">
        <v>131</v>
      </c>
      <c r="AP56" s="131">
        <f t="shared" ref="AP56:AX56" si="271">IFERROR(ROUND(AVERAGEIFS($O$2:$O$54,$B$2:$B$54,"="&amp;$AN54,$T$2:$T$54,"="&amp;$AM$51,$W$2:$W$54,"="&amp;AP$2),2),"-")</f>
        <v>87.02</v>
      </c>
      <c r="AQ56" s="118">
        <f t="shared" si="271"/>
        <v>77.13</v>
      </c>
      <c r="AR56" s="118">
        <f t="shared" si="271"/>
        <v>69.63</v>
      </c>
      <c r="AS56" s="118" t="str">
        <f t="shared" si="271"/>
        <v>-</v>
      </c>
      <c r="AT56" s="118" t="str">
        <f t="shared" si="271"/>
        <v>-</v>
      </c>
      <c r="AU56" s="118" t="str">
        <f t="shared" si="271"/>
        <v>-</v>
      </c>
      <c r="AV56" s="118">
        <f t="shared" si="271"/>
        <v>43.86</v>
      </c>
      <c r="AW56" s="118" t="str">
        <f t="shared" si="271"/>
        <v>-</v>
      </c>
      <c r="AX56" s="117" t="str">
        <f t="shared" si="271"/>
        <v>-</v>
      </c>
    </row>
    <row r="57" spans="1:50" ht="20.100000000000001" customHeight="1" thickTop="1" thickBot="1" x14ac:dyDescent="0.35">
      <c r="A57" s="199" t="s">
        <v>70</v>
      </c>
      <c r="B57" s="200"/>
      <c r="C57" s="200"/>
      <c r="D57" s="201"/>
      <c r="E57" s="202"/>
      <c r="F57" s="46">
        <f>MAX(F2:F54)</f>
        <v>167</v>
      </c>
      <c r="G57" s="47">
        <f t="shared" ref="G57:N57" si="272">MAX(G2:G54)</f>
        <v>83.5</v>
      </c>
      <c r="H57" s="47">
        <f t="shared" si="272"/>
        <v>105</v>
      </c>
      <c r="I57" s="47">
        <f t="shared" si="272"/>
        <v>95.45</v>
      </c>
      <c r="J57" s="47">
        <f t="shared" si="272"/>
        <v>100</v>
      </c>
      <c r="K57" s="47">
        <f t="shared" si="272"/>
        <v>102</v>
      </c>
      <c r="L57" s="47">
        <f t="shared" si="272"/>
        <v>92.73</v>
      </c>
      <c r="M57" s="47">
        <f t="shared" si="272"/>
        <v>95</v>
      </c>
      <c r="N57" s="48">
        <f t="shared" si="272"/>
        <v>100</v>
      </c>
      <c r="O57" s="6">
        <f>MAX(O2:O54)</f>
        <v>89.82</v>
      </c>
      <c r="P57" s="207"/>
      <c r="Q57" s="208"/>
      <c r="R57" s="208"/>
      <c r="S57" s="208"/>
      <c r="T57" s="208"/>
      <c r="U57" s="208"/>
      <c r="V57" s="209"/>
      <c r="W57" s="210"/>
      <c r="AM57" s="187"/>
      <c r="AN57" s="180">
        <v>3</v>
      </c>
      <c r="AO57" s="121" t="s">
        <v>129</v>
      </c>
      <c r="AP57" s="133">
        <f t="shared" ref="AP57" si="273">COUNTIFS($B$2:$B$54,"="&amp;$AN57,$T$2:$T$54,"="&amp;$AM$51,$W$2:$W$54,"="&amp;AP$2)</f>
        <v>0</v>
      </c>
      <c r="AQ57" s="122">
        <f t="shared" si="259"/>
        <v>0</v>
      </c>
      <c r="AR57" s="122">
        <f t="shared" si="259"/>
        <v>0</v>
      </c>
      <c r="AS57" s="122">
        <f t="shared" si="259"/>
        <v>2</v>
      </c>
      <c r="AT57" s="122">
        <f t="shared" si="259"/>
        <v>0</v>
      </c>
      <c r="AU57" s="122">
        <f t="shared" si="259"/>
        <v>0</v>
      </c>
      <c r="AV57" s="122">
        <f t="shared" si="259"/>
        <v>0</v>
      </c>
      <c r="AW57" s="122">
        <f t="shared" si="259"/>
        <v>0</v>
      </c>
      <c r="AX57" s="121">
        <f t="shared" si="259"/>
        <v>0</v>
      </c>
    </row>
    <row r="58" spans="1:50" ht="20.100000000000001" customHeight="1" thickTop="1" thickBot="1" x14ac:dyDescent="0.35">
      <c r="A58" s="199" t="s">
        <v>71</v>
      </c>
      <c r="B58" s="200"/>
      <c r="C58" s="200"/>
      <c r="D58" s="201"/>
      <c r="E58" s="202"/>
      <c r="F58" s="46">
        <f>MIN(F2:F54)</f>
        <v>16</v>
      </c>
      <c r="G58" s="47">
        <f t="shared" ref="G58:N58" si="274">MIN(G2:G54)</f>
        <v>8</v>
      </c>
      <c r="H58" s="47">
        <f t="shared" si="274"/>
        <v>0</v>
      </c>
      <c r="I58" s="47">
        <f t="shared" si="274"/>
        <v>0</v>
      </c>
      <c r="J58" s="47">
        <f t="shared" si="274"/>
        <v>60</v>
      </c>
      <c r="K58" s="47">
        <f t="shared" si="274"/>
        <v>9</v>
      </c>
      <c r="L58" s="47">
        <f t="shared" si="274"/>
        <v>8.18</v>
      </c>
      <c r="M58" s="47">
        <f t="shared" si="274"/>
        <v>0</v>
      </c>
      <c r="N58" s="48">
        <f t="shared" si="274"/>
        <v>0</v>
      </c>
      <c r="O58" s="6">
        <f>MIN(O2:O54)</f>
        <v>26.57</v>
      </c>
      <c r="P58" s="207"/>
      <c r="Q58" s="208"/>
      <c r="R58" s="208"/>
      <c r="S58" s="208"/>
      <c r="T58" s="208"/>
      <c r="U58" s="208"/>
      <c r="V58" s="209"/>
      <c r="W58" s="210"/>
      <c r="AM58" s="187"/>
      <c r="AN58" s="181"/>
      <c r="AO58" s="115" t="s">
        <v>130</v>
      </c>
      <c r="AP58" s="130">
        <f t="shared" ref="AP58" si="275">SUMIFS($O$2:$O$54,$B$2:$B$54,"="&amp;$AN57,$T$2:$T$54,"="&amp;$AM$51,$W$2:$W$54,"="&amp;AP$2)</f>
        <v>0</v>
      </c>
      <c r="AQ58" s="116">
        <f t="shared" ref="AQ58" si="276">SUMIFS($O$2:$O$54,$B$2:$B$54,"="&amp;$AN57,$T$2:$T$54,"="&amp;$AM$51,$W$2:$W$54,"="&amp;AQ$2)</f>
        <v>0</v>
      </c>
      <c r="AR58" s="116">
        <f t="shared" ref="AR58" si="277">SUMIFS($O$2:$O$54,$B$2:$B$54,"="&amp;$AN57,$T$2:$T$54,"="&amp;$AM$51,$W$2:$W$54,"="&amp;AR$2)</f>
        <v>0</v>
      </c>
      <c r="AS58" s="116">
        <f t="shared" ref="AS58" si="278">SUMIFS($O$2:$O$54,$B$2:$B$54,"="&amp;$AN57,$T$2:$T$54,"="&amp;$AM$51,$W$2:$W$54,"="&amp;AS$2)</f>
        <v>135.59</v>
      </c>
      <c r="AT58" s="116">
        <f t="shared" ref="AT58" si="279">SUMIFS($O$2:$O$54,$B$2:$B$54,"="&amp;$AN57,$T$2:$T$54,"="&amp;$AM$51,$W$2:$W$54,"="&amp;AT$2)</f>
        <v>0</v>
      </c>
      <c r="AU58" s="116">
        <f t="shared" ref="AU58" si="280">SUMIFS($O$2:$O$54,$B$2:$B$54,"="&amp;$AN57,$T$2:$T$54,"="&amp;$AM$51,$W$2:$W$54,"="&amp;AU$2)</f>
        <v>0</v>
      </c>
      <c r="AV58" s="116">
        <f t="shared" ref="AV58" si="281">SUMIFS($O$2:$O$54,$B$2:$B$54,"="&amp;$AN57,$T$2:$T$54,"="&amp;$AM$51,$W$2:$W$54,"="&amp;AV$2)</f>
        <v>0</v>
      </c>
      <c r="AW58" s="116">
        <f t="shared" ref="AW58" si="282">SUMIFS($O$2:$O$54,$B$2:$B$54,"="&amp;$AN57,$T$2:$T$54,"="&amp;$AM$51,$W$2:$W$54,"="&amp;AW$2)</f>
        <v>0</v>
      </c>
      <c r="AX58" s="115">
        <f t="shared" ref="AX58" si="283">SUMIFS($O$2:$O$54,$B$2:$B$54,"="&amp;$AN57,$T$2:$T$54,"="&amp;$AM$51,$W$2:$W$54,"="&amp;AX$2)</f>
        <v>0</v>
      </c>
    </row>
    <row r="59" spans="1:50" ht="20.100000000000001" customHeight="1" thickTop="1" thickBot="1" x14ac:dyDescent="0.35">
      <c r="A59" s="215" t="s">
        <v>72</v>
      </c>
      <c r="B59" s="215"/>
      <c r="C59" s="215"/>
      <c r="D59" s="215"/>
      <c r="E59" s="215"/>
      <c r="F59" s="20">
        <f>MEDIAN(F2:F54)</f>
        <v>126</v>
      </c>
      <c r="G59" s="21">
        <f t="shared" ref="G59:N59" si="284">MEDIAN(G2:G54)</f>
        <v>63</v>
      </c>
      <c r="H59" s="21">
        <f t="shared" si="284"/>
        <v>66</v>
      </c>
      <c r="I59" s="21">
        <f t="shared" si="284"/>
        <v>60</v>
      </c>
      <c r="J59" s="21">
        <f t="shared" si="284"/>
        <v>97.78</v>
      </c>
      <c r="K59" s="21">
        <f t="shared" si="284"/>
        <v>56</v>
      </c>
      <c r="L59" s="21">
        <f t="shared" si="284"/>
        <v>50.91</v>
      </c>
      <c r="M59" s="21">
        <f t="shared" si="284"/>
        <v>53</v>
      </c>
      <c r="N59" s="22">
        <f t="shared" si="284"/>
        <v>100</v>
      </c>
      <c r="O59" s="23">
        <f>MEDIAN(O2:O54)</f>
        <v>67.44</v>
      </c>
      <c r="P59" s="211"/>
      <c r="Q59" s="212"/>
      <c r="R59" s="212"/>
      <c r="S59" s="212"/>
      <c r="T59" s="212"/>
      <c r="U59" s="212"/>
      <c r="V59" s="213"/>
      <c r="W59" s="214"/>
      <c r="AM59" s="187"/>
      <c r="AN59" s="183"/>
      <c r="AO59" s="117" t="s">
        <v>131</v>
      </c>
      <c r="AP59" s="131" t="str">
        <f t="shared" ref="AP59:AX59" si="285">IFERROR(ROUND(AVERAGEIFS($O$2:$O$54,$B$2:$B$54,"="&amp;$AN57,$T$2:$T$54,"="&amp;$AM$51,$W$2:$W$54,"="&amp;AP$2),2),"-")</f>
        <v>-</v>
      </c>
      <c r="AQ59" s="118" t="str">
        <f t="shared" si="285"/>
        <v>-</v>
      </c>
      <c r="AR59" s="118" t="str">
        <f t="shared" si="285"/>
        <v>-</v>
      </c>
      <c r="AS59" s="118">
        <f t="shared" si="285"/>
        <v>67.8</v>
      </c>
      <c r="AT59" s="118" t="str">
        <f t="shared" si="285"/>
        <v>-</v>
      </c>
      <c r="AU59" s="118" t="str">
        <f t="shared" si="285"/>
        <v>-</v>
      </c>
      <c r="AV59" s="118" t="str">
        <f t="shared" si="285"/>
        <v>-</v>
      </c>
      <c r="AW59" s="118" t="str">
        <f t="shared" si="285"/>
        <v>-</v>
      </c>
      <c r="AX59" s="117" t="str">
        <f t="shared" si="285"/>
        <v>-</v>
      </c>
    </row>
    <row r="60" spans="1:50" ht="20.100000000000001" customHeight="1" thickTop="1" x14ac:dyDescent="0.3">
      <c r="AM60" s="187"/>
      <c r="AN60" s="180">
        <v>4</v>
      </c>
      <c r="AO60" s="121" t="s">
        <v>129</v>
      </c>
      <c r="AP60" s="134">
        <f t="shared" ref="AP60" si="286">COUNTIFS($B$2:$B$54,"="&amp;$AN60,$T$2:$T$54,"="&amp;$AM$51,$W$2:$W$54,"="&amp;AP$2)</f>
        <v>0</v>
      </c>
      <c r="AQ60" s="124">
        <f t="shared" si="259"/>
        <v>0</v>
      </c>
      <c r="AR60" s="124">
        <f t="shared" si="259"/>
        <v>0</v>
      </c>
      <c r="AS60" s="124">
        <f t="shared" si="259"/>
        <v>0</v>
      </c>
      <c r="AT60" s="124">
        <f t="shared" si="259"/>
        <v>0</v>
      </c>
      <c r="AU60" s="124">
        <f t="shared" si="259"/>
        <v>0</v>
      </c>
      <c r="AV60" s="124">
        <f t="shared" si="259"/>
        <v>0</v>
      </c>
      <c r="AW60" s="124">
        <f t="shared" si="259"/>
        <v>0</v>
      </c>
      <c r="AX60" s="123">
        <f t="shared" si="259"/>
        <v>0</v>
      </c>
    </row>
    <row r="61" spans="1:50" ht="20.100000000000001" customHeight="1" x14ac:dyDescent="0.3">
      <c r="AM61" s="187"/>
      <c r="AN61" s="181"/>
      <c r="AO61" s="115" t="s">
        <v>130</v>
      </c>
      <c r="AP61" s="130">
        <f t="shared" ref="AP61" si="287">SUMIFS($O$2:$O$54,$B$2:$B$54,"="&amp;$AN60,$T$2:$T$54,"="&amp;$AM$51,$W$2:$W$54,"="&amp;AP$2)</f>
        <v>0</v>
      </c>
      <c r="AQ61" s="116">
        <f t="shared" ref="AQ61" si="288">SUMIFS($O$2:$O$54,$B$2:$B$54,"="&amp;$AN60,$T$2:$T$54,"="&amp;$AM$51,$W$2:$W$54,"="&amp;AQ$2)</f>
        <v>0</v>
      </c>
      <c r="AR61" s="116">
        <f t="shared" ref="AR61" si="289">SUMIFS($O$2:$O$54,$B$2:$B$54,"="&amp;$AN60,$T$2:$T$54,"="&amp;$AM$51,$W$2:$W$54,"="&amp;AR$2)</f>
        <v>0</v>
      </c>
      <c r="AS61" s="116">
        <f t="shared" ref="AS61" si="290">SUMIFS($O$2:$O$54,$B$2:$B$54,"="&amp;$AN60,$T$2:$T$54,"="&amp;$AM$51,$W$2:$W$54,"="&amp;AS$2)</f>
        <v>0</v>
      </c>
      <c r="AT61" s="116">
        <f t="shared" ref="AT61" si="291">SUMIFS($O$2:$O$54,$B$2:$B$54,"="&amp;$AN60,$T$2:$T$54,"="&amp;$AM$51,$W$2:$W$54,"="&amp;AT$2)</f>
        <v>0</v>
      </c>
      <c r="AU61" s="116">
        <f t="shared" ref="AU61" si="292">SUMIFS($O$2:$O$54,$B$2:$B$54,"="&amp;$AN60,$T$2:$T$54,"="&amp;$AM$51,$W$2:$W$54,"="&amp;AU$2)</f>
        <v>0</v>
      </c>
      <c r="AV61" s="116">
        <f t="shared" ref="AV61" si="293">SUMIFS($O$2:$O$54,$B$2:$B$54,"="&amp;$AN60,$T$2:$T$54,"="&amp;$AM$51,$W$2:$W$54,"="&amp;AV$2)</f>
        <v>0</v>
      </c>
      <c r="AW61" s="116">
        <f t="shared" ref="AW61" si="294">SUMIFS($O$2:$O$54,$B$2:$B$54,"="&amp;$AN60,$T$2:$T$54,"="&amp;$AM$51,$W$2:$W$54,"="&amp;AW$2)</f>
        <v>0</v>
      </c>
      <c r="AX61" s="115">
        <f t="shared" ref="AX61" si="295">SUMIFS($O$2:$O$54,$B$2:$B$54,"="&amp;$AN60,$T$2:$T$54,"="&amp;$AM$51,$W$2:$W$54,"="&amp;AX$2)</f>
        <v>0</v>
      </c>
    </row>
    <row r="62" spans="1:50" ht="20.100000000000001" customHeight="1" thickBot="1" x14ac:dyDescent="0.35">
      <c r="AM62" s="188"/>
      <c r="AN62" s="184"/>
      <c r="AO62" s="139" t="s">
        <v>131</v>
      </c>
      <c r="AP62" s="137" t="str">
        <f t="shared" ref="AP62:AX62" si="296">IFERROR(ROUND(AVERAGEIFS($O$2:$O$54,$B$2:$B$54,"="&amp;$AN60,$T$2:$T$54,"="&amp;$AM$51,$W$2:$W$54,"="&amp;AP$2),2),"-")</f>
        <v>-</v>
      </c>
      <c r="AQ62" s="138" t="str">
        <f t="shared" si="296"/>
        <v>-</v>
      </c>
      <c r="AR62" s="138" t="str">
        <f t="shared" si="296"/>
        <v>-</v>
      </c>
      <c r="AS62" s="138" t="str">
        <f t="shared" si="296"/>
        <v>-</v>
      </c>
      <c r="AT62" s="138" t="str">
        <f t="shared" si="296"/>
        <v>-</v>
      </c>
      <c r="AU62" s="138" t="str">
        <f t="shared" si="296"/>
        <v>-</v>
      </c>
      <c r="AV62" s="138" t="str">
        <f t="shared" si="296"/>
        <v>-</v>
      </c>
      <c r="AW62" s="138" t="str">
        <f t="shared" si="296"/>
        <v>-</v>
      </c>
      <c r="AX62" s="139" t="str">
        <f t="shared" si="296"/>
        <v>-</v>
      </c>
    </row>
    <row r="63" spans="1:50" ht="20.100000000000001" customHeight="1" thickTop="1" x14ac:dyDescent="0.3"/>
    <row r="64" spans="1:50" ht="20.100000000000001" customHeight="1" x14ac:dyDescent="0.3"/>
    <row r="65" ht="20.100000000000001" customHeight="1" x14ac:dyDescent="0.3"/>
  </sheetData>
  <mergeCells count="56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56:E56"/>
    <mergeCell ref="A55:E55"/>
    <mergeCell ref="A57:E57"/>
    <mergeCell ref="A58:E58"/>
    <mergeCell ref="P55:W59"/>
    <mergeCell ref="A59:E59"/>
    <mergeCell ref="AM51:AM62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33:AN35"/>
    <mergeCell ref="AN36:AN38"/>
    <mergeCell ref="AN39:AN41"/>
    <mergeCell ref="AN45:AN47"/>
    <mergeCell ref="AN42:AN44"/>
    <mergeCell ref="AN48:AN50"/>
    <mergeCell ref="AN51:AN53"/>
    <mergeCell ref="AN54:AN56"/>
    <mergeCell ref="AN57:AN59"/>
    <mergeCell ref="AN60:AN62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35" t="s">
        <v>5</v>
      </c>
      <c r="B1" s="36" t="s">
        <v>80</v>
      </c>
      <c r="D1" s="35" t="s">
        <v>5</v>
      </c>
      <c r="E1" s="36">
        <v>101</v>
      </c>
      <c r="F1" s="36">
        <v>102</v>
      </c>
      <c r="G1" s="36">
        <v>103</v>
      </c>
      <c r="H1" s="36">
        <v>104</v>
      </c>
      <c r="I1" s="36">
        <v>105</v>
      </c>
    </row>
    <row r="2" spans="1:9" x14ac:dyDescent="0.3">
      <c r="A2" s="36">
        <v>101</v>
      </c>
      <c r="B2" s="36" t="s">
        <v>81</v>
      </c>
      <c r="D2" s="36" t="s">
        <v>80</v>
      </c>
      <c r="E2" s="36" t="s">
        <v>81</v>
      </c>
      <c r="F2" s="36" t="s">
        <v>82</v>
      </c>
      <c r="G2" s="36" t="s">
        <v>83</v>
      </c>
      <c r="H2" s="36" t="s">
        <v>84</v>
      </c>
      <c r="I2" s="36" t="s">
        <v>85</v>
      </c>
    </row>
    <row r="3" spans="1:9" x14ac:dyDescent="0.3">
      <c r="A3" s="36">
        <v>102</v>
      </c>
      <c r="B3" s="36" t="s">
        <v>82</v>
      </c>
    </row>
    <row r="4" spans="1:9" x14ac:dyDescent="0.3">
      <c r="A4" s="36">
        <v>103</v>
      </c>
      <c r="B4" s="36" t="s">
        <v>83</v>
      </c>
    </row>
    <row r="5" spans="1:9" x14ac:dyDescent="0.3">
      <c r="A5" s="36">
        <v>104</v>
      </c>
      <c r="B5" s="36" t="s">
        <v>84</v>
      </c>
    </row>
    <row r="6" spans="1:9" x14ac:dyDescent="0.3">
      <c r="A6" s="36">
        <v>105</v>
      </c>
      <c r="B6" s="36" t="s">
        <v>85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2019-11-23T07:33:47Z</dcterms:modified>
</cp:coreProperties>
</file>