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5부 엑셀에서 제공하는 분석 기능\Chap17_데이터 집합의 상태 파악\Chap17 데이터 집합의 상태 파악_준비파일\"/>
    </mc:Choice>
  </mc:AlternateContent>
  <xr:revisionPtr revIDLastSave="0" documentId="13_ncr:1_{4C9AFED9-0310-46C6-B900-09F136AC82F8}" xr6:coauthVersionLast="45" xr6:coauthVersionMax="45" xr10:uidLastSave="{00000000-0000-0000-0000-000000000000}"/>
  <bookViews>
    <workbookView xWindow="3120" yWindow="1410" windowWidth="22875" windowHeight="1479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V2" i="1"/>
  <c r="U2" i="1"/>
  <c r="T44" i="1"/>
  <c r="T43" i="1"/>
  <c r="T42" i="1"/>
  <c r="T41" i="1"/>
  <c r="T37" i="1" l="1"/>
  <c r="T38" i="1"/>
  <c r="T39" i="1"/>
  <c r="T4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AU5" i="1" l="1"/>
  <c r="AU4" i="1"/>
  <c r="AV5" i="1"/>
  <c r="AV4" i="1"/>
  <c r="AD10" i="1"/>
  <c r="AF11" i="1"/>
  <c r="AF10" i="1"/>
  <c r="AD11" i="1"/>
  <c r="AF9" i="1"/>
  <c r="AF12" i="1"/>
  <c r="AD12" i="1"/>
  <c r="AD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Y29" i="1" s="1"/>
  <c r="Q30" i="1"/>
  <c r="Y30" i="1" s="1"/>
  <c r="Q31" i="1"/>
  <c r="Y31" i="1" s="1"/>
  <c r="Q32" i="1"/>
  <c r="Y32" i="1" s="1"/>
  <c r="Q33" i="1"/>
  <c r="Y33" i="1" s="1"/>
  <c r="Q34" i="1"/>
  <c r="Y34" i="1" s="1"/>
  <c r="Q35" i="1"/>
  <c r="Y35" i="1" s="1"/>
  <c r="Q36" i="1"/>
  <c r="Y36" i="1" s="1"/>
  <c r="N2" i="2" l="1"/>
  <c r="Y27" i="1"/>
  <c r="Y15" i="1"/>
  <c r="Y3" i="1"/>
  <c r="Y26" i="1"/>
  <c r="Y18" i="1"/>
  <c r="Y6" i="1"/>
  <c r="Y23" i="1"/>
  <c r="Y11" i="1"/>
  <c r="Y22" i="1"/>
  <c r="Y14" i="1"/>
  <c r="Y10" i="1"/>
  <c r="Y25" i="1"/>
  <c r="Y21" i="1"/>
  <c r="Y17" i="1"/>
  <c r="Y13" i="1"/>
  <c r="Y9" i="1"/>
  <c r="Y5" i="1"/>
  <c r="Y19" i="1"/>
  <c r="Y7" i="1"/>
  <c r="Y28" i="1"/>
  <c r="Y24" i="1"/>
  <c r="Y20" i="1"/>
  <c r="Y16" i="1"/>
  <c r="Y12" i="1"/>
  <c r="Y8" i="1"/>
  <c r="Y4" i="1"/>
  <c r="Y2" i="1"/>
  <c r="Z30" i="1" s="1"/>
  <c r="E3" i="1"/>
  <c r="W3" i="1" s="1"/>
  <c r="E4" i="1"/>
  <c r="W4" i="1" s="1"/>
  <c r="E5" i="1"/>
  <c r="W5" i="1" s="1"/>
  <c r="E6" i="1"/>
  <c r="W6" i="1" s="1"/>
  <c r="E7" i="1"/>
  <c r="W7" i="1" s="1"/>
  <c r="E8" i="1"/>
  <c r="W8" i="1" s="1"/>
  <c r="E9" i="1"/>
  <c r="W9" i="1" s="1"/>
  <c r="E10" i="1"/>
  <c r="W10" i="1" s="1"/>
  <c r="E11" i="1"/>
  <c r="W11" i="1" s="1"/>
  <c r="E12" i="1"/>
  <c r="W12" i="1" s="1"/>
  <c r="E13" i="1"/>
  <c r="W13" i="1" s="1"/>
  <c r="E14" i="1"/>
  <c r="W14" i="1" s="1"/>
  <c r="E15" i="1"/>
  <c r="W15" i="1" s="1"/>
  <c r="E16" i="1"/>
  <c r="W16" i="1" s="1"/>
  <c r="E17" i="1"/>
  <c r="W17" i="1" s="1"/>
  <c r="E18" i="1"/>
  <c r="W18" i="1" s="1"/>
  <c r="E19" i="1"/>
  <c r="W19" i="1" s="1"/>
  <c r="E20" i="1"/>
  <c r="W20" i="1" s="1"/>
  <c r="E21" i="1"/>
  <c r="W21" i="1" s="1"/>
  <c r="E22" i="1"/>
  <c r="W22" i="1" s="1"/>
  <c r="E23" i="1"/>
  <c r="W23" i="1" s="1"/>
  <c r="E24" i="1"/>
  <c r="W24" i="1" s="1"/>
  <c r="E25" i="1"/>
  <c r="W25" i="1" s="1"/>
  <c r="E26" i="1"/>
  <c r="W26" i="1" s="1"/>
  <c r="E27" i="1"/>
  <c r="W27" i="1" s="1"/>
  <c r="E28" i="1"/>
  <c r="W28" i="1" s="1"/>
  <c r="E29" i="1"/>
  <c r="W29" i="1" s="1"/>
  <c r="E30" i="1"/>
  <c r="W30" i="1" s="1"/>
  <c r="E31" i="1"/>
  <c r="W31" i="1" s="1"/>
  <c r="E32" i="1"/>
  <c r="W32" i="1" s="1"/>
  <c r="E33" i="1"/>
  <c r="W33" i="1" s="1"/>
  <c r="E34" i="1"/>
  <c r="W34" i="1" s="1"/>
  <c r="E35" i="1"/>
  <c r="W35" i="1" s="1"/>
  <c r="E36" i="1"/>
  <c r="W36" i="1" s="1"/>
  <c r="E2" i="1"/>
  <c r="W2" i="1" s="1"/>
  <c r="AA32" i="1" l="1"/>
  <c r="AA23" i="1"/>
  <c r="Z23" i="1"/>
  <c r="Z31" i="1"/>
  <c r="Z20" i="1"/>
  <c r="AA20" i="1"/>
  <c r="Z17" i="1"/>
  <c r="AA17" i="1"/>
  <c r="Z6" i="1"/>
  <c r="AA6" i="1"/>
  <c r="Z32" i="1"/>
  <c r="AA31" i="1"/>
  <c r="Z25" i="1"/>
  <c r="AA25" i="1"/>
  <c r="Z26" i="1"/>
  <c r="AA26" i="1"/>
  <c r="Z33" i="1"/>
  <c r="AA35" i="1"/>
  <c r="Z18" i="1"/>
  <c r="AA18" i="1"/>
  <c r="AA33" i="1"/>
  <c r="Z10" i="1"/>
  <c r="AA10" i="1"/>
  <c r="Z3" i="1"/>
  <c r="AA3" i="1"/>
  <c r="AA34" i="1"/>
  <c r="AA36" i="1"/>
  <c r="Z13" i="1"/>
  <c r="AA13" i="1"/>
  <c r="Z35" i="1"/>
  <c r="Z19" i="1"/>
  <c r="AA19" i="1"/>
  <c r="Z14" i="1"/>
  <c r="AA14" i="1"/>
  <c r="AA15" i="1"/>
  <c r="Z15" i="1"/>
  <c r="Z34" i="1"/>
  <c r="Z36" i="1"/>
  <c r="Z16" i="1"/>
  <c r="AA16" i="1"/>
  <c r="AA21" i="1"/>
  <c r="Z21" i="1"/>
  <c r="Z4" i="1"/>
  <c r="AA4" i="1"/>
  <c r="Z8" i="1"/>
  <c r="AA8" i="1"/>
  <c r="Z5" i="1"/>
  <c r="AA5" i="1"/>
  <c r="Z22" i="1"/>
  <c r="AA22" i="1"/>
  <c r="Z27" i="1"/>
  <c r="AA27" i="1"/>
  <c r="AA29" i="1"/>
  <c r="AA30" i="1"/>
  <c r="Z24" i="1"/>
  <c r="AA24" i="1"/>
  <c r="Z28" i="1"/>
  <c r="AA28" i="1"/>
  <c r="Z7" i="1"/>
  <c r="AA7" i="1"/>
  <c r="Z12" i="1"/>
  <c r="AA12" i="1"/>
  <c r="Z9" i="1"/>
  <c r="AA9" i="1"/>
  <c r="Z11" i="1"/>
  <c r="AA11" i="1"/>
  <c r="Z29" i="1"/>
  <c r="AA2" i="1"/>
  <c r="Z2" i="1"/>
  <c r="Y44" i="1"/>
  <c r="Y43" i="1"/>
  <c r="Y42" i="1"/>
  <c r="Y41" i="1"/>
  <c r="Y37" i="1"/>
  <c r="Y39" i="1"/>
  <c r="Y38" i="1"/>
  <c r="Y40" i="1"/>
  <c r="AM20" i="1"/>
  <c r="AO11" i="1"/>
  <c r="AQ8" i="1"/>
  <c r="AN26" i="1"/>
  <c r="AL23" i="1"/>
  <c r="AQ5" i="1"/>
  <c r="BA9" i="1"/>
  <c r="AZ9" i="1"/>
  <c r="BA10" i="1"/>
  <c r="AZ10" i="1"/>
  <c r="BA8" i="1"/>
  <c r="AZ8" i="1"/>
  <c r="AZ7" i="1"/>
  <c r="BA7" i="1"/>
  <c r="AZ4" i="1"/>
  <c r="BA4" i="1"/>
  <c r="AZ6" i="1"/>
  <c r="BA6" i="1"/>
  <c r="AZ5" i="1"/>
  <c r="BA5" i="1"/>
  <c r="AR11" i="1"/>
  <c r="AL17" i="1"/>
  <c r="AM11" i="1"/>
  <c r="AQ11" i="1"/>
  <c r="AR5" i="1"/>
  <c r="AM16" i="1"/>
  <c r="AO15" i="1"/>
  <c r="AP15" i="1"/>
  <c r="AN15" i="1"/>
  <c r="AQ16" i="1"/>
  <c r="AR16" i="1"/>
  <c r="AR15" i="1"/>
  <c r="AM15" i="1"/>
  <c r="AR17" i="1"/>
  <c r="AL15" i="1"/>
  <c r="AL16" i="1"/>
  <c r="AN16" i="1"/>
  <c r="AP16" i="1"/>
  <c r="AQ15" i="1"/>
  <c r="AO16" i="1"/>
  <c r="AR13" i="1"/>
  <c r="AO12" i="1"/>
  <c r="AL13" i="1"/>
  <c r="AQ14" i="1"/>
  <c r="AN13" i="1"/>
  <c r="AL12" i="1"/>
  <c r="AL14" i="1"/>
  <c r="AN12" i="1"/>
  <c r="AM12" i="1"/>
  <c r="AO13" i="1"/>
  <c r="AR12" i="1"/>
  <c r="AP12" i="1"/>
  <c r="AM14" i="1"/>
  <c r="AM13" i="1"/>
  <c r="AQ13" i="1"/>
  <c r="AP13" i="1"/>
  <c r="AQ12" i="1"/>
  <c r="AQ17" i="1"/>
  <c r="AM25" i="1"/>
  <c r="AP26" i="1"/>
  <c r="AR25" i="1"/>
  <c r="AN24" i="1"/>
  <c r="AN25" i="1"/>
  <c r="AM24" i="1"/>
  <c r="AL24" i="1"/>
  <c r="AP25" i="1"/>
  <c r="AQ25" i="1"/>
  <c r="AP24" i="1"/>
  <c r="AO24" i="1"/>
  <c r="AO26" i="1"/>
  <c r="AL26" i="1"/>
  <c r="AQ24" i="1"/>
  <c r="AO25" i="1"/>
  <c r="AR24" i="1"/>
  <c r="AL25" i="1"/>
  <c r="AQ26" i="1"/>
  <c r="AN22" i="1"/>
  <c r="AP22" i="1"/>
  <c r="AM23" i="1"/>
  <c r="AR21" i="1"/>
  <c r="AP21" i="1"/>
  <c r="AP23" i="1"/>
  <c r="AN21" i="1"/>
  <c r="AO21" i="1"/>
  <c r="AR23" i="1"/>
  <c r="AM22" i="1"/>
  <c r="AM21" i="1"/>
  <c r="AR22" i="1"/>
  <c r="AO23" i="1"/>
  <c r="AN23" i="1"/>
  <c r="AL21" i="1"/>
  <c r="AL22" i="1"/>
  <c r="AQ22" i="1"/>
  <c r="AQ21" i="1"/>
  <c r="AO22" i="1"/>
  <c r="AO4" i="1"/>
  <c r="AN4" i="1"/>
  <c r="AP3" i="1"/>
  <c r="AM5" i="1"/>
  <c r="AO3" i="1"/>
  <c r="AL3" i="1"/>
  <c r="AN5" i="1"/>
  <c r="AP5" i="1"/>
  <c r="AN3" i="1"/>
  <c r="AR4" i="1"/>
  <c r="AL4" i="1"/>
  <c r="AP4" i="1"/>
  <c r="AQ4" i="1"/>
  <c r="AM4" i="1"/>
  <c r="AQ3" i="1"/>
  <c r="AR3" i="1"/>
  <c r="AM3" i="1"/>
  <c r="AO5" i="1"/>
  <c r="AM17" i="1"/>
  <c r="AN9" i="1"/>
  <c r="AP9" i="1"/>
  <c r="AN10" i="1"/>
  <c r="AQ9" i="1"/>
  <c r="AO9" i="1"/>
  <c r="AR9" i="1"/>
  <c r="AM9" i="1"/>
  <c r="AL11" i="1"/>
  <c r="AQ10" i="1"/>
  <c r="AL10" i="1"/>
  <c r="AP10" i="1"/>
  <c r="AL9" i="1"/>
  <c r="AM10" i="1"/>
  <c r="AR10" i="1"/>
  <c r="AO10" i="1"/>
  <c r="AM18" i="1"/>
  <c r="AO18" i="1"/>
  <c r="AL20" i="1"/>
  <c r="AR19" i="1"/>
  <c r="AQ19" i="1"/>
  <c r="AP18" i="1"/>
  <c r="AP19" i="1"/>
  <c r="AL18" i="1"/>
  <c r="AN19" i="1"/>
  <c r="AQ18" i="1"/>
  <c r="AL19" i="1"/>
  <c r="AO20" i="1"/>
  <c r="AM19" i="1"/>
  <c r="AP20" i="1"/>
  <c r="AR18" i="1"/>
  <c r="AN18" i="1"/>
  <c r="AO19" i="1"/>
  <c r="AP8" i="1"/>
  <c r="AN6" i="1"/>
  <c r="AP6" i="1"/>
  <c r="AQ6" i="1"/>
  <c r="AO6" i="1"/>
  <c r="AO7" i="1"/>
  <c r="AN7" i="1"/>
  <c r="AP7" i="1"/>
  <c r="AM7" i="1"/>
  <c r="AQ7" i="1"/>
  <c r="AM8" i="1"/>
  <c r="AN8" i="1"/>
  <c r="AR7" i="1"/>
  <c r="AR6" i="1"/>
  <c r="AM6" i="1"/>
  <c r="AO8" i="1"/>
  <c r="AL6" i="1"/>
  <c r="AL7" i="1"/>
  <c r="AN17" i="1"/>
  <c r="AR14" i="1"/>
  <c r="AR20" i="1"/>
  <c r="AQ20" i="1"/>
  <c r="AO17" i="1"/>
  <c r="BA3" i="1"/>
  <c r="AZ3" i="1"/>
  <c r="AN20" i="1"/>
  <c r="AV12" i="1"/>
  <c r="AU12" i="1"/>
  <c r="AU13" i="1"/>
  <c r="AV13" i="1"/>
  <c r="AU10" i="1"/>
  <c r="AV10" i="1"/>
  <c r="AU9" i="1"/>
  <c r="AV9" i="1"/>
  <c r="AU14" i="1"/>
  <c r="AV14" i="1"/>
  <c r="AU11" i="1"/>
  <c r="AV11" i="1"/>
  <c r="AV8" i="1"/>
  <c r="AU8" i="1"/>
  <c r="AR26" i="1"/>
  <c r="AR8" i="1"/>
  <c r="AM26" i="1"/>
  <c r="AO14" i="1"/>
  <c r="AP17" i="1"/>
  <c r="AP11" i="1"/>
  <c r="AQ23" i="1"/>
  <c r="AN11" i="1"/>
  <c r="AP14" i="1"/>
  <c r="AN14" i="1"/>
  <c r="AL8" i="1"/>
  <c r="AG9" i="1"/>
  <c r="AE12" i="1"/>
  <c r="AG11" i="1"/>
  <c r="AL5" i="1"/>
  <c r="AE11" i="1"/>
  <c r="AG10" i="1"/>
  <c r="AG12" i="1"/>
  <c r="AE9" i="1"/>
  <c r="AE10" i="1"/>
  <c r="F31" i="1"/>
  <c r="M31" i="1"/>
  <c r="I31" i="1"/>
  <c r="F19" i="1"/>
  <c r="M19" i="1"/>
  <c r="I19" i="1"/>
  <c r="F7" i="1"/>
  <c r="M7" i="1"/>
  <c r="I7" i="1"/>
  <c r="F34" i="1"/>
  <c r="I34" i="1"/>
  <c r="M34" i="1"/>
  <c r="F30" i="1"/>
  <c r="I30" i="1"/>
  <c r="M30" i="1"/>
  <c r="F26" i="1"/>
  <c r="M26" i="1"/>
  <c r="I26" i="1"/>
  <c r="F22" i="1"/>
  <c r="M22" i="1"/>
  <c r="I22" i="1"/>
  <c r="F18" i="1"/>
  <c r="I18" i="1"/>
  <c r="M18" i="1"/>
  <c r="F14" i="1"/>
  <c r="M14" i="1"/>
  <c r="I14" i="1"/>
  <c r="F10" i="1"/>
  <c r="M10" i="1"/>
  <c r="I10" i="1"/>
  <c r="F6" i="1"/>
  <c r="M6" i="1"/>
  <c r="I6" i="1"/>
  <c r="F35" i="1"/>
  <c r="M35" i="1"/>
  <c r="I35" i="1"/>
  <c r="F23" i="1"/>
  <c r="M23" i="1"/>
  <c r="I23" i="1"/>
  <c r="F11" i="1"/>
  <c r="M11" i="1"/>
  <c r="I11" i="1"/>
  <c r="F2" i="1"/>
  <c r="I2" i="1"/>
  <c r="M2" i="1"/>
  <c r="H33" i="1"/>
  <c r="M33" i="1"/>
  <c r="I33" i="1"/>
  <c r="H29" i="1"/>
  <c r="M29" i="1"/>
  <c r="I29" i="1"/>
  <c r="H25" i="1"/>
  <c r="M25" i="1"/>
  <c r="I25" i="1"/>
  <c r="H21" i="1"/>
  <c r="M21" i="1"/>
  <c r="I21" i="1"/>
  <c r="H17" i="1"/>
  <c r="M17" i="1"/>
  <c r="I17" i="1"/>
  <c r="H13" i="1"/>
  <c r="M13" i="1"/>
  <c r="I13" i="1"/>
  <c r="H9" i="1"/>
  <c r="M9" i="1"/>
  <c r="I9" i="1"/>
  <c r="H5" i="1"/>
  <c r="I5" i="1"/>
  <c r="M5" i="1"/>
  <c r="F27" i="1"/>
  <c r="M27" i="1"/>
  <c r="I27" i="1"/>
  <c r="F15" i="1"/>
  <c r="M15" i="1"/>
  <c r="I15" i="1"/>
  <c r="G36" i="1"/>
  <c r="I36" i="1"/>
  <c r="M36" i="1"/>
  <c r="G32" i="1"/>
  <c r="M32" i="1"/>
  <c r="I32" i="1"/>
  <c r="G28" i="1"/>
  <c r="M28" i="1"/>
  <c r="I28" i="1"/>
  <c r="G24" i="1"/>
  <c r="M24" i="1"/>
  <c r="I24" i="1"/>
  <c r="G20" i="1"/>
  <c r="M20" i="1"/>
  <c r="I20" i="1"/>
  <c r="G16" i="1"/>
  <c r="M16" i="1"/>
  <c r="I16" i="1"/>
  <c r="G12" i="1"/>
  <c r="M12" i="1"/>
  <c r="I12" i="1"/>
  <c r="G8" i="1"/>
  <c r="M8" i="1"/>
  <c r="I8" i="1"/>
  <c r="G4" i="1"/>
  <c r="I4" i="1"/>
  <c r="M4" i="1"/>
  <c r="F3" i="1"/>
  <c r="I3" i="1"/>
  <c r="M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J32" i="1" l="1"/>
  <c r="K32" i="1"/>
  <c r="J12" i="1"/>
  <c r="K12" i="1"/>
  <c r="J33" i="1"/>
  <c r="K33" i="1"/>
  <c r="J7" i="1"/>
  <c r="K7" i="1"/>
  <c r="J24" i="1"/>
  <c r="K24" i="1"/>
  <c r="J13" i="1"/>
  <c r="K13" i="1"/>
  <c r="J23" i="1"/>
  <c r="K23" i="1"/>
  <c r="J18" i="1"/>
  <c r="K18" i="1"/>
  <c r="J11" i="1"/>
  <c r="K11" i="1"/>
  <c r="J26" i="1"/>
  <c r="K26" i="1"/>
  <c r="J21" i="1"/>
  <c r="K21" i="1"/>
  <c r="J6" i="1"/>
  <c r="K6" i="1"/>
  <c r="J3" i="1"/>
  <c r="K3" i="1"/>
  <c r="K27" i="1"/>
  <c r="J27" i="1"/>
  <c r="J25" i="1"/>
  <c r="K25" i="1"/>
  <c r="J10" i="1"/>
  <c r="K10" i="1"/>
  <c r="J30" i="1"/>
  <c r="K30" i="1"/>
  <c r="K19" i="1"/>
  <c r="J19" i="1"/>
  <c r="J28" i="1"/>
  <c r="K28" i="1"/>
  <c r="J20" i="1"/>
  <c r="K20" i="1"/>
  <c r="J9" i="1"/>
  <c r="K9" i="1"/>
  <c r="J4" i="1"/>
  <c r="K4" i="1"/>
  <c r="J16" i="1"/>
  <c r="K16" i="1"/>
  <c r="J36" i="1"/>
  <c r="K36" i="1"/>
  <c r="J22" i="1"/>
  <c r="K22" i="1"/>
  <c r="J5" i="1"/>
  <c r="K5" i="1"/>
  <c r="K17" i="1"/>
  <c r="J17" i="1"/>
  <c r="J35" i="1"/>
  <c r="K35" i="1"/>
  <c r="J8" i="1"/>
  <c r="K8" i="1"/>
  <c r="J15" i="1"/>
  <c r="K15" i="1"/>
  <c r="K29" i="1"/>
  <c r="J29" i="1"/>
  <c r="J14" i="1"/>
  <c r="K14" i="1"/>
  <c r="K34" i="1"/>
  <c r="J34" i="1"/>
  <c r="J31" i="1"/>
  <c r="K31" i="1"/>
  <c r="K2" i="1"/>
  <c r="J2" i="1"/>
  <c r="I44" i="1"/>
  <c r="I43" i="1"/>
  <c r="I42" i="1"/>
  <c r="I41" i="1"/>
  <c r="I40" i="1"/>
  <c r="I39" i="1"/>
  <c r="I38" i="1"/>
  <c r="I37" i="1"/>
  <c r="AZ27" i="1"/>
  <c r="BD27" i="1"/>
  <c r="BA27" i="1"/>
  <c r="BE27" i="1"/>
  <c r="BB27" i="1"/>
  <c r="BC27" i="1"/>
  <c r="BD26" i="1"/>
  <c r="BE26" i="1"/>
  <c r="BB26" i="1"/>
  <c r="BC26" i="1"/>
  <c r="AZ26" i="1"/>
  <c r="BA26" i="1"/>
  <c r="AZ25" i="1"/>
  <c r="BD25" i="1"/>
  <c r="BA25" i="1"/>
  <c r="BE25" i="1"/>
  <c r="BB25" i="1"/>
  <c r="BC25" i="1"/>
  <c r="BE24" i="1"/>
  <c r="BD24" i="1"/>
  <c r="BC24" i="1"/>
  <c r="BB24" i="1"/>
  <c r="BA24" i="1"/>
  <c r="AZ24" i="1"/>
  <c r="AZ23" i="1"/>
  <c r="BD23" i="1"/>
  <c r="BA23" i="1"/>
  <c r="BE23" i="1"/>
  <c r="BB23" i="1"/>
  <c r="BC23" i="1"/>
  <c r="BD22" i="1"/>
  <c r="BE22" i="1"/>
  <c r="BB22" i="1"/>
  <c r="BC22" i="1"/>
  <c r="AZ22" i="1"/>
  <c r="BA22" i="1"/>
  <c r="AZ21" i="1"/>
  <c r="BD21" i="1"/>
  <c r="BA21" i="1"/>
  <c r="BE21" i="1"/>
  <c r="BB21" i="1"/>
  <c r="BC21" i="1"/>
  <c r="BE20" i="1"/>
  <c r="BD20" i="1"/>
  <c r="BC20" i="1"/>
  <c r="BB20" i="1"/>
  <c r="BA20" i="1"/>
  <c r="AZ20" i="1"/>
  <c r="AZ19" i="1"/>
  <c r="BD19" i="1"/>
  <c r="BA19" i="1"/>
  <c r="BE19" i="1"/>
  <c r="BB19" i="1"/>
  <c r="BC19" i="1"/>
  <c r="BE18" i="1"/>
  <c r="BD18" i="1"/>
  <c r="BC18" i="1"/>
  <c r="BB18" i="1"/>
  <c r="BA18" i="1"/>
  <c r="AZ18" i="1"/>
  <c r="AZ17" i="1"/>
  <c r="BD17" i="1"/>
  <c r="BA17" i="1"/>
  <c r="BE17" i="1"/>
  <c r="BB17" i="1"/>
  <c r="BC17" i="1"/>
  <c r="BD16" i="1"/>
  <c r="BE16" i="1"/>
  <c r="BC16" i="1"/>
  <c r="BB16" i="1"/>
  <c r="BA16" i="1"/>
  <c r="AZ16" i="1"/>
  <c r="BE14" i="1"/>
  <c r="AZ15" i="1"/>
  <c r="BD15" i="1"/>
  <c r="BA15" i="1"/>
  <c r="BE15" i="1"/>
  <c r="BB15" i="1"/>
  <c r="BC15" i="1"/>
  <c r="BC14" i="1"/>
  <c r="BD14" i="1"/>
  <c r="BB14" i="1"/>
  <c r="BA14" i="1"/>
  <c r="AZ14" i="1"/>
  <c r="AF16" i="1"/>
  <c r="AD16" i="1"/>
  <c r="AC16" i="1"/>
  <c r="AE5" i="1"/>
  <c r="AE4" i="1"/>
  <c r="AD5" i="1"/>
  <c r="AD4" i="1"/>
  <c r="AE3" i="1"/>
  <c r="AD3" i="1"/>
</calcChain>
</file>

<file path=xl/sharedStrings.xml><?xml version="1.0" encoding="utf-8"?>
<sst xmlns="http://schemas.openxmlformats.org/spreadsheetml/2006/main" count="588" uniqueCount="224">
  <si>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</si>
  <si>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</si>
  <si>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</si>
  <si>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</si>
  <si>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</si>
  <si>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</si>
  <si>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</si>
  <si>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</si>
  <si>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</si>
  <si>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</si>
  <si>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</si>
  <si>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</si>
  <si>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</si>
  <si>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</si>
  <si>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</si>
  <si>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</si>
  <si>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</si>
  <si>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</si>
  <si>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</si>
  <si>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</si>
  <si>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</si>
  <si>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</si>
  <si>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</si>
  <si>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</si>
  <si>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</si>
  <si>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</si>
  <si>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</si>
  <si>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</si>
  <si>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</si>
  <si>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</si>
  <si>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</si>
  <si>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</si>
  <si>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</si>
  <si>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</si>
  <si>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</si>
  <si>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</si>
  <si>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</si>
  <si>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</si>
  <si>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</si>
  <si>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</si>
  <si>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</si>
  <si>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</si>
  <si>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</si>
  <si>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</si>
  <si>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</si>
  <si>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</si>
  <si>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</si>
  <si>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</si>
  <si>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</si>
  <si>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</si>
  <si>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</si>
  <si>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</si>
  <si>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</si>
  <si>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</si>
  <si>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</si>
  <si>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</si>
  <si>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</si>
  <si>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</si>
  <si>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</si>
  <si>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</si>
  <si>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</si>
  <si>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</si>
  <si>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</si>
  <si>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</si>
  <si>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</si>
  <si>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</si>
  <si>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</si>
  <si>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</si>
  <si>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</si>
  <si>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</si>
  <si>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</si>
  <si>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</si>
  <si>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</si>
  <si>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</si>
  <si>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</si>
  <si>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</si>
  <si>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</si>
  <si>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</si>
  <si>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</si>
  <si>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</si>
  <si>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</si>
  <si>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</si>
  <si>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</si>
  <si>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</si>
  <si>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</si>
  <si>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</si>
  <si>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</si>
  <si>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</si>
  <si>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</si>
  <si>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</si>
  <si>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</si>
  <si>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</si>
  <si>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</si>
  <si>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</si>
  <si>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</si>
  <si>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</si>
  <si>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</si>
  <si>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</si>
  <si>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</si>
  <si>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</si>
  <si>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</si>
  <si>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</si>
  <si>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</si>
  <si>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</si>
  <si>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</si>
  <si>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</si>
  <si>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</si>
  <si>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</si>
  <si>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</si>
  <si>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</si>
  <si>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</si>
  <si>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</si>
  <si>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</si>
  <si>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</si>
  <si>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</si>
  <si>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</si>
  <si>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</si>
  <si>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</si>
  <si>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</si>
  <si>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</si>
  <si>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</si>
  <si>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</si>
  <si>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</si>
  <si>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</si>
  <si>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</si>
  <si>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</si>
  <si>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</si>
  <si>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</si>
  <si>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</si>
  <si>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</si>
  <si>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</si>
  <si>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</si>
  <si>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</si>
  <si>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</si>
  <si>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</si>
  <si>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</si>
  <si>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</si>
  <si>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</si>
  <si>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</si>
  <si>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</si>
  <si>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</si>
  <si>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</si>
  <si>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</si>
  <si>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</si>
  <si>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</si>
  <si>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</si>
  <si>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</si>
  <si>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</si>
  <si>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</si>
  <si>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</si>
  <si>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</si>
  <si>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</si>
  <si>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</si>
  <si>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</si>
  <si>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</si>
  <si>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</si>
  <si>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</si>
  <si>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</si>
  <si>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</si>
  <si>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</si>
  <si>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</si>
  <si>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</si>
  <si>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</si>
  <si>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</si>
  <si>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</si>
  <si>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</si>
  <si>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</si>
  <si>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</si>
  <si>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</si>
  <si>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</si>
  <si>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</si>
  <si>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</si>
  <si>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</si>
  <si>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</si>
  <si>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</si>
  <si>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</si>
  <si>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</si>
  <si>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</si>
  <si>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</si>
  <si>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</si>
  <si>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</si>
  <si>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</si>
  <si>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</si>
  <si>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</si>
  <si>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</si>
  <si>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</si>
  <si>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</si>
  <si>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</si>
  <si>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</si>
  <si>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</si>
  <si>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</si>
  <si>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</si>
  <si>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</si>
  <si>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</si>
  <si>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</si>
  <si>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</si>
  <si>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</si>
  <si>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</si>
  <si>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</si>
  <si>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</si>
  <si>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</si>
  <si>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</si>
  <si>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</si>
  <si>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</si>
  <si>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</si>
  <si>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</si>
  <si>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</si>
  <si>
    <t>모집단에 대한 분산</t>
    <phoneticPr fontId="1" type="noConversion"/>
  </si>
  <si>
    <t>표본집단에 대한 분산</t>
    <phoneticPr fontId="1" type="noConversion"/>
  </si>
  <si>
    <t>모집단에 대한 표준편차</t>
    <phoneticPr fontId="1" type="noConversion"/>
  </si>
  <si>
    <t>표본집단에 대한 표준편차</t>
    <phoneticPr fontId="1" type="noConversion"/>
  </si>
  <si>
    <t>평균</t>
    <phoneticPr fontId="1" type="noConversion"/>
  </si>
  <si>
    <t>최대값</t>
    <phoneticPr fontId="1" type="noConversion"/>
  </si>
  <si>
    <t>최소값</t>
    <phoneticPr fontId="1" type="noConversion"/>
  </si>
  <si>
    <t>중간값</t>
    <phoneticPr fontId="1" type="noConversion"/>
  </si>
  <si>
    <t>10번째로 큰 값</t>
    <phoneticPr fontId="1" type="noConversion"/>
  </si>
  <si>
    <t>10번째로 작은 값</t>
    <phoneticPr fontId="1" type="noConversion"/>
  </si>
  <si>
    <t>15번째로 큰 값</t>
    <phoneticPr fontId="1" type="noConversion"/>
  </si>
  <si>
    <t>나이등수
내림차순</t>
    <phoneticPr fontId="1" type="noConversion"/>
  </si>
  <si>
    <t>나이등수
오름차순</t>
    <phoneticPr fontId="1" type="noConversion"/>
  </si>
  <si>
    <t>포인트등수
내림차순</t>
    <phoneticPr fontId="1" type="noConversion"/>
  </si>
  <si>
    <t>포인트등수
오름차순</t>
    <phoneticPr fontId="1" type="noConversion"/>
  </si>
  <si>
    <t>할인율등수
내림차순</t>
    <phoneticPr fontId="1" type="noConversion"/>
  </si>
  <si>
    <t>할인율등수
오름차순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</si>
</sst>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 style="thin">
        <color auto="1"/>
      </left>
      <right/>
      <top style="double">
        <color indexed="64"/>
      </top>
      <bottom/>
      <diagonal style="thin">
        <color auto="1"/>
      </diagonal>
    </border>
    <border diagonalUp="1" diagonalDown="1">
      <left/>
      <right style="thin">
        <color indexed="64"/>
      </right>
      <top style="double">
        <color indexed="64"/>
      </top>
      <bottom/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 style="thin">
        <color indexed="64"/>
      </right>
      <top/>
      <bottom/>
      <diagonal style="thin">
        <color auto="1"/>
      </diagonal>
    </border>
    <border diagonalUp="1" diagonalDown="1">
      <left style="thin">
        <color auto="1"/>
      </left>
      <right/>
      <top/>
      <bottom style="double">
        <color indexed="64"/>
      </bottom>
      <diagonal style="thin">
        <color auto="1"/>
      </diagonal>
    </border>
    <border diagonalUp="1" diagonalDown="1">
      <left/>
      <right style="thin">
        <color indexed="64"/>
      </right>
      <top/>
      <bottom style="double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14" fontId="3" fillId="0" borderId="44" xfId="0" applyNumberFormat="1" applyFont="1" applyFill="1" applyBorder="1" applyAlignment="1">
      <alignment horizontal="center" vertical="center"/>
    </xf>
    <xf numFmtId="49" fontId="2" fillId="0" borderId="44" xfId="0" applyNumberFormat="1" applyFont="1" applyFill="1" applyBorder="1" applyAlignment="1">
      <alignment horizontal="center" vertical="center" wrapText="1"/>
    </xf>
    <xf numFmtId="0" fontId="3" fillId="0" borderId="44" xfId="0" applyNumberFormat="1" applyFont="1" applyFill="1" applyBorder="1" applyAlignment="1">
      <alignment horizontal="center" vertical="center"/>
    </xf>
    <xf numFmtId="0" fontId="3" fillId="0" borderId="43" xfId="0" applyNumberFormat="1" applyFont="1" applyFill="1" applyBorder="1" applyAlignment="1">
      <alignment horizontal="center" vertical="center"/>
    </xf>
    <xf numFmtId="14" fontId="3" fillId="0" borderId="43" xfId="0" applyNumberFormat="1" applyFont="1" applyFill="1" applyBorder="1" applyAlignment="1">
      <alignment horizontal="center" vertical="center"/>
    </xf>
    <xf numFmtId="0" fontId="5" fillId="0" borderId="44" xfId="1" applyFont="1" applyFill="1" applyBorder="1">
      <alignment vertical="center"/>
    </xf>
    <xf numFmtId="0" fontId="3" fillId="0" borderId="44" xfId="0" applyFont="1" applyFill="1" applyBorder="1" applyAlignment="1">
      <alignment horizontal="center" vertical="center"/>
    </xf>
    <xf numFmtId="0" fontId="11" fillId="0" borderId="10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3" fillId="0" borderId="111" xfId="0" applyNumberFormat="1" applyFont="1" applyFill="1" applyBorder="1">
      <alignment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6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99" xfId="0" applyFont="1" applyBorder="1">
      <alignment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11" xfId="0" applyNumberFormat="1" applyFont="1" applyFill="1" applyBorder="1" applyAlignment="1">
      <alignment horizontal="center" vertical="center"/>
    </xf>
    <xf numFmtId="0" fontId="3" fillId="0" borderId="113" xfId="0" applyNumberFormat="1" applyFont="1" applyFill="1" applyBorder="1" applyAlignment="1">
      <alignment horizontal="center" vertical="center"/>
    </xf>
    <xf numFmtId="0" fontId="3" fillId="0" borderId="111" xfId="0" applyFont="1" applyBorder="1" applyAlignment="1">
      <alignment horizontal="center" vertical="center"/>
    </xf>
    <xf numFmtId="0" fontId="3" fillId="0" borderId="8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176" fontId="3" fillId="0" borderId="99" xfId="0" applyNumberFormat="1" applyFont="1" applyFill="1" applyBorder="1">
      <alignment vertical="center"/>
    </xf>
    <xf numFmtId="176" fontId="3" fillId="0" borderId="19" xfId="0" applyNumberFormat="1" applyFont="1" applyFill="1" applyBorder="1">
      <alignment vertical="center"/>
    </xf>
    <xf numFmtId="176" fontId="3" fillId="0" borderId="26" xfId="0" applyNumberFormat="1" applyFont="1" applyFill="1" applyBorder="1">
      <alignment vertical="center"/>
    </xf>
    <xf numFmtId="176" fontId="3" fillId="0" borderId="112" xfId="0" applyNumberFormat="1" applyFont="1" applyFill="1" applyBorder="1">
      <alignment vertical="center"/>
    </xf>
    <xf numFmtId="0" fontId="3" fillId="0" borderId="76" xfId="0" applyNumberFormat="1" applyFont="1" applyFill="1" applyBorder="1" applyAlignment="1">
      <alignment horizontal="center" vertical="center"/>
    </xf>
    <xf numFmtId="0" fontId="3" fillId="0" borderId="110" xfId="0" applyNumberFormat="1" applyFont="1" applyFill="1" applyBorder="1" applyAlignment="1">
      <alignment horizontal="center" vertical="center"/>
    </xf>
    <xf numFmtId="0" fontId="3" fillId="0" borderId="123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center" vertical="center"/>
    </xf>
    <xf numFmtId="0" fontId="3" fillId="0" borderId="27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center" vertical="center"/>
    </xf>
    <xf numFmtId="0" fontId="3" fillId="0" borderId="1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0" borderId="114" xfId="0" applyFont="1" applyFill="1" applyBorder="1" applyAlignment="1">
      <alignment horizontal="center" vertical="center"/>
    </xf>
    <xf numFmtId="0" fontId="3" fillId="0" borderId="115" xfId="0" applyFont="1" applyFill="1" applyBorder="1" applyAlignment="1">
      <alignment horizontal="center" vertical="center"/>
    </xf>
    <xf numFmtId="0" fontId="3" fillId="0" borderId="116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BF49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hidden="1" customWidth="1"/>
    <col min="4" max="4" width="15.625" style="2" hidden="1" customWidth="1"/>
    <col min="5" max="5" width="10.625" style="2" hidden="1" customWidth="1"/>
    <col min="6" max="6" width="5.625" style="2" hidden="1" customWidth="1"/>
    <col min="7" max="8" width="3.625" style="2" hidden="1" customWidth="1"/>
    <col min="9" max="9" width="11.25" style="2" customWidth="1"/>
    <col min="10" max="11" width="8.75" style="2" customWidth="1"/>
    <col min="12" max="12" width="4.625" style="2" hidden="1" customWidth="1"/>
    <col min="13" max="13" width="6.625" style="2" hidden="1" customWidth="1"/>
    <col min="14" max="14" width="23.625" style="3" hidden="1" customWidth="1"/>
    <col min="15" max="15" width="13.625" style="4" hidden="1" customWidth="1"/>
    <col min="16" max="16" width="11.125" style="2" hidden="1" customWidth="1"/>
    <col min="17" max="19" width="3.625" style="2" hidden="1" customWidth="1"/>
    <col min="20" max="20" width="11.25" style="1" customWidth="1"/>
    <col min="21" max="22" width="9.25" style="1" customWidth="1"/>
    <col min="23" max="23" width="4.625" style="2" hidden="1" customWidth="1"/>
    <col min="24" max="24" width="11.375" style="2" hidden="1" customWidth="1"/>
    <col min="25" max="25" width="8.625" style="1" customWidth="1"/>
    <col min="26" max="27" width="9.25" style="1" customWidth="1"/>
    <col min="28" max="28" width="3.625" style="1" customWidth="1"/>
    <col min="29" max="29" width="10.625" style="1" hidden="1" customWidth="1"/>
    <col min="30" max="33" width="8.625" style="1" hidden="1" customWidth="1"/>
    <col min="34" max="34" width="3.625" style="1" hidden="1" customWidth="1"/>
    <col min="35" max="35" width="9.875" style="1" hidden="1" customWidth="1"/>
    <col min="36" max="36" width="3.625" style="1" hidden="1" customWidth="1"/>
    <col min="37" max="37" width="15.75" style="1" hidden="1" customWidth="1"/>
    <col min="38" max="45" width="9" style="1" hidden="1" customWidth="1"/>
    <col min="46" max="46" width="4.625" style="1" hidden="1" customWidth="1"/>
    <col min="47" max="48" width="9.625" style="1" hidden="1" customWidth="1"/>
    <col min="49" max="49" width="3.625" style="1" hidden="1" customWidth="1"/>
    <col min="50" max="50" width="4.625" style="1" hidden="1" customWidth="1"/>
    <col min="51" max="51" width="10.625" style="1" hidden="1" customWidth="1"/>
    <col min="52" max="53" width="8.625" style="1" hidden="1" customWidth="1"/>
    <col min="54" max="58" width="9" style="1" hidden="1" customWidth="1"/>
    <col min="59" max="16384" width="9" style="1"/>
  </cols>
  <sheetData>
    <row r="1" spans="1:57" ht="29.25" customHeight="1" thickTop="1" thickBot="1" x14ac:dyDescent="0.35">
      <c r="A1" s="106" t="s">
        <v>0</v>
      </c>
      <c r="B1" s="107" t="s">
        <v>1</v>
      </c>
      <c r="C1" s="107" t="s">
        <v>2</v>
      </c>
      <c r="D1" s="108" t="s">
        <v>168</v>
      </c>
      <c r="E1" s="107" t="s">
        <v>147</v>
      </c>
      <c r="F1" s="107" t="s">
        <v>148</v>
      </c>
      <c r="G1" s="107" t="s">
        <v>149</v>
      </c>
      <c r="H1" s="107" t="s">
        <v>150</v>
      </c>
      <c r="I1" s="108" t="s">
        <v>154</v>
      </c>
      <c r="J1" s="108" t="s">
        <v>218</v>
      </c>
      <c r="K1" s="108" t="s">
        <v>219</v>
      </c>
      <c r="L1" s="108" t="s">
        <v>157</v>
      </c>
      <c r="M1" s="108" t="s">
        <v>155</v>
      </c>
      <c r="N1" s="107" t="s">
        <v>3</v>
      </c>
      <c r="O1" s="107" t="s">
        <v>111</v>
      </c>
      <c r="P1" s="107" t="s">
        <v>4</v>
      </c>
      <c r="Q1" s="108" t="s">
        <v>151</v>
      </c>
      <c r="R1" s="108" t="s">
        <v>152</v>
      </c>
      <c r="S1" s="109" t="s">
        <v>153</v>
      </c>
      <c r="T1" s="106" t="s">
        <v>5</v>
      </c>
      <c r="U1" s="108" t="s">
        <v>220</v>
      </c>
      <c r="V1" s="175" t="s">
        <v>221</v>
      </c>
      <c r="W1" s="174" t="s">
        <v>156</v>
      </c>
      <c r="X1" s="110" t="s">
        <v>166</v>
      </c>
      <c r="Y1" s="111" t="s">
        <v>167</v>
      </c>
      <c r="Z1" s="108" t="s">
        <v>222</v>
      </c>
      <c r="AA1" s="108" t="s">
        <v>223</v>
      </c>
    </row>
    <row r="2" spans="1:57" ht="17.100000000000001" customHeight="1" thickTop="1" thickBot="1" x14ac:dyDescent="0.35">
      <c r="A2" s="112" t="str">
        <f t="shared" ref="A2:A36" si="0">LEFT(N2, FIND("@",N2)-1) &amp; "-" &amp; RIGHT(O2, 4)</f>
        <v>kjwoon79-4628</v>
      </c>
      <c r="B2" s="113" t="s">
        <v>14</v>
      </c>
      <c r="C2" s="114" t="s">
        <v>76</v>
      </c>
      <c r="D2" s="115" t="str">
        <f t="shared" ref="D2:D36" si="1">REPLACE(C2,9,,REPT("*",6))</f>
        <v>790809-1******</v>
      </c>
      <c r="E2" s="116">
        <f t="shared" ref="E2:E36" si="2">DATE(LEFT(C2,2), MID(C2,3,2), MID(C2,5,2))</f>
        <v>29076</v>
      </c>
      <c r="F2" s="115">
        <f t="shared" ref="F2:F36" si="3">YEAR(E2)</f>
        <v>1979</v>
      </c>
      <c r="G2" s="115">
        <f t="shared" ref="G2:G36" si="4">MONTH(E2)</f>
        <v>8</v>
      </c>
      <c r="H2" s="115">
        <f t="shared" ref="H2:H36" si="5">DAY(E2)</f>
        <v>9</v>
      </c>
      <c r="I2" s="115">
        <f t="shared" ref="I2:I36" ca="1" si="6">DATEDIF(E2, TODAY(), "Y")</f>
        <v>40</v>
      </c>
      <c r="J2" s="115">
        <f ca="1">_xlfn.RANK.EQ(I2,$I$2:$I$36)</f>
        <v>13</v>
      </c>
      <c r="K2" s="183">
        <f ca="1">_xlfn.RANK.EQ(I2,$I$2:$I$36,1)</f>
        <v>21</v>
      </c>
      <c r="L2" s="180" t="str">
        <f t="shared" ref="L2:L36" si="7">CHOOSE(RIGHT(C2,1), "남", "여", "남", "여")</f>
        <v>남</v>
      </c>
      <c r="M2" s="115">
        <f t="shared" ref="M2:M36" ca="1" si="8">DATEDIF(E2, TODAY(), "D")</f>
        <v>14717</v>
      </c>
      <c r="N2" s="117" t="s">
        <v>41</v>
      </c>
      <c r="O2" s="118" t="s">
        <v>112</v>
      </c>
      <c r="P2" s="119">
        <v>37424</v>
      </c>
      <c r="Q2" s="115">
        <f t="shared" ref="Q2:Q36" ca="1" si="9">DATEDIF(P2, TODAY(), "Y")</f>
        <v>17</v>
      </c>
      <c r="R2" s="115">
        <f t="shared" ref="R2:R36" ca="1" si="10">DATEDIF(P2, TODAY(), "YM")</f>
        <v>5</v>
      </c>
      <c r="S2" s="170">
        <f t="shared" ref="S2:S36" ca="1" si="11">DATEDIF(P2, TODAY(), "MD")</f>
        <v>7</v>
      </c>
      <c r="T2" s="176">
        <v>123650</v>
      </c>
      <c r="U2" s="164">
        <f>_xlfn.RANK.EQ(T2,$T$2:$T$36)</f>
        <v>18</v>
      </c>
      <c r="V2" s="177">
        <f>_xlfn.RANK.EQ(T2,$T$2:$T$36,1)</f>
        <v>18</v>
      </c>
      <c r="W2" s="251" t="str">
        <f t="shared" ref="W2:W36" si="12">CHOOSE(WEEKDAY(E2), "일", "월", "화", "수", "목", "금", "토")</f>
        <v>목</v>
      </c>
      <c r="X2" s="126" t="str">
        <f>HLOOKUP(T2, 할인율!$C$1:$F$3,3,TRUE)</f>
        <v>GOLD</v>
      </c>
      <c r="Y2" s="187">
        <f ca="1">INDEX(할인율!$C$4:$F$9,MATCH(Q2,할인율!$B$4:$B$9,1), MATCH(X2,할인율!$C$3:$F$3,0))</f>
        <v>0.23</v>
      </c>
      <c r="Z2" s="118">
        <f ca="1">_xlfn.RANK.EQ(Y2,$Y$2:$Y$36)</f>
        <v>7</v>
      </c>
      <c r="AA2" s="120">
        <f ca="1">_xlfn.RANK.EQ(Y2,$Y$2:$Y$36,1)</f>
        <v>29</v>
      </c>
      <c r="AC2" s="8"/>
      <c r="AD2" s="9" t="s">
        <v>169</v>
      </c>
      <c r="AE2" s="10" t="s">
        <v>170</v>
      </c>
      <c r="AI2" s="24"/>
      <c r="AJ2" s="25"/>
      <c r="AK2" s="10"/>
      <c r="AL2" s="9" t="s">
        <v>176</v>
      </c>
      <c r="AM2" s="25" t="s">
        <v>177</v>
      </c>
      <c r="AN2" s="25" t="s">
        <v>178</v>
      </c>
      <c r="AO2" s="25" t="s">
        <v>179</v>
      </c>
      <c r="AP2" s="25" t="s">
        <v>180</v>
      </c>
      <c r="AQ2" s="25" t="s">
        <v>181</v>
      </c>
      <c r="AR2" s="10" t="s">
        <v>182</v>
      </c>
      <c r="AT2" s="69"/>
      <c r="AU2" s="234" t="s">
        <v>192</v>
      </c>
      <c r="AV2" s="236" t="s">
        <v>193</v>
      </c>
      <c r="AX2" s="77"/>
      <c r="AY2" s="51"/>
      <c r="AZ2" s="50" t="s">
        <v>194</v>
      </c>
      <c r="BA2" s="10" t="s">
        <v>195</v>
      </c>
    </row>
    <row r="3" spans="1:57" ht="17.100000000000001" customHeight="1" thickTop="1" thickBot="1" x14ac:dyDescent="0.35">
      <c r="A3" s="112" t="str">
        <f t="shared" si="0"/>
        <v>rkatjddnr-7535</v>
      </c>
      <c r="B3" s="121" t="s">
        <v>15</v>
      </c>
      <c r="C3" s="122" t="s">
        <v>77</v>
      </c>
      <c r="D3" s="114" t="str">
        <f t="shared" si="1"/>
        <v>751109-1******</v>
      </c>
      <c r="E3" s="119">
        <f t="shared" si="2"/>
        <v>27707</v>
      </c>
      <c r="F3" s="114">
        <f t="shared" si="3"/>
        <v>1975</v>
      </c>
      <c r="G3" s="114">
        <f t="shared" si="4"/>
        <v>11</v>
      </c>
      <c r="H3" s="114">
        <f t="shared" si="5"/>
        <v>9</v>
      </c>
      <c r="I3" s="114">
        <f t="shared" ca="1" si="6"/>
        <v>44</v>
      </c>
      <c r="J3" s="122">
        <f t="shared" ref="J3:J36" ca="1" si="13">_xlfn.RANK.EQ(I3,$I$2:$I$36)</f>
        <v>7</v>
      </c>
      <c r="K3" s="184">
        <f t="shared" ref="K3:K36" ca="1" si="14">_xlfn.RANK.EQ(I3,$I$2:$I$36,1)</f>
        <v>26</v>
      </c>
      <c r="L3" s="181" t="str">
        <f t="shared" si="7"/>
        <v>남</v>
      </c>
      <c r="M3" s="114">
        <f t="shared" ca="1" si="8"/>
        <v>16086</v>
      </c>
      <c r="N3" s="123" t="s">
        <v>42</v>
      </c>
      <c r="O3" s="124" t="s">
        <v>113</v>
      </c>
      <c r="P3" s="112">
        <v>36214</v>
      </c>
      <c r="Q3" s="114">
        <f t="shared" ca="1" si="9"/>
        <v>20</v>
      </c>
      <c r="R3" s="114">
        <f t="shared" ca="1" si="10"/>
        <v>9</v>
      </c>
      <c r="S3" s="171">
        <f t="shared" ca="1" si="11"/>
        <v>1</v>
      </c>
      <c r="T3" s="178">
        <v>250060</v>
      </c>
      <c r="U3" s="164">
        <f t="shared" ref="U3:U36" si="15">_xlfn.RANK.EQ(T3,$T$2:$T$36)</f>
        <v>2</v>
      </c>
      <c r="V3" s="177">
        <f t="shared" ref="V3:V36" si="16">_xlfn.RANK.EQ(T3,$T$2:$T$36,1)</f>
        <v>34</v>
      </c>
      <c r="W3" s="252" t="str">
        <f t="shared" si="12"/>
        <v>일</v>
      </c>
      <c r="X3" s="128" t="str">
        <f>HLOOKUP(T3, 할인율!$C$1:$F$3,3,TRUE)</f>
        <v>PURE GOLD</v>
      </c>
      <c r="Y3" s="188">
        <f ca="1">INDEX(할인율!$C$4:$F$9,MATCH(Q3,할인율!$B$4:$B$9,1), MATCH(X3,할인율!$C$3:$F$3,0))</f>
        <v>0.35</v>
      </c>
      <c r="Z3" s="124">
        <f t="shared" ref="Z3:Z36" ca="1" si="17">_xlfn.RANK.EQ(Y3,$Y$2:$Y$36)</f>
        <v>1</v>
      </c>
      <c r="AA3" s="165">
        <f t="shared" ref="AA3:AA36" ca="1" si="18">_xlfn.RANK.EQ(Y3,$Y$2:$Y$36,1)</f>
        <v>35</v>
      </c>
      <c r="AC3" s="11">
        <v>20</v>
      </c>
      <c r="AD3" s="44">
        <f ca="1">COUNTIFS($I$2:$I$36,"&gt;="&amp;$AC3,$I$2:$I$36,"&lt;"&amp;$AC4, $L$2:$L$36,"="&amp;AD$2)</f>
        <v>1</v>
      </c>
      <c r="AE3" s="48">
        <f ca="1">COUNTIFS($I$2:$I$36,"&gt;="&amp;$AC3,$I$2:$I$36,"&lt;"&amp;$AC4, $L$2:$L$36,"="&amp;AE$2)</f>
        <v>0</v>
      </c>
      <c r="AI3" s="217" t="s">
        <v>171</v>
      </c>
      <c r="AJ3" s="213" t="s">
        <v>169</v>
      </c>
      <c r="AK3" s="26" t="s">
        <v>183</v>
      </c>
      <c r="AL3" s="62">
        <f>COUNTIFS($X$2:$X$36,"="&amp;$AI$3,$L$2:$L$36,"="&amp;$AJ3,$W$2:$W$36,"="&amp;AL$2)</f>
        <v>2</v>
      </c>
      <c r="AM3" s="46">
        <f t="shared" ref="AM3:AR3" si="19">COUNTIFS($X$2:$X$36,"="&amp;$AI$3,$L$2:$L$36,"="&amp;$AJ3,$W$2:$W$36,"="&amp;AM$2)</f>
        <v>0</v>
      </c>
      <c r="AN3" s="46">
        <f t="shared" si="19"/>
        <v>0</v>
      </c>
      <c r="AO3" s="46">
        <f t="shared" si="19"/>
        <v>0</v>
      </c>
      <c r="AP3" s="46">
        <f t="shared" si="19"/>
        <v>0</v>
      </c>
      <c r="AQ3" s="46">
        <f t="shared" si="19"/>
        <v>1</v>
      </c>
      <c r="AR3" s="26">
        <f t="shared" si="19"/>
        <v>1</v>
      </c>
      <c r="AT3" s="70"/>
      <c r="AU3" s="235"/>
      <c r="AV3" s="237"/>
      <c r="AX3" s="241" t="s">
        <v>190</v>
      </c>
      <c r="AY3" s="76" t="s">
        <v>203</v>
      </c>
      <c r="AZ3" s="71">
        <f ca="1">_xlfn.MAXIFS($Y$2:$Y$36,$L$2:$L$36,"="&amp;$AX$3,$X$2:$X$36,"="&amp;$AY3)</f>
        <v>0.35</v>
      </c>
      <c r="BA3" s="72">
        <f ca="1">_xlfn.MINIFS($Y$2:$Y$36,$L$2:$L$36,"="&amp;$AX$3,$X$2:$X$36,"="&amp;$AY3)</f>
        <v>0.2</v>
      </c>
    </row>
    <row r="4" spans="1:57" ht="17.100000000000001" customHeight="1" thickTop="1" x14ac:dyDescent="0.3">
      <c r="A4" s="112" t="str">
        <f t="shared" si="0"/>
        <v>jjyylove-1793</v>
      </c>
      <c r="B4" s="121" t="s">
        <v>16</v>
      </c>
      <c r="C4" s="122" t="s">
        <v>78</v>
      </c>
      <c r="D4" s="114" t="str">
        <f t="shared" si="1"/>
        <v>820327-2******</v>
      </c>
      <c r="E4" s="119">
        <f t="shared" si="2"/>
        <v>30037</v>
      </c>
      <c r="F4" s="114">
        <f t="shared" si="3"/>
        <v>1982</v>
      </c>
      <c r="G4" s="114">
        <f t="shared" si="4"/>
        <v>3</v>
      </c>
      <c r="H4" s="114">
        <f t="shared" si="5"/>
        <v>27</v>
      </c>
      <c r="I4" s="114">
        <f t="shared" ca="1" si="6"/>
        <v>37</v>
      </c>
      <c r="J4" s="122">
        <f t="shared" ca="1" si="13"/>
        <v>20</v>
      </c>
      <c r="K4" s="184">
        <f t="shared" ca="1" si="14"/>
        <v>15</v>
      </c>
      <c r="L4" s="181" t="str">
        <f t="shared" si="7"/>
        <v>여</v>
      </c>
      <c r="M4" s="114">
        <f t="shared" ca="1" si="8"/>
        <v>13756</v>
      </c>
      <c r="N4" s="123" t="s">
        <v>43</v>
      </c>
      <c r="O4" s="124" t="s">
        <v>114</v>
      </c>
      <c r="P4" s="112">
        <v>40311</v>
      </c>
      <c r="Q4" s="114">
        <f t="shared" ca="1" si="9"/>
        <v>9</v>
      </c>
      <c r="R4" s="114">
        <f t="shared" ca="1" si="10"/>
        <v>6</v>
      </c>
      <c r="S4" s="171">
        <f t="shared" ca="1" si="11"/>
        <v>11</v>
      </c>
      <c r="T4" s="178">
        <v>6500</v>
      </c>
      <c r="U4" s="164">
        <f t="shared" si="15"/>
        <v>32</v>
      </c>
      <c r="V4" s="177">
        <f t="shared" si="16"/>
        <v>4</v>
      </c>
      <c r="W4" s="252" t="str">
        <f t="shared" si="12"/>
        <v>토</v>
      </c>
      <c r="X4" s="125" t="str">
        <f>HLOOKUP(T4, 할인율!$C$1:$F$3,3,TRUE)</f>
        <v>BRONZE</v>
      </c>
      <c r="Y4" s="188">
        <f ca="1">INDEX(할인율!$C$4:$F$9,MATCH(Q4,할인율!$B$4:$B$9,1), MATCH(X4,할인율!$C$3:$F$3,0))</f>
        <v>0.02</v>
      </c>
      <c r="Z4" s="124">
        <f t="shared" ca="1" si="17"/>
        <v>32</v>
      </c>
      <c r="AA4" s="165">
        <f t="shared" ca="1" si="18"/>
        <v>4</v>
      </c>
      <c r="AC4" s="12">
        <v>30</v>
      </c>
      <c r="AD4" s="23">
        <f ca="1">COUNTIFS($I$2:$I$36,"&gt;="&amp;$AC4,$I$2:$I$36,"&lt;"&amp;$AC5, $L$2:$L$36,"="&amp;AD$2)</f>
        <v>10</v>
      </c>
      <c r="AE4" s="13">
        <f ca="1">COUNTIFS($I$2:$I$36,"&gt;="&amp;$AC4,$I$2:$I$36,"&lt;"&amp;$AC5, $L$2:$L$36,"="&amp;AE$2)</f>
        <v>9</v>
      </c>
      <c r="AI4" s="218"/>
      <c r="AJ4" s="214"/>
      <c r="AK4" s="27" t="s">
        <v>185</v>
      </c>
      <c r="AL4" s="59">
        <f>SUMIFS($T$2:$T$36,$X$2:$X$36,"="&amp;$AI$3,$L$2:$L$36,"="&amp;$AJ3,$W$2:$W$36,"="&amp;AL$2)</f>
        <v>464060</v>
      </c>
      <c r="AM4" s="47">
        <f t="shared" ref="AM4:AR4" si="20">SUMIFS($T$2:$T$36,$X$2:$X$36,"="&amp;$AI$3,$L$2:$L$36,"="&amp;$AJ3,$W$2:$W$36,"="&amp;AM$2)</f>
        <v>0</v>
      </c>
      <c r="AN4" s="47">
        <f t="shared" si="20"/>
        <v>0</v>
      </c>
      <c r="AO4" s="47">
        <f t="shared" si="20"/>
        <v>0</v>
      </c>
      <c r="AP4" s="47">
        <f t="shared" si="20"/>
        <v>0</v>
      </c>
      <c r="AQ4" s="47">
        <f t="shared" si="20"/>
        <v>224100</v>
      </c>
      <c r="AR4" s="28">
        <f t="shared" si="20"/>
        <v>200500</v>
      </c>
      <c r="AT4" s="11" t="s">
        <v>190</v>
      </c>
      <c r="AU4" s="71">
        <f>_xlfn.MAXIFS($T$2:$T$36,$L$2:$L$36,"="&amp;$AT4)</f>
        <v>250060</v>
      </c>
      <c r="AV4" s="72">
        <f>_xlfn.MINIFS($T$2:$T$36,$L$2:$L$36,"="&amp;$AT4)</f>
        <v>400</v>
      </c>
      <c r="AX4" s="242"/>
      <c r="AY4" s="74" t="s">
        <v>204</v>
      </c>
      <c r="AZ4" s="71">
        <f t="shared" ref="AZ4:AZ6" ca="1" si="21">_xlfn.MAXIFS($Y$2:$Y$36,$L$2:$L$36,"="&amp;$AX$3,$X$2:$X$36,"="&amp;$AY4)</f>
        <v>0.23</v>
      </c>
      <c r="BA4" s="72">
        <f t="shared" ref="BA4:BA6" ca="1" si="22">_xlfn.MINIFS($Y$2:$Y$36,$L$2:$L$36,"="&amp;$AX$3,$X$2:$X$36,"="&amp;$AY4)</f>
        <v>0.15</v>
      </c>
    </row>
    <row r="5" spans="1:57" ht="17.100000000000001" customHeight="1" thickBot="1" x14ac:dyDescent="0.35">
      <c r="A5" s="112" t="str">
        <f t="shared" si="0"/>
        <v>kjw8855-7896</v>
      </c>
      <c r="B5" s="121" t="s">
        <v>17</v>
      </c>
      <c r="C5" s="122" t="s">
        <v>79</v>
      </c>
      <c r="D5" s="114" t="str">
        <f t="shared" si="1"/>
        <v>880305-1******</v>
      </c>
      <c r="E5" s="119">
        <f t="shared" si="2"/>
        <v>32207</v>
      </c>
      <c r="F5" s="114">
        <f t="shared" si="3"/>
        <v>1988</v>
      </c>
      <c r="G5" s="114">
        <f t="shared" si="4"/>
        <v>3</v>
      </c>
      <c r="H5" s="114">
        <f t="shared" si="5"/>
        <v>5</v>
      </c>
      <c r="I5" s="114">
        <f t="shared" ca="1" si="6"/>
        <v>31</v>
      </c>
      <c r="J5" s="122">
        <f t="shared" ca="1" si="13"/>
        <v>32</v>
      </c>
      <c r="K5" s="184">
        <f t="shared" ca="1" si="14"/>
        <v>2</v>
      </c>
      <c r="L5" s="181" t="str">
        <f t="shared" si="7"/>
        <v>남</v>
      </c>
      <c r="M5" s="114">
        <f t="shared" ca="1" si="8"/>
        <v>11586</v>
      </c>
      <c r="N5" s="123" t="s">
        <v>44</v>
      </c>
      <c r="O5" s="124" t="s">
        <v>115</v>
      </c>
      <c r="P5" s="112">
        <v>40005</v>
      </c>
      <c r="Q5" s="114">
        <f t="shared" ca="1" si="9"/>
        <v>10</v>
      </c>
      <c r="R5" s="114">
        <f t="shared" ca="1" si="10"/>
        <v>4</v>
      </c>
      <c r="S5" s="171">
        <f t="shared" ca="1" si="11"/>
        <v>13</v>
      </c>
      <c r="T5" s="178">
        <v>143000</v>
      </c>
      <c r="U5" s="164">
        <f t="shared" si="15"/>
        <v>15</v>
      </c>
      <c r="V5" s="177">
        <f t="shared" si="16"/>
        <v>21</v>
      </c>
      <c r="W5" s="252" t="str">
        <f t="shared" si="12"/>
        <v>토</v>
      </c>
      <c r="X5" s="127" t="str">
        <f>HLOOKUP(T5, 할인율!$C$1:$F$3,3,TRUE)</f>
        <v>GOLD</v>
      </c>
      <c r="Y5" s="188">
        <f ca="1">INDEX(할인율!$C$4:$F$9,MATCH(Q5,할인율!$B$4:$B$9,1), MATCH(X5,할인율!$C$3:$F$3,0))</f>
        <v>0.2</v>
      </c>
      <c r="Z5" s="124">
        <f t="shared" ca="1" si="17"/>
        <v>8</v>
      </c>
      <c r="AA5" s="165">
        <f t="shared" ca="1" si="18"/>
        <v>22</v>
      </c>
      <c r="AC5" s="14">
        <v>40</v>
      </c>
      <c r="AD5" s="19">
        <f ca="1">COUNTIFS($I$2:$I$36,"&gt;="&amp;$AC5,$L$2:$L$36,"="&amp;AD$2)</f>
        <v>8</v>
      </c>
      <c r="AE5" s="42">
        <f ca="1">COUNTIFS($I$2:$I$36,"&gt;="&amp;$AC5,$L$2:$L$36,"="&amp;AE$2)</f>
        <v>7</v>
      </c>
      <c r="AI5" s="218"/>
      <c r="AJ5" s="215"/>
      <c r="AK5" s="29" t="s">
        <v>186</v>
      </c>
      <c r="AL5" s="63">
        <f ca="1">IFERROR(ROUND(AVERAGEIFS($Y$2:$Y$36,$X$2:$X$36,"="&amp;$AI$3,$L$2:$L$36,"="&amp;$AJ3,$W$2:$W$36,"="&amp;AL$2),2),"-")</f>
        <v>0.3</v>
      </c>
      <c r="AM5" s="30" t="str">
        <f t="shared" ref="AM5:AR5" si="23">IFERROR(ROUND(AVERAGEIFS($Y$2:$Y$36,$X$2:$X$36,"="&amp;$AI$3,$L$2:$L$36,"="&amp;$AJ3,$W$2:$W$36,"="&amp;AM$2),2),"-")</f>
        <v>-</v>
      </c>
      <c r="AN5" s="30" t="str">
        <f t="shared" si="23"/>
        <v>-</v>
      </c>
      <c r="AO5" s="30" t="str">
        <f t="shared" si="23"/>
        <v>-</v>
      </c>
      <c r="AP5" s="30" t="str">
        <f t="shared" si="23"/>
        <v>-</v>
      </c>
      <c r="AQ5" s="30">
        <f t="shared" ca="1" si="23"/>
        <v>0.3</v>
      </c>
      <c r="AR5" s="31">
        <f t="shared" ca="1" si="23"/>
        <v>0.2</v>
      </c>
      <c r="AT5" s="14" t="s">
        <v>191</v>
      </c>
      <c r="AU5" s="19">
        <f>_xlfn.MAXIFS($T$2:$T$36,$L$2:$L$36,"="&amp;$AT5)</f>
        <v>270100</v>
      </c>
      <c r="AV5" s="65">
        <f>_xlfn.MINIFS($T$2:$T$36,$L$2:$L$36,"="&amp;$AT5)</f>
        <v>2400</v>
      </c>
      <c r="AX5" s="242"/>
      <c r="AY5" s="74" t="s">
        <v>205</v>
      </c>
      <c r="AZ5" s="71">
        <f t="shared" ca="1" si="21"/>
        <v>0.13</v>
      </c>
      <c r="BA5" s="72">
        <f t="shared" ca="1" si="22"/>
        <v>0.03</v>
      </c>
    </row>
    <row r="6" spans="1:57" ht="17.100000000000001" customHeight="1" thickTop="1" thickBot="1" x14ac:dyDescent="0.35">
      <c r="A6" s="112" t="str">
        <f t="shared" si="0"/>
        <v>ppororo2157-7412</v>
      </c>
      <c r="B6" s="121" t="s">
        <v>18</v>
      </c>
      <c r="C6" s="122" t="s">
        <v>80</v>
      </c>
      <c r="D6" s="114" t="str">
        <f t="shared" si="1"/>
        <v>750102-2******</v>
      </c>
      <c r="E6" s="119">
        <f t="shared" si="2"/>
        <v>27396</v>
      </c>
      <c r="F6" s="114">
        <f t="shared" si="3"/>
        <v>1975</v>
      </c>
      <c r="G6" s="114">
        <f t="shared" si="4"/>
        <v>1</v>
      </c>
      <c r="H6" s="114">
        <f t="shared" si="5"/>
        <v>2</v>
      </c>
      <c r="I6" s="114">
        <f t="shared" ca="1" si="6"/>
        <v>44</v>
      </c>
      <c r="J6" s="122">
        <f t="shared" ca="1" si="13"/>
        <v>7</v>
      </c>
      <c r="K6" s="184">
        <f t="shared" ca="1" si="14"/>
        <v>26</v>
      </c>
      <c r="L6" s="181" t="str">
        <f t="shared" si="7"/>
        <v>여</v>
      </c>
      <c r="M6" s="114">
        <f t="shared" ca="1" si="8"/>
        <v>16397</v>
      </c>
      <c r="N6" s="123" t="s">
        <v>45</v>
      </c>
      <c r="O6" s="124" t="s">
        <v>116</v>
      </c>
      <c r="P6" s="112">
        <v>40605</v>
      </c>
      <c r="Q6" s="114">
        <f t="shared" ca="1" si="9"/>
        <v>8</v>
      </c>
      <c r="R6" s="114">
        <f t="shared" ca="1" si="10"/>
        <v>8</v>
      </c>
      <c r="S6" s="171">
        <f t="shared" ca="1" si="11"/>
        <v>21</v>
      </c>
      <c r="T6" s="178">
        <v>186300</v>
      </c>
      <c r="U6" s="164">
        <f t="shared" si="15"/>
        <v>11</v>
      </c>
      <c r="V6" s="177">
        <f t="shared" si="16"/>
        <v>25</v>
      </c>
      <c r="W6" s="252" t="str">
        <f t="shared" si="12"/>
        <v>목</v>
      </c>
      <c r="X6" s="127" t="str">
        <f>HLOOKUP(T6, 할인율!$C$1:$F$3,3,TRUE)</f>
        <v>GOLD</v>
      </c>
      <c r="Y6" s="188">
        <f ca="1">INDEX(할인율!$C$4:$F$9,MATCH(Q6,할인율!$B$4:$B$9,1), MATCH(X6,할인율!$C$3:$F$3,0))</f>
        <v>0.15</v>
      </c>
      <c r="Z6" s="124">
        <f t="shared" ca="1" si="17"/>
        <v>15</v>
      </c>
      <c r="AA6" s="165">
        <f t="shared" ca="1" si="18"/>
        <v>17</v>
      </c>
      <c r="AI6" s="218"/>
      <c r="AJ6" s="210" t="s">
        <v>170</v>
      </c>
      <c r="AK6" s="32" t="s">
        <v>183</v>
      </c>
      <c r="AL6" s="58">
        <f t="shared" ref="AL6:AR6" si="24">COUNTIFS($X$2:$X$36,"="&amp;$AI$3,$L$2:$L$36,"="&amp;$AJ6,$W$2:$W$36,"="&amp;AL$2)</f>
        <v>1</v>
      </c>
      <c r="AM6" s="33">
        <f t="shared" si="24"/>
        <v>0</v>
      </c>
      <c r="AN6" s="33">
        <f t="shared" si="24"/>
        <v>0</v>
      </c>
      <c r="AO6" s="33">
        <f t="shared" si="24"/>
        <v>0</v>
      </c>
      <c r="AP6" s="33">
        <f t="shared" si="24"/>
        <v>0</v>
      </c>
      <c r="AQ6" s="33">
        <f t="shared" si="24"/>
        <v>1</v>
      </c>
      <c r="AR6" s="32">
        <f t="shared" si="24"/>
        <v>1</v>
      </c>
      <c r="AX6" s="243"/>
      <c r="AY6" s="78" t="s">
        <v>206</v>
      </c>
      <c r="AZ6" s="95">
        <f t="shared" ca="1" si="21"/>
        <v>0</v>
      </c>
      <c r="BA6" s="96">
        <f t="shared" ca="1" si="22"/>
        <v>0</v>
      </c>
    </row>
    <row r="7" spans="1:57" ht="17.100000000000001" customHeight="1" thickTop="1" thickBot="1" x14ac:dyDescent="0.35">
      <c r="A7" s="112" t="str">
        <f t="shared" si="0"/>
        <v>hhphhp-4123</v>
      </c>
      <c r="B7" s="121" t="s">
        <v>19</v>
      </c>
      <c r="C7" s="122" t="s">
        <v>81</v>
      </c>
      <c r="D7" s="114" t="str">
        <f t="shared" si="1"/>
        <v>900615-1******</v>
      </c>
      <c r="E7" s="119">
        <f t="shared" si="2"/>
        <v>33039</v>
      </c>
      <c r="F7" s="114">
        <f t="shared" si="3"/>
        <v>1990</v>
      </c>
      <c r="G7" s="114">
        <f t="shared" si="4"/>
        <v>6</v>
      </c>
      <c r="H7" s="114">
        <f t="shared" si="5"/>
        <v>15</v>
      </c>
      <c r="I7" s="114">
        <f t="shared" ca="1" si="6"/>
        <v>29</v>
      </c>
      <c r="J7" s="122">
        <f t="shared" ca="1" si="13"/>
        <v>35</v>
      </c>
      <c r="K7" s="184">
        <f t="shared" ca="1" si="14"/>
        <v>1</v>
      </c>
      <c r="L7" s="181" t="str">
        <f t="shared" si="7"/>
        <v>남</v>
      </c>
      <c r="M7" s="114">
        <f t="shared" ca="1" si="8"/>
        <v>10754</v>
      </c>
      <c r="N7" s="123" t="s">
        <v>46</v>
      </c>
      <c r="O7" s="124" t="s">
        <v>117</v>
      </c>
      <c r="P7" s="112">
        <v>43475</v>
      </c>
      <c r="Q7" s="114">
        <f t="shared" ca="1" si="9"/>
        <v>0</v>
      </c>
      <c r="R7" s="114">
        <f t="shared" ca="1" si="10"/>
        <v>10</v>
      </c>
      <c r="S7" s="171">
        <f t="shared" ca="1" si="11"/>
        <v>14</v>
      </c>
      <c r="T7" s="178">
        <v>400</v>
      </c>
      <c r="U7" s="164">
        <f t="shared" si="15"/>
        <v>35</v>
      </c>
      <c r="V7" s="177">
        <f t="shared" si="16"/>
        <v>1</v>
      </c>
      <c r="W7" s="252" t="str">
        <f t="shared" si="12"/>
        <v>금</v>
      </c>
      <c r="X7" s="125" t="str">
        <f>HLOOKUP(T7, 할인율!$C$1:$F$3,3,TRUE)</f>
        <v>BRONZE</v>
      </c>
      <c r="Y7" s="188">
        <f ca="1">INDEX(할인율!$C$4:$F$9,MATCH(Q7,할인율!$B$4:$B$9,1), MATCH(X7,할인율!$C$3:$F$3,0))</f>
        <v>0</v>
      </c>
      <c r="Z7" s="124">
        <f t="shared" ca="1" si="17"/>
        <v>33</v>
      </c>
      <c r="AA7" s="165">
        <f t="shared" ca="1" si="18"/>
        <v>1</v>
      </c>
      <c r="AC7" s="17"/>
      <c r="AD7" s="222" t="s">
        <v>169</v>
      </c>
      <c r="AE7" s="223"/>
      <c r="AF7" s="224" t="s">
        <v>170</v>
      </c>
      <c r="AG7" s="225"/>
      <c r="AI7" s="218"/>
      <c r="AJ7" s="208"/>
      <c r="AK7" s="27" t="s">
        <v>185</v>
      </c>
      <c r="AL7" s="59">
        <f t="shared" ref="AL7:AR7" si="25">SUMIFS($T$2:$T$36,$X$2:$X$36,"="&amp;$AI$3,$L$2:$L$36,"="&amp;$AJ6,$W$2:$W$36,"="&amp;AL$2)</f>
        <v>210300</v>
      </c>
      <c r="AM7" s="47">
        <f t="shared" si="25"/>
        <v>0</v>
      </c>
      <c r="AN7" s="47">
        <f t="shared" si="25"/>
        <v>0</v>
      </c>
      <c r="AO7" s="47">
        <f t="shared" si="25"/>
        <v>0</v>
      </c>
      <c r="AP7" s="47">
        <f t="shared" si="25"/>
        <v>0</v>
      </c>
      <c r="AQ7" s="47">
        <f t="shared" si="25"/>
        <v>221000</v>
      </c>
      <c r="AR7" s="28">
        <f t="shared" si="25"/>
        <v>270100</v>
      </c>
      <c r="AT7" s="8"/>
      <c r="AU7" s="73" t="s">
        <v>194</v>
      </c>
      <c r="AV7" s="10" t="s">
        <v>195</v>
      </c>
      <c r="AX7" s="244" t="s">
        <v>191</v>
      </c>
      <c r="AY7" s="76" t="s">
        <v>203</v>
      </c>
      <c r="AZ7" s="97">
        <f ca="1">_xlfn.MAXIFS($Y$2:$Y$36,$L$2:$L$36,"="&amp;$AX$7,$X$2:$X$36,"="&amp;$AY7)</f>
        <v>0.3</v>
      </c>
      <c r="BA7" s="87">
        <f ca="1">_xlfn.MINIFS($Y$2:$Y$36,$L$2:$L$36,"="&amp;$AX$7,$X$2:$X$36,"="&amp;$AY7)</f>
        <v>0.25</v>
      </c>
    </row>
    <row r="8" spans="1:57" ht="17.100000000000001" customHeight="1" thickTop="1" thickBot="1" x14ac:dyDescent="0.35">
      <c r="A8" s="112" t="str">
        <f t="shared" si="0"/>
        <v>luvsi123-5213</v>
      </c>
      <c r="B8" s="121" t="s">
        <v>20</v>
      </c>
      <c r="C8" s="122" t="s">
        <v>82</v>
      </c>
      <c r="D8" s="114" t="str">
        <f t="shared" si="1"/>
        <v>860319-2******</v>
      </c>
      <c r="E8" s="119">
        <f t="shared" si="2"/>
        <v>31490</v>
      </c>
      <c r="F8" s="114">
        <f t="shared" si="3"/>
        <v>1986</v>
      </c>
      <c r="G8" s="114">
        <f t="shared" si="4"/>
        <v>3</v>
      </c>
      <c r="H8" s="114">
        <f t="shared" si="5"/>
        <v>19</v>
      </c>
      <c r="I8" s="114">
        <f t="shared" ca="1" si="6"/>
        <v>33</v>
      </c>
      <c r="J8" s="122">
        <f t="shared" ca="1" si="13"/>
        <v>28</v>
      </c>
      <c r="K8" s="184">
        <f t="shared" ca="1" si="14"/>
        <v>7</v>
      </c>
      <c r="L8" s="181" t="str">
        <f t="shared" si="7"/>
        <v>여</v>
      </c>
      <c r="M8" s="114">
        <f t="shared" ca="1" si="8"/>
        <v>12303</v>
      </c>
      <c r="N8" s="123" t="s">
        <v>47</v>
      </c>
      <c r="O8" s="124" t="s">
        <v>118</v>
      </c>
      <c r="P8" s="112">
        <v>39273</v>
      </c>
      <c r="Q8" s="114">
        <f t="shared" ca="1" si="9"/>
        <v>12</v>
      </c>
      <c r="R8" s="114">
        <f t="shared" ca="1" si="10"/>
        <v>4</v>
      </c>
      <c r="S8" s="171">
        <f t="shared" ca="1" si="11"/>
        <v>14</v>
      </c>
      <c r="T8" s="178">
        <v>168000</v>
      </c>
      <c r="U8" s="164">
        <f t="shared" si="15"/>
        <v>12</v>
      </c>
      <c r="V8" s="177">
        <f t="shared" si="16"/>
        <v>24</v>
      </c>
      <c r="W8" s="252" t="str">
        <f t="shared" si="12"/>
        <v>수</v>
      </c>
      <c r="X8" s="127" t="str">
        <f>HLOOKUP(T8, 할인율!$C$1:$F$3,3,TRUE)</f>
        <v>GOLD</v>
      </c>
      <c r="Y8" s="188">
        <f ca="1">INDEX(할인율!$C$4:$F$9,MATCH(Q8,할인율!$B$4:$B$9,1), MATCH(X8,할인율!$C$3:$F$3,0))</f>
        <v>0.2</v>
      </c>
      <c r="Z8" s="124">
        <f t="shared" ca="1" si="17"/>
        <v>8</v>
      </c>
      <c r="AA8" s="165">
        <f t="shared" ca="1" si="18"/>
        <v>22</v>
      </c>
      <c r="AC8" s="18"/>
      <c r="AD8" s="19" t="s">
        <v>174</v>
      </c>
      <c r="AE8" s="20" t="s">
        <v>175</v>
      </c>
      <c r="AF8" s="15" t="s">
        <v>174</v>
      </c>
      <c r="AG8" s="16" t="s">
        <v>175</v>
      </c>
      <c r="AI8" s="218"/>
      <c r="AJ8" s="208"/>
      <c r="AK8" s="34" t="s">
        <v>186</v>
      </c>
      <c r="AL8" s="60">
        <f t="shared" ref="AL8:AR8" ca="1" si="26">IFERROR(ROUND(AVERAGEIFS($Y$2:$Y$36,$X$2:$X$36,"="&amp;$AI$3,$L$2:$L$36,"="&amp;$AJ6,$W$2:$W$36,"="&amp;AL$2),2),"-")</f>
        <v>0.25</v>
      </c>
      <c r="AM8" s="35" t="str">
        <f t="shared" si="26"/>
        <v>-</v>
      </c>
      <c r="AN8" s="35" t="str">
        <f t="shared" si="26"/>
        <v>-</v>
      </c>
      <c r="AO8" s="35" t="str">
        <f t="shared" si="26"/>
        <v>-</v>
      </c>
      <c r="AP8" s="35" t="str">
        <f t="shared" si="26"/>
        <v>-</v>
      </c>
      <c r="AQ8" s="35">
        <f t="shared" ca="1" si="26"/>
        <v>0.3</v>
      </c>
      <c r="AR8" s="36">
        <f t="shared" ca="1" si="26"/>
        <v>0.25</v>
      </c>
      <c r="AT8" s="11" t="s">
        <v>196</v>
      </c>
      <c r="AU8" s="44">
        <f ca="1">_xlfn.MAXIFS($Y$2:$Y$36,$W$2:$W$36, "="&amp;$AT8)</f>
        <v>0.35</v>
      </c>
      <c r="AV8" s="82">
        <f ca="1">_xlfn.MINIFS($Y$2:$Y$36,$W$2:$W$36, "="&amp;$AT8)</f>
        <v>0</v>
      </c>
      <c r="AX8" s="242"/>
      <c r="AY8" s="74" t="s">
        <v>204</v>
      </c>
      <c r="AZ8" s="88">
        <f t="shared" ref="AZ8:AZ10" ca="1" si="27">_xlfn.MAXIFS($Y$2:$Y$36,$L$2:$L$36,"="&amp;$AX$7,$X$2:$X$36,"="&amp;$AY8)</f>
        <v>0.2</v>
      </c>
      <c r="BA8" s="72">
        <f t="shared" ref="BA8:BA10" ca="1" si="28">_xlfn.MINIFS($Y$2:$Y$36,$L$2:$L$36,"="&amp;$AX$7,$X$2:$X$36,"="&amp;$AY8)</f>
        <v>0.1</v>
      </c>
    </row>
    <row r="9" spans="1:57" ht="17.100000000000001" customHeight="1" thickTop="1" x14ac:dyDescent="0.3">
      <c r="A9" s="112" t="str">
        <f t="shared" si="0"/>
        <v>angelyu-9635</v>
      </c>
      <c r="B9" s="121" t="s">
        <v>21</v>
      </c>
      <c r="C9" s="122" t="s">
        <v>83</v>
      </c>
      <c r="D9" s="114" t="str">
        <f t="shared" si="1"/>
        <v>740914-2******</v>
      </c>
      <c r="E9" s="119">
        <f t="shared" si="2"/>
        <v>27286</v>
      </c>
      <c r="F9" s="114">
        <f t="shared" si="3"/>
        <v>1974</v>
      </c>
      <c r="G9" s="114">
        <f t="shared" si="4"/>
        <v>9</v>
      </c>
      <c r="H9" s="114">
        <f t="shared" si="5"/>
        <v>14</v>
      </c>
      <c r="I9" s="114">
        <f t="shared" ca="1" si="6"/>
        <v>45</v>
      </c>
      <c r="J9" s="122">
        <f t="shared" ca="1" si="13"/>
        <v>5</v>
      </c>
      <c r="K9" s="184">
        <f t="shared" ca="1" si="14"/>
        <v>30</v>
      </c>
      <c r="L9" s="181" t="str">
        <f t="shared" si="7"/>
        <v>여</v>
      </c>
      <c r="M9" s="114">
        <f t="shared" ca="1" si="8"/>
        <v>16507</v>
      </c>
      <c r="N9" s="123" t="s">
        <v>48</v>
      </c>
      <c r="O9" s="124" t="s">
        <v>119</v>
      </c>
      <c r="P9" s="112">
        <v>38731</v>
      </c>
      <c r="Q9" s="114">
        <f t="shared" ca="1" si="9"/>
        <v>13</v>
      </c>
      <c r="R9" s="114">
        <f t="shared" ca="1" si="10"/>
        <v>10</v>
      </c>
      <c r="S9" s="171">
        <f t="shared" ca="1" si="11"/>
        <v>10</v>
      </c>
      <c r="T9" s="178">
        <v>270100</v>
      </c>
      <c r="U9" s="164">
        <f t="shared" si="15"/>
        <v>1</v>
      </c>
      <c r="V9" s="177">
        <f t="shared" si="16"/>
        <v>35</v>
      </c>
      <c r="W9" s="252" t="str">
        <f t="shared" si="12"/>
        <v>토</v>
      </c>
      <c r="X9" s="128" t="str">
        <f>HLOOKUP(T9, 할인율!$C$1:$F$3,3,TRUE)</f>
        <v>PURE GOLD</v>
      </c>
      <c r="Y9" s="188">
        <f ca="1">INDEX(할인율!$C$4:$F$9,MATCH(Q9,할인율!$B$4:$B$9,1), MATCH(X9,할인율!$C$3:$F$3,0))</f>
        <v>0.25</v>
      </c>
      <c r="Z9" s="124">
        <f t="shared" ca="1" si="17"/>
        <v>4</v>
      </c>
      <c r="AA9" s="165">
        <f t="shared" ca="1" si="18"/>
        <v>30</v>
      </c>
      <c r="AC9" s="21" t="s">
        <v>171</v>
      </c>
      <c r="AD9" s="44">
        <f>SUMIFS($T$2:$T$36,$X$2:$X$36,"="&amp;$AC9,$L$2:$L$36,"="&amp;AD$7)</f>
        <v>888660</v>
      </c>
      <c r="AE9" s="52">
        <f ca="1">IFERROR(ROUND(AVERAGEIFS($Y$2:$Y$36,$X$2:$X$36,"="&amp;$AC9,$L$2:$L$36,"="&amp;AD$7),2),"-")</f>
        <v>0.28000000000000003</v>
      </c>
      <c r="AF9" s="55">
        <f>SUMIFS($T$2:$T$36,$X$2:$X$36,"="&amp;$AC9,$L$2:$L$36,"="&amp;AF$7)</f>
        <v>701400</v>
      </c>
      <c r="AG9" s="48">
        <f ca="1">IFERROR(ROUND(AVERAGEIFS($Y$2:$Y$36,$X$2:$X$36,"="&amp;$AC9,$L$2:$L$36,"="&amp;AF$7),2),"-")</f>
        <v>0.27</v>
      </c>
      <c r="AI9" s="219" t="s">
        <v>172</v>
      </c>
      <c r="AJ9" s="216" t="s">
        <v>169</v>
      </c>
      <c r="AK9" s="37" t="s">
        <v>183</v>
      </c>
      <c r="AL9" s="64">
        <f>COUNTIFS($X$2:$X$36,"="&amp;$AI$9,$L$2:$L$36,"="&amp;$AJ9,$W$2:$W$36,"="&amp;AL$2)</f>
        <v>0</v>
      </c>
      <c r="AM9" s="38">
        <f t="shared" ref="AM9:AR9" si="29">COUNTIFS($X$2:$X$36,"="&amp;$AI$9,$L$2:$L$36,"="&amp;$AJ9,$W$2:$W$36,"="&amp;AM$2)</f>
        <v>1</v>
      </c>
      <c r="AN9" s="38">
        <f t="shared" si="29"/>
        <v>2</v>
      </c>
      <c r="AO9" s="38">
        <f t="shared" si="29"/>
        <v>1</v>
      </c>
      <c r="AP9" s="38">
        <f t="shared" si="29"/>
        <v>1</v>
      </c>
      <c r="AQ9" s="38">
        <f t="shared" si="29"/>
        <v>1</v>
      </c>
      <c r="AR9" s="37">
        <f t="shared" si="29"/>
        <v>1</v>
      </c>
      <c r="AT9" s="12" t="s">
        <v>197</v>
      </c>
      <c r="AU9" s="88">
        <f t="shared" ref="AU9:AU14" ca="1" si="30">_xlfn.MAXIFS($Y$2:$Y$36,$W$2:$W$36, "="&amp;$AT9)</f>
        <v>0.15</v>
      </c>
      <c r="AV9" s="72">
        <f t="shared" ref="AV9:AV14" ca="1" si="31">_xlfn.MINIFS($Y$2:$Y$36,$W$2:$W$36, "="&amp;$AT9)</f>
        <v>0.04</v>
      </c>
      <c r="AX9" s="242"/>
      <c r="AY9" s="74" t="s">
        <v>205</v>
      </c>
      <c r="AZ9" s="88">
        <f t="shared" ca="1" si="27"/>
        <v>0.1</v>
      </c>
      <c r="BA9" s="72">
        <f t="shared" ca="1" si="28"/>
        <v>0.05</v>
      </c>
    </row>
    <row r="10" spans="1:57" ht="17.100000000000001" customHeight="1" thickBot="1" x14ac:dyDescent="0.35">
      <c r="A10" s="112" t="str">
        <f t="shared" si="0"/>
        <v>teakjjingg-4613</v>
      </c>
      <c r="B10" s="121" t="s">
        <v>22</v>
      </c>
      <c r="C10" s="122" t="s">
        <v>84</v>
      </c>
      <c r="D10" s="114" t="str">
        <f t="shared" si="1"/>
        <v>800729-1******</v>
      </c>
      <c r="E10" s="119">
        <f t="shared" si="2"/>
        <v>29431</v>
      </c>
      <c r="F10" s="114">
        <f t="shared" si="3"/>
        <v>1980</v>
      </c>
      <c r="G10" s="114">
        <f t="shared" si="4"/>
        <v>7</v>
      </c>
      <c r="H10" s="114">
        <f t="shared" si="5"/>
        <v>29</v>
      </c>
      <c r="I10" s="114">
        <f t="shared" ca="1" si="6"/>
        <v>39</v>
      </c>
      <c r="J10" s="122">
        <f t="shared" ca="1" si="13"/>
        <v>16</v>
      </c>
      <c r="K10" s="184">
        <f t="shared" ca="1" si="14"/>
        <v>19</v>
      </c>
      <c r="L10" s="181" t="str">
        <f t="shared" si="7"/>
        <v>남</v>
      </c>
      <c r="M10" s="114">
        <f t="shared" ca="1" si="8"/>
        <v>14362</v>
      </c>
      <c r="N10" s="123" t="s">
        <v>49</v>
      </c>
      <c r="O10" s="124" t="s">
        <v>120</v>
      </c>
      <c r="P10" s="112">
        <v>41245</v>
      </c>
      <c r="Q10" s="114">
        <f t="shared" ca="1" si="9"/>
        <v>6</v>
      </c>
      <c r="R10" s="114">
        <f t="shared" ca="1" si="10"/>
        <v>11</v>
      </c>
      <c r="S10" s="171">
        <f t="shared" ca="1" si="11"/>
        <v>22</v>
      </c>
      <c r="T10" s="178">
        <v>199000</v>
      </c>
      <c r="U10" s="164">
        <f t="shared" si="15"/>
        <v>8</v>
      </c>
      <c r="V10" s="177">
        <f t="shared" si="16"/>
        <v>28</v>
      </c>
      <c r="W10" s="252" t="str">
        <f t="shared" si="12"/>
        <v>화</v>
      </c>
      <c r="X10" s="127" t="str">
        <f>HLOOKUP(T10, 할인율!$C$1:$F$3,3,TRUE)</f>
        <v>GOLD</v>
      </c>
      <c r="Y10" s="188">
        <f ca="1">INDEX(할인율!$C$4:$F$9,MATCH(Q10,할인율!$B$4:$B$9,1), MATCH(X10,할인율!$C$3:$F$3,0))</f>
        <v>0.15</v>
      </c>
      <c r="Z10" s="124">
        <f t="shared" ca="1" si="17"/>
        <v>15</v>
      </c>
      <c r="AA10" s="165">
        <f t="shared" ca="1" si="18"/>
        <v>17</v>
      </c>
      <c r="AC10" s="22" t="s">
        <v>172</v>
      </c>
      <c r="AD10" s="23">
        <f>SUMIFS($T$2:$T$36,$X$2:$X$36,"="&amp;$AC10,$L$2:$L$36,"="&amp;AD$7)</f>
        <v>1147250</v>
      </c>
      <c r="AE10" s="53">
        <f ca="1">IFERROR(ROUND(AVERAGEIFS($Y$2:$Y$36,$X$2:$X$36,"="&amp;$AC10,$L$2:$L$36,"="&amp;AD$7),2),"-")</f>
        <v>0.18</v>
      </c>
      <c r="AF10" s="56">
        <f>SUMIFS($T$2:$T$36,$X$2:$X$36,"="&amp;$AC10,$L$2:$L$36,"="&amp;AF$7)</f>
        <v>836800</v>
      </c>
      <c r="AG10" s="13">
        <f ca="1">IFERROR(ROUND(AVERAGEIFS($Y$2:$Y$36,$X$2:$X$36,"="&amp;$AC10,$L$2:$L$36,"="&amp;AF$7),2),"-")</f>
        <v>0.17</v>
      </c>
      <c r="AI10" s="218"/>
      <c r="AJ10" s="208"/>
      <c r="AK10" s="27" t="s">
        <v>185</v>
      </c>
      <c r="AL10" s="59">
        <f>SUMIFS($T$2:$T$36,$X$2:$X$36,"="&amp;$AI$9,$L$2:$L$36,"="&amp;$AJ9,$W$2:$W$36,"="&amp;AL$2)</f>
        <v>0</v>
      </c>
      <c r="AM10" s="47">
        <f t="shared" ref="AM10:AR10" si="32">SUMIFS($T$2:$T$36,$X$2:$X$36,"="&amp;$AI$9,$L$2:$L$36,"="&amp;$AJ9,$W$2:$W$36,"="&amp;AM$2)</f>
        <v>193000</v>
      </c>
      <c r="AN10" s="47">
        <f t="shared" si="32"/>
        <v>353000</v>
      </c>
      <c r="AO10" s="47">
        <f t="shared" si="32"/>
        <v>147600</v>
      </c>
      <c r="AP10" s="47">
        <f t="shared" si="32"/>
        <v>123650</v>
      </c>
      <c r="AQ10" s="47">
        <f t="shared" si="32"/>
        <v>187000</v>
      </c>
      <c r="AR10" s="28">
        <f t="shared" si="32"/>
        <v>143000</v>
      </c>
      <c r="AT10" s="12" t="s">
        <v>198</v>
      </c>
      <c r="AU10" s="88">
        <f t="shared" ca="1" si="30"/>
        <v>0.2</v>
      </c>
      <c r="AV10" s="72">
        <f t="shared" ca="1" si="31"/>
        <v>0</v>
      </c>
      <c r="AX10" s="245"/>
      <c r="AY10" s="75" t="s">
        <v>206</v>
      </c>
      <c r="AZ10" s="92">
        <f t="shared" ca="1" si="27"/>
        <v>0.04</v>
      </c>
      <c r="BA10" s="89">
        <f t="shared" ca="1" si="28"/>
        <v>0</v>
      </c>
    </row>
    <row r="11" spans="1:57" ht="17.100000000000001" customHeight="1" thickTop="1" thickBot="1" x14ac:dyDescent="0.35">
      <c r="A11" s="112" t="str">
        <f t="shared" si="0"/>
        <v>jangjangjw-3152</v>
      </c>
      <c r="B11" s="121" t="s">
        <v>23</v>
      </c>
      <c r="C11" s="122" t="s">
        <v>85</v>
      </c>
      <c r="D11" s="114" t="str">
        <f t="shared" si="1"/>
        <v>701212-1******</v>
      </c>
      <c r="E11" s="119">
        <f t="shared" si="2"/>
        <v>25914</v>
      </c>
      <c r="F11" s="114">
        <f t="shared" si="3"/>
        <v>1970</v>
      </c>
      <c r="G11" s="114">
        <f t="shared" si="4"/>
        <v>12</v>
      </c>
      <c r="H11" s="114">
        <f t="shared" si="5"/>
        <v>12</v>
      </c>
      <c r="I11" s="114">
        <f t="shared" ca="1" si="6"/>
        <v>48</v>
      </c>
      <c r="J11" s="122">
        <f t="shared" ca="1" si="13"/>
        <v>1</v>
      </c>
      <c r="K11" s="184">
        <f t="shared" ca="1" si="14"/>
        <v>34</v>
      </c>
      <c r="L11" s="181" t="str">
        <f t="shared" si="7"/>
        <v>남</v>
      </c>
      <c r="M11" s="114">
        <f t="shared" ca="1" si="8"/>
        <v>17879</v>
      </c>
      <c r="N11" s="123" t="s">
        <v>50</v>
      </c>
      <c r="O11" s="124" t="s">
        <v>121</v>
      </c>
      <c r="P11" s="112">
        <v>41365</v>
      </c>
      <c r="Q11" s="114">
        <f t="shared" ca="1" si="9"/>
        <v>6</v>
      </c>
      <c r="R11" s="114">
        <f t="shared" ca="1" si="10"/>
        <v>7</v>
      </c>
      <c r="S11" s="171">
        <f t="shared" ca="1" si="11"/>
        <v>23</v>
      </c>
      <c r="T11" s="178">
        <v>200500</v>
      </c>
      <c r="U11" s="164">
        <f t="shared" si="15"/>
        <v>7</v>
      </c>
      <c r="V11" s="177">
        <f t="shared" si="16"/>
        <v>29</v>
      </c>
      <c r="W11" s="252" t="str">
        <f t="shared" si="12"/>
        <v>토</v>
      </c>
      <c r="X11" s="128" t="str">
        <f>HLOOKUP(T11, 할인율!$C$1:$F$3,3,TRUE)</f>
        <v>PURE GOLD</v>
      </c>
      <c r="Y11" s="188">
        <f ca="1">INDEX(할인율!$C$4:$F$9,MATCH(Q11,할인율!$B$4:$B$9,1), MATCH(X11,할인율!$C$3:$F$3,0))</f>
        <v>0.2</v>
      </c>
      <c r="Z11" s="124">
        <f t="shared" ca="1" si="17"/>
        <v>8</v>
      </c>
      <c r="AA11" s="165">
        <f t="shared" ca="1" si="18"/>
        <v>22</v>
      </c>
      <c r="AC11" s="22" t="s">
        <v>184</v>
      </c>
      <c r="AD11" s="23">
        <f>SUMIFS($T$2:$T$36,$X$2:$X$36,"="&amp;$AC11,$L$2:$L$36,"="&amp;AD$7)</f>
        <v>268300</v>
      </c>
      <c r="AE11" s="53">
        <f ca="1">IFERROR(ROUND(AVERAGEIFS($Y$2:$Y$36,$X$2:$X$36,"="&amp;$AC11,$L$2:$L$36,"="&amp;AD$7),2),"-")</f>
        <v>0.08</v>
      </c>
      <c r="AF11" s="56">
        <f>SUMIFS($T$2:$T$36,$X$2:$X$36,"="&amp;$AC11,$L$2:$L$36,"="&amp;AF$7)</f>
        <v>202900</v>
      </c>
      <c r="AG11" s="13">
        <f ca="1">IFERROR(ROUND(AVERAGEIFS($Y$2:$Y$36,$X$2:$X$36,"="&amp;$AC11,$L$2:$L$36,"="&amp;AF$7),2),"-")</f>
        <v>7.0000000000000007E-2</v>
      </c>
      <c r="AI11" s="218"/>
      <c r="AJ11" s="209"/>
      <c r="AK11" s="29" t="s">
        <v>186</v>
      </c>
      <c r="AL11" s="63" t="str">
        <f>IFERROR(ROUND(AVERAGEIFS($Y$2:$Y$36,$X$2:$X$36,"="&amp;$AI$9,$L$2:$L$36,"="&amp;$AJ9,$W$2:$W$36,"="&amp;AL$2),2),"-")</f>
        <v>-</v>
      </c>
      <c r="AM11" s="30">
        <f t="shared" ref="AM11:AR11" ca="1" si="33">IFERROR(ROUND(AVERAGEIFS($Y$2:$Y$36,$X$2:$X$36,"="&amp;$AI$9,$L$2:$L$36,"="&amp;$AJ9,$W$2:$W$36,"="&amp;AM$2),2),"-")</f>
        <v>0.15</v>
      </c>
      <c r="AN11" s="30">
        <f t="shared" ca="1" si="33"/>
        <v>0.18</v>
      </c>
      <c r="AO11" s="30">
        <f t="shared" ca="1" si="33"/>
        <v>0.15</v>
      </c>
      <c r="AP11" s="30">
        <f t="shared" ca="1" si="33"/>
        <v>0.23</v>
      </c>
      <c r="AQ11" s="30">
        <f t="shared" ca="1" si="33"/>
        <v>0.2</v>
      </c>
      <c r="AR11" s="31">
        <f t="shared" ca="1" si="33"/>
        <v>0.2</v>
      </c>
      <c r="AT11" s="12" t="s">
        <v>199</v>
      </c>
      <c r="AU11" s="88">
        <f t="shared" ca="1" si="30"/>
        <v>0.2</v>
      </c>
      <c r="AV11" s="72">
        <f t="shared" ca="1" si="31"/>
        <v>0.08</v>
      </c>
    </row>
    <row r="12" spans="1:57" ht="17.100000000000001" customHeight="1" thickTop="1" thickBot="1" x14ac:dyDescent="0.35">
      <c r="A12" s="112" t="str">
        <f t="shared" si="0"/>
        <v>doldolhkh555-8293</v>
      </c>
      <c r="B12" s="121" t="s">
        <v>24</v>
      </c>
      <c r="C12" s="122" t="s">
        <v>86</v>
      </c>
      <c r="D12" s="114" t="str">
        <f t="shared" si="1"/>
        <v>760412-2******</v>
      </c>
      <c r="E12" s="119">
        <f t="shared" si="2"/>
        <v>27862</v>
      </c>
      <c r="F12" s="114">
        <f t="shared" si="3"/>
        <v>1976</v>
      </c>
      <c r="G12" s="114">
        <f t="shared" si="4"/>
        <v>4</v>
      </c>
      <c r="H12" s="114">
        <f t="shared" si="5"/>
        <v>12</v>
      </c>
      <c r="I12" s="114">
        <f t="shared" ca="1" si="6"/>
        <v>43</v>
      </c>
      <c r="J12" s="122">
        <f t="shared" ca="1" si="13"/>
        <v>11</v>
      </c>
      <c r="K12" s="184">
        <f t="shared" ca="1" si="14"/>
        <v>25</v>
      </c>
      <c r="L12" s="181" t="str">
        <f t="shared" si="7"/>
        <v>여</v>
      </c>
      <c r="M12" s="114">
        <f t="shared" ca="1" si="8"/>
        <v>15931</v>
      </c>
      <c r="N12" s="123" t="s">
        <v>51</v>
      </c>
      <c r="O12" s="124" t="s">
        <v>122</v>
      </c>
      <c r="P12" s="112">
        <v>36558</v>
      </c>
      <c r="Q12" s="114">
        <f t="shared" ca="1" si="9"/>
        <v>19</v>
      </c>
      <c r="R12" s="114">
        <f t="shared" ca="1" si="10"/>
        <v>9</v>
      </c>
      <c r="S12" s="171">
        <f t="shared" ca="1" si="11"/>
        <v>22</v>
      </c>
      <c r="T12" s="178">
        <v>3700</v>
      </c>
      <c r="U12" s="164">
        <f t="shared" si="15"/>
        <v>33</v>
      </c>
      <c r="V12" s="177">
        <f t="shared" si="16"/>
        <v>3</v>
      </c>
      <c r="W12" s="252" t="str">
        <f t="shared" si="12"/>
        <v>월</v>
      </c>
      <c r="X12" s="125" t="str">
        <f>HLOOKUP(T12, 할인율!$C$1:$F$3,3,TRUE)</f>
        <v>BRONZE</v>
      </c>
      <c r="Y12" s="188">
        <f ca="1">INDEX(할인율!$C$4:$F$9,MATCH(Q12,할인율!$B$4:$B$9,1), MATCH(X12,할인율!$C$3:$F$3,0))</f>
        <v>0.04</v>
      </c>
      <c r="Z12" s="124">
        <f t="shared" ca="1" si="17"/>
        <v>30</v>
      </c>
      <c r="AA12" s="165">
        <f t="shared" ca="1" si="18"/>
        <v>6</v>
      </c>
      <c r="AC12" s="18" t="s">
        <v>173</v>
      </c>
      <c r="AD12" s="19">
        <f>SUMIFS($T$2:$T$36,$X$2:$X$36,"="&amp;$AC12,$L$2:$L$36,"="&amp;AD$7)</f>
        <v>9600</v>
      </c>
      <c r="AE12" s="54">
        <f ca="1">IFERROR(ROUND(AVERAGEIFS($Y$2:$Y$36,$X$2:$X$36,"="&amp;$AC12,$L$2:$L$36,"="&amp;AD$7),2),"-")</f>
        <v>0</v>
      </c>
      <c r="AF12" s="57">
        <f>SUMIFS($T$2:$T$36,$X$2:$X$36,"="&amp;$AC12,$L$2:$L$36,"="&amp;AF$7)</f>
        <v>12600</v>
      </c>
      <c r="AG12" s="45">
        <f ca="1">IFERROR(ROUND(AVERAGEIFS($Y$2:$Y$36,$X$2:$X$36,"="&amp;$AC12,$L$2:$L$36,"="&amp;AF$7),2),"-")</f>
        <v>0.02</v>
      </c>
      <c r="AI12" s="218"/>
      <c r="AJ12" s="210" t="s">
        <v>170</v>
      </c>
      <c r="AK12" s="32" t="s">
        <v>183</v>
      </c>
      <c r="AL12" s="58">
        <f>COUNTIFS($X$2:$X$36,"="&amp;$AI$9,$L$2:$L$36,"="&amp;$AJ12,$W$2:$W$36,"="&amp;AL$2)</f>
        <v>0</v>
      </c>
      <c r="AM12" s="33">
        <f t="shared" ref="AM12:AR12" si="34">COUNTIFS($X$2:$X$36,"="&amp;$AI$9,$L$2:$L$36,"="&amp;$AJ12,$W$2:$W$36,"="&amp;AM$2)</f>
        <v>0</v>
      </c>
      <c r="AN12" s="33">
        <f t="shared" si="34"/>
        <v>2</v>
      </c>
      <c r="AO12" s="33">
        <f t="shared" si="34"/>
        <v>1</v>
      </c>
      <c r="AP12" s="33">
        <f t="shared" si="34"/>
        <v>2</v>
      </c>
      <c r="AQ12" s="33">
        <f t="shared" si="34"/>
        <v>0</v>
      </c>
      <c r="AR12" s="32">
        <f t="shared" si="34"/>
        <v>1</v>
      </c>
      <c r="AT12" s="12" t="s">
        <v>200</v>
      </c>
      <c r="AU12" s="88">
        <f t="shared" ca="1" si="30"/>
        <v>0.23</v>
      </c>
      <c r="AV12" s="72">
        <f t="shared" ca="1" si="31"/>
        <v>0.03</v>
      </c>
      <c r="AX12" s="80"/>
      <c r="AY12" s="81"/>
      <c r="AZ12" s="238">
        <v>20</v>
      </c>
      <c r="BA12" s="239"/>
      <c r="BB12" s="239">
        <v>30</v>
      </c>
      <c r="BC12" s="239"/>
      <c r="BD12" s="239">
        <v>40</v>
      </c>
      <c r="BE12" s="240"/>
    </row>
    <row r="13" spans="1:57" ht="17.100000000000001" customHeight="1" thickTop="1" thickBot="1" x14ac:dyDescent="0.35">
      <c r="A13" s="112" t="str">
        <f t="shared" si="0"/>
        <v>scforever88-1599</v>
      </c>
      <c r="B13" s="121" t="s">
        <v>25</v>
      </c>
      <c r="C13" s="122" t="s">
        <v>87</v>
      </c>
      <c r="D13" s="114" t="str">
        <f t="shared" si="1"/>
        <v>880202-2******</v>
      </c>
      <c r="E13" s="119">
        <f t="shared" si="2"/>
        <v>32175</v>
      </c>
      <c r="F13" s="114">
        <f t="shared" si="3"/>
        <v>1988</v>
      </c>
      <c r="G13" s="114">
        <f t="shared" si="4"/>
        <v>2</v>
      </c>
      <c r="H13" s="114">
        <f t="shared" si="5"/>
        <v>2</v>
      </c>
      <c r="I13" s="114">
        <f t="shared" ca="1" si="6"/>
        <v>31</v>
      </c>
      <c r="J13" s="122">
        <f t="shared" ca="1" si="13"/>
        <v>32</v>
      </c>
      <c r="K13" s="184">
        <f t="shared" ca="1" si="14"/>
        <v>2</v>
      </c>
      <c r="L13" s="181" t="str">
        <f t="shared" si="7"/>
        <v>여</v>
      </c>
      <c r="M13" s="114">
        <f t="shared" ca="1" si="8"/>
        <v>11618</v>
      </c>
      <c r="N13" s="123" t="s">
        <v>52</v>
      </c>
      <c r="O13" s="124" t="s">
        <v>123</v>
      </c>
      <c r="P13" s="112">
        <v>39676</v>
      </c>
      <c r="Q13" s="114">
        <f t="shared" ca="1" si="9"/>
        <v>11</v>
      </c>
      <c r="R13" s="114">
        <f t="shared" ca="1" si="10"/>
        <v>3</v>
      </c>
      <c r="S13" s="171">
        <f t="shared" ca="1" si="11"/>
        <v>8</v>
      </c>
      <c r="T13" s="178">
        <v>46000</v>
      </c>
      <c r="U13" s="164">
        <f t="shared" si="15"/>
        <v>25</v>
      </c>
      <c r="V13" s="177">
        <f t="shared" si="16"/>
        <v>11</v>
      </c>
      <c r="W13" s="252" t="str">
        <f t="shared" si="12"/>
        <v>화</v>
      </c>
      <c r="X13" s="129" t="str">
        <f>HLOOKUP(T13, 할인율!$C$1:$F$3,3,TRUE)</f>
        <v>SILVER</v>
      </c>
      <c r="Y13" s="188">
        <f ca="1">INDEX(할인율!$C$4:$F$9,MATCH(Q13,할인율!$B$4:$B$9,1), MATCH(X13,할인율!$C$3:$F$3,0))</f>
        <v>0.1</v>
      </c>
      <c r="Z13" s="124">
        <f t="shared" ca="1" si="17"/>
        <v>21</v>
      </c>
      <c r="AA13" s="165">
        <f t="shared" ca="1" si="18"/>
        <v>14</v>
      </c>
      <c r="AI13" s="218"/>
      <c r="AJ13" s="208"/>
      <c r="AK13" s="27" t="s">
        <v>185</v>
      </c>
      <c r="AL13" s="59">
        <f>SUMIFS($T$2:$T$36,$X$2:$X$36,"="&amp;$AI$9,$L$2:$L$36,"="&amp;$AJ12,$W$2:$W$36,"="&amp;AL$2)</f>
        <v>0</v>
      </c>
      <c r="AM13" s="47">
        <f t="shared" ref="AM13:AR13" si="35">SUMIFS($T$2:$T$36,$X$2:$X$36,"="&amp;$AI$9,$L$2:$L$36,"="&amp;$AJ12,$W$2:$W$36,"="&amp;AM$2)</f>
        <v>0</v>
      </c>
      <c r="AN13" s="47">
        <f t="shared" si="35"/>
        <v>230500</v>
      </c>
      <c r="AO13" s="47">
        <f t="shared" si="35"/>
        <v>168000</v>
      </c>
      <c r="AP13" s="47">
        <f t="shared" si="35"/>
        <v>328300</v>
      </c>
      <c r="AQ13" s="47">
        <f t="shared" si="35"/>
        <v>0</v>
      </c>
      <c r="AR13" s="28">
        <f t="shared" si="35"/>
        <v>110000</v>
      </c>
      <c r="AT13" s="12" t="s">
        <v>201</v>
      </c>
      <c r="AU13" s="88">
        <f t="shared" ca="1" si="30"/>
        <v>0.3</v>
      </c>
      <c r="AV13" s="72">
        <f t="shared" ca="1" si="31"/>
        <v>0</v>
      </c>
      <c r="AX13" s="83"/>
      <c r="AY13" s="84"/>
      <c r="AZ13" s="67" t="s">
        <v>194</v>
      </c>
      <c r="BA13" s="85" t="s">
        <v>195</v>
      </c>
      <c r="BB13" s="85" t="s">
        <v>194</v>
      </c>
      <c r="BC13" s="85" t="s">
        <v>195</v>
      </c>
      <c r="BD13" s="85" t="s">
        <v>194</v>
      </c>
      <c r="BE13" s="68" t="s">
        <v>195</v>
      </c>
    </row>
    <row r="14" spans="1:57" ht="17.100000000000001" customHeight="1" thickTop="1" thickBot="1" x14ac:dyDescent="0.35">
      <c r="A14" s="112" t="str">
        <f t="shared" si="0"/>
        <v>wtgwd102-9985</v>
      </c>
      <c r="B14" s="121" t="s">
        <v>26</v>
      </c>
      <c r="C14" s="122" t="s">
        <v>88</v>
      </c>
      <c r="D14" s="114" t="str">
        <f t="shared" si="1"/>
        <v>730628-1******</v>
      </c>
      <c r="E14" s="119">
        <f t="shared" si="2"/>
        <v>26843</v>
      </c>
      <c r="F14" s="114">
        <f t="shared" si="3"/>
        <v>1973</v>
      </c>
      <c r="G14" s="114">
        <f t="shared" si="4"/>
        <v>6</v>
      </c>
      <c r="H14" s="114">
        <f t="shared" si="5"/>
        <v>28</v>
      </c>
      <c r="I14" s="114">
        <f t="shared" ca="1" si="6"/>
        <v>46</v>
      </c>
      <c r="J14" s="122">
        <f t="shared" ca="1" si="13"/>
        <v>4</v>
      </c>
      <c r="K14" s="184">
        <f t="shared" ca="1" si="14"/>
        <v>32</v>
      </c>
      <c r="L14" s="181" t="str">
        <f t="shared" si="7"/>
        <v>남</v>
      </c>
      <c r="M14" s="114">
        <f t="shared" ca="1" si="8"/>
        <v>16950</v>
      </c>
      <c r="N14" s="123" t="s">
        <v>53</v>
      </c>
      <c r="O14" s="124" t="s">
        <v>124</v>
      </c>
      <c r="P14" s="112">
        <v>42990</v>
      </c>
      <c r="Q14" s="114">
        <f t="shared" ca="1" si="9"/>
        <v>2</v>
      </c>
      <c r="R14" s="114">
        <f t="shared" ca="1" si="10"/>
        <v>2</v>
      </c>
      <c r="S14" s="171">
        <f t="shared" ca="1" si="11"/>
        <v>12</v>
      </c>
      <c r="T14" s="178">
        <v>97300</v>
      </c>
      <c r="U14" s="164">
        <f t="shared" si="15"/>
        <v>21</v>
      </c>
      <c r="V14" s="177">
        <f t="shared" si="16"/>
        <v>15</v>
      </c>
      <c r="W14" s="252" t="str">
        <f t="shared" si="12"/>
        <v>목</v>
      </c>
      <c r="X14" s="129" t="str">
        <f>HLOOKUP(T14, 할인율!$C$1:$F$3,3,TRUE)</f>
        <v>SILVER</v>
      </c>
      <c r="Y14" s="188">
        <f ca="1">INDEX(할인율!$C$4:$F$9,MATCH(Q14,할인율!$B$4:$B$9,1), MATCH(X14,할인율!$C$3:$F$3,0))</f>
        <v>0.03</v>
      </c>
      <c r="Z14" s="124">
        <f t="shared" ca="1" si="17"/>
        <v>31</v>
      </c>
      <c r="AA14" s="165">
        <f t="shared" ca="1" si="18"/>
        <v>5</v>
      </c>
      <c r="AC14" s="226" t="s">
        <v>189</v>
      </c>
      <c r="AD14" s="227"/>
      <c r="AE14" s="227"/>
      <c r="AF14" s="227"/>
      <c r="AG14" s="228"/>
      <c r="AI14" s="220"/>
      <c r="AJ14" s="212"/>
      <c r="AK14" s="34" t="s">
        <v>186</v>
      </c>
      <c r="AL14" s="60" t="str">
        <f>IFERROR(ROUND(AVERAGEIFS($Y$2:$Y$36,$X$2:$X$36,"="&amp;$AI$9,$L$2:$L$36,"="&amp;$AJ12,$W$2:$W$36,"="&amp;AL$2),2),"-")</f>
        <v>-</v>
      </c>
      <c r="AM14" s="35" t="str">
        <f t="shared" ref="AM14:AR14" si="36">IFERROR(ROUND(AVERAGEIFS($Y$2:$Y$36,$X$2:$X$36,"="&amp;$AI$9,$L$2:$L$36,"="&amp;$AJ12,$W$2:$W$36,"="&amp;AM$2),2),"-")</f>
        <v>-</v>
      </c>
      <c r="AN14" s="35">
        <f t="shared" ca="1" si="36"/>
        <v>0.15</v>
      </c>
      <c r="AO14" s="35">
        <f t="shared" ca="1" si="36"/>
        <v>0.2</v>
      </c>
      <c r="AP14" s="35">
        <f t="shared" ca="1" si="36"/>
        <v>0.18</v>
      </c>
      <c r="AQ14" s="35" t="str">
        <f t="shared" si="36"/>
        <v>-</v>
      </c>
      <c r="AR14" s="36">
        <f t="shared" ca="1" si="36"/>
        <v>0.15</v>
      </c>
      <c r="AT14" s="14" t="s">
        <v>202</v>
      </c>
      <c r="AU14" s="66">
        <f t="shared" ca="1" si="30"/>
        <v>0.25</v>
      </c>
      <c r="AV14" s="89">
        <f t="shared" ca="1" si="31"/>
        <v>0.02</v>
      </c>
      <c r="AX14" s="217" t="s">
        <v>196</v>
      </c>
      <c r="AY14" s="72" t="s">
        <v>190</v>
      </c>
      <c r="AZ14" s="44">
        <f ca="1">_xlfn.MAXIFS($Y$2:$Y$36,$W$2:$W$36,"="&amp;$AX$14,$L$2:$L$36,"="&amp;$AY14,$I$2:$I$36,"&gt;="&amp;$AZ$12,$I$2:$I$36,"&lt;"&amp;$BB$12)</f>
        <v>0</v>
      </c>
      <c r="BA14" s="94">
        <f ca="1">_xlfn.MINIFS($Y$2:$Y$36,$W$2:$W$36,"="&amp;$AX$14,$L$2:$L$36,"="&amp;$AY14,$I$2:$I$36,"&gt;="&amp;$AZ$12,$I$2:$I$36,"&lt;"&amp;$BB$12)</f>
        <v>0</v>
      </c>
      <c r="BB14" s="94">
        <f ca="1">_xlfn.MAXIFS($Y$2:$Y$36,$W$2:$W$36,"="&amp;$AX$14,$L$2:$L$36,"="&amp;$AY14,$I$2:$I$36,"&gt;="&amp;$BB$12,$I$2:$I$36,"&lt;"&amp;$BD$12)</f>
        <v>0.25</v>
      </c>
      <c r="BC14" s="94">
        <f ca="1">_xlfn.MINIFS($Y$2:$Y$36,$W$2:$W$36,"="&amp;$AX$14,$L$2:$L$36,"="&amp;$AY14,$I$2:$I$36,"&gt;="&amp;$BB$12,$I$2:$I$36,"&lt;"&amp;$BD$12)</f>
        <v>0</v>
      </c>
      <c r="BD14" s="94">
        <f ca="1">_xlfn.MAXIFS($Y$2:$Y$36,$W$2:$W$36,"="&amp;$AX$14,$L$2:$L$36,"="&amp;$AY14,$I$2:$I$36,"&gt;="&amp;$BD$12)</f>
        <v>0.35</v>
      </c>
      <c r="BE14" s="93">
        <f ca="1">_xlfn.MINIFS($Y$2:$Y$36,$W$2:$W$36,"="&amp;$AX$14,$L$2:$L$36,"="&amp;$AY14,$I$2:$I$36,"&gt;="&amp;$BD$12)</f>
        <v>0.13</v>
      </c>
    </row>
    <row r="15" spans="1:57" ht="17.100000000000001" customHeight="1" thickTop="1" thickBot="1" x14ac:dyDescent="0.35">
      <c r="A15" s="112" t="str">
        <f t="shared" si="0"/>
        <v>sangayoe-7458</v>
      </c>
      <c r="B15" s="121" t="s">
        <v>27</v>
      </c>
      <c r="C15" s="122" t="s">
        <v>89</v>
      </c>
      <c r="D15" s="114" t="str">
        <f t="shared" si="1"/>
        <v>810530-2******</v>
      </c>
      <c r="E15" s="119">
        <f t="shared" si="2"/>
        <v>29736</v>
      </c>
      <c r="F15" s="114">
        <f t="shared" si="3"/>
        <v>1981</v>
      </c>
      <c r="G15" s="114">
        <f t="shared" si="4"/>
        <v>5</v>
      </c>
      <c r="H15" s="114">
        <f t="shared" si="5"/>
        <v>30</v>
      </c>
      <c r="I15" s="114">
        <f t="shared" ca="1" si="6"/>
        <v>38</v>
      </c>
      <c r="J15" s="122">
        <f t="shared" ca="1" si="13"/>
        <v>18</v>
      </c>
      <c r="K15" s="184">
        <f t="shared" ca="1" si="14"/>
        <v>17</v>
      </c>
      <c r="L15" s="181" t="str">
        <f t="shared" si="7"/>
        <v>여</v>
      </c>
      <c r="M15" s="114">
        <f t="shared" ca="1" si="8"/>
        <v>14057</v>
      </c>
      <c r="N15" s="123" t="s">
        <v>54</v>
      </c>
      <c r="O15" s="124" t="s">
        <v>125</v>
      </c>
      <c r="P15" s="112">
        <v>41719</v>
      </c>
      <c r="Q15" s="114">
        <f t="shared" ca="1" si="9"/>
        <v>5</v>
      </c>
      <c r="R15" s="114">
        <f t="shared" ca="1" si="10"/>
        <v>8</v>
      </c>
      <c r="S15" s="171">
        <f t="shared" ca="1" si="11"/>
        <v>3</v>
      </c>
      <c r="T15" s="178">
        <v>23000</v>
      </c>
      <c r="U15" s="164">
        <f t="shared" si="15"/>
        <v>28</v>
      </c>
      <c r="V15" s="177">
        <f t="shared" si="16"/>
        <v>8</v>
      </c>
      <c r="W15" s="252" t="str">
        <f t="shared" si="12"/>
        <v>토</v>
      </c>
      <c r="X15" s="129" t="str">
        <f>HLOOKUP(T15, 할인율!$C$1:$F$3,3,TRUE)</f>
        <v>SILVER</v>
      </c>
      <c r="Y15" s="188">
        <f ca="1">INDEX(할인율!$C$4:$F$9,MATCH(Q15,할인율!$B$4:$B$9,1), MATCH(X15,할인율!$C$3:$F$3,0))</f>
        <v>0.08</v>
      </c>
      <c r="Z15" s="124">
        <f t="shared" ca="1" si="17"/>
        <v>23</v>
      </c>
      <c r="AA15" s="165">
        <f t="shared" ca="1" si="18"/>
        <v>10</v>
      </c>
      <c r="AC15" s="19" t="s">
        <v>183</v>
      </c>
      <c r="AD15" s="229" t="s">
        <v>187</v>
      </c>
      <c r="AE15" s="229"/>
      <c r="AF15" s="229" t="s">
        <v>188</v>
      </c>
      <c r="AG15" s="230"/>
      <c r="AI15" s="219" t="s">
        <v>184</v>
      </c>
      <c r="AJ15" s="216" t="s">
        <v>169</v>
      </c>
      <c r="AK15" s="37" t="s">
        <v>183</v>
      </c>
      <c r="AL15" s="64">
        <f>COUNTIFS($X$2:$X$36,"="&amp;$AI$15,$L$2:$L$36,"="&amp;$AJ15,$W$2:$W$36,"="&amp;AL$2)</f>
        <v>1</v>
      </c>
      <c r="AM15" s="38">
        <f t="shared" ref="AM15:AR15" si="37">COUNTIFS($X$2:$X$36,"="&amp;$AI$15,$L$2:$L$36,"="&amp;$AJ15,$W$2:$W$36,"="&amp;AM$2)</f>
        <v>1</v>
      </c>
      <c r="AN15" s="38">
        <f t="shared" si="37"/>
        <v>1</v>
      </c>
      <c r="AO15" s="38">
        <f t="shared" si="37"/>
        <v>1</v>
      </c>
      <c r="AP15" s="38">
        <f t="shared" si="37"/>
        <v>1</v>
      </c>
      <c r="AQ15" s="38">
        <f t="shared" si="37"/>
        <v>1</v>
      </c>
      <c r="AR15" s="37">
        <f t="shared" si="37"/>
        <v>0</v>
      </c>
      <c r="AX15" s="218"/>
      <c r="AY15" s="86" t="s">
        <v>191</v>
      </c>
      <c r="AZ15" s="90">
        <f t="shared" ref="AZ15" ca="1" si="38">_xlfn.MAXIFS($Y$2:$Y$36,$W$2:$W$36,"="&amp;$AX$14,$L$2:$L$36,"="&amp;$AY15,$I$2:$I$36,"&gt;="&amp;$AZ$12,$I$2:$I$36,"&lt;"&amp;$BB$12)</f>
        <v>0</v>
      </c>
      <c r="BA15" s="95">
        <f t="shared" ref="BA15" ca="1" si="39">_xlfn.MINIFS($Y$2:$Y$36,$W$2:$W$36,"="&amp;$AX$14,$L$2:$L$36,"="&amp;$AY15,$I$2:$I$36,"&gt;="&amp;$AZ$12,$I$2:$I$36,"&lt;"&amp;$BB$12)</f>
        <v>0</v>
      </c>
      <c r="BB15" s="95">
        <f t="shared" ref="BB15" ca="1" si="40">_xlfn.MAXIFS($Y$2:$Y$36,$W$2:$W$36,"="&amp;$AX$14,$L$2:$L$36,"="&amp;$AY15,$I$2:$I$36,"&gt;="&amp;$BB$12,$I$2:$I$36,"&lt;"&amp;$BD$12)</f>
        <v>0.25</v>
      </c>
      <c r="BC15" s="95">
        <f t="shared" ref="BC15" ca="1" si="41">_xlfn.MINIFS($Y$2:$Y$36,$W$2:$W$36,"="&amp;$AX$14,$L$2:$L$36,"="&amp;$AY15,$I$2:$I$36,"&gt;="&amp;$BB$12,$I$2:$I$36,"&lt;"&amp;$BD$12)</f>
        <v>0.25</v>
      </c>
      <c r="BD15" s="95">
        <f t="shared" ref="BD15" ca="1" si="42">_xlfn.MAXIFS($Y$2:$Y$36,$W$2:$W$36,"="&amp;$AX$14,$L$2:$L$36,"="&amp;$AY15,$I$2:$I$36,"&gt;="&amp;$BD$12)</f>
        <v>0</v>
      </c>
      <c r="BE15" s="100">
        <f t="shared" ref="BE15" ca="1" si="43">_xlfn.MINIFS($Y$2:$Y$36,$W$2:$W$36,"="&amp;$AX$14,$L$2:$L$36,"="&amp;$AY15,$I$2:$I$36,"&gt;="&amp;$BD$12)</f>
        <v>0</v>
      </c>
    </row>
    <row r="16" spans="1:57" ht="17.100000000000001" customHeight="1" thickTop="1" thickBot="1" x14ac:dyDescent="0.35">
      <c r="A16" s="112" t="str">
        <f t="shared" si="0"/>
        <v>ddongyoon-9856</v>
      </c>
      <c r="B16" s="121" t="s">
        <v>28</v>
      </c>
      <c r="C16" s="122" t="s">
        <v>90</v>
      </c>
      <c r="D16" s="114" t="str">
        <f t="shared" si="1"/>
        <v>840911-1******</v>
      </c>
      <c r="E16" s="119">
        <f t="shared" si="2"/>
        <v>30936</v>
      </c>
      <c r="F16" s="114">
        <f t="shared" si="3"/>
        <v>1984</v>
      </c>
      <c r="G16" s="114">
        <f t="shared" si="4"/>
        <v>9</v>
      </c>
      <c r="H16" s="114">
        <f t="shared" si="5"/>
        <v>11</v>
      </c>
      <c r="I16" s="114">
        <f t="shared" ca="1" si="6"/>
        <v>35</v>
      </c>
      <c r="J16" s="122">
        <f t="shared" ca="1" si="13"/>
        <v>24</v>
      </c>
      <c r="K16" s="184">
        <f t="shared" ca="1" si="14"/>
        <v>10</v>
      </c>
      <c r="L16" s="181" t="str">
        <f t="shared" si="7"/>
        <v>남</v>
      </c>
      <c r="M16" s="114">
        <f t="shared" ca="1" si="8"/>
        <v>12857</v>
      </c>
      <c r="N16" s="123" t="s">
        <v>55</v>
      </c>
      <c r="O16" s="124" t="s">
        <v>126</v>
      </c>
      <c r="P16" s="112">
        <v>38946</v>
      </c>
      <c r="Q16" s="114">
        <f t="shared" ca="1" si="9"/>
        <v>13</v>
      </c>
      <c r="R16" s="114">
        <f t="shared" ca="1" si="10"/>
        <v>3</v>
      </c>
      <c r="S16" s="171">
        <f t="shared" ca="1" si="11"/>
        <v>7</v>
      </c>
      <c r="T16" s="178">
        <v>154000</v>
      </c>
      <c r="U16" s="164">
        <f t="shared" si="15"/>
        <v>13</v>
      </c>
      <c r="V16" s="177">
        <f t="shared" si="16"/>
        <v>23</v>
      </c>
      <c r="W16" s="252" t="str">
        <f t="shared" si="12"/>
        <v>화</v>
      </c>
      <c r="X16" s="127" t="str">
        <f>HLOOKUP(T16, 할인율!$C$1:$F$3,3,TRUE)</f>
        <v>GOLD</v>
      </c>
      <c r="Y16" s="188">
        <f ca="1">INDEX(할인율!$C$4:$F$9,MATCH(Q16,할인율!$B$4:$B$9,1), MATCH(X16,할인율!$C$3:$F$3,0))</f>
        <v>0.2</v>
      </c>
      <c r="Z16" s="124">
        <f t="shared" ca="1" si="17"/>
        <v>8</v>
      </c>
      <c r="AA16" s="165">
        <f t="shared" ca="1" si="18"/>
        <v>22</v>
      </c>
      <c r="AC16" s="43">
        <f ca="1">COUNTIFS(I2:I36,"&gt;=30",I2:I36,"&lt;40",L2:L36,"=여",X2:X36,"=GOLD")</f>
        <v>3</v>
      </c>
      <c r="AD16" s="231">
        <f ca="1">SUMIFS(T2:T36,I2:I36,"&gt;=30",I2:I36,"&lt;40",L2:L36,"=여",X2:X36,"=GOLD")</f>
        <v>410500</v>
      </c>
      <c r="AE16" s="232"/>
      <c r="AF16" s="231">
        <f ca="1">ROUND(AVERAGEIFS(Y2:Y36,I2:I36,"&gt;=30",I2:I36,"&lt;40",L2:L36,"=여",X2:X36,"=GOLD"),2)</f>
        <v>0.17</v>
      </c>
      <c r="AG16" s="233"/>
      <c r="AI16" s="218"/>
      <c r="AJ16" s="208"/>
      <c r="AK16" s="27" t="s">
        <v>185</v>
      </c>
      <c r="AL16" s="59">
        <f>SUMIFS($T$2:$T$36,$X$2:$X$36,"="&amp;$AI$15,$L$2:$L$36,"="&amp;$AJ15,$W$2:$W$36,"="&amp;AL$2)</f>
        <v>16700</v>
      </c>
      <c r="AM16" s="47">
        <f t="shared" ref="AM16:AR16" si="44">SUMIFS($T$2:$T$36,$X$2:$X$36,"="&amp;$AI$15,$L$2:$L$36,"="&amp;$AJ15,$W$2:$W$36,"="&amp;AM$2)</f>
        <v>17300</v>
      </c>
      <c r="AN16" s="47">
        <f t="shared" si="44"/>
        <v>68100</v>
      </c>
      <c r="AO16" s="47">
        <f t="shared" si="44"/>
        <v>36800</v>
      </c>
      <c r="AP16" s="47">
        <f t="shared" si="44"/>
        <v>97300</v>
      </c>
      <c r="AQ16" s="47">
        <f t="shared" si="44"/>
        <v>32100</v>
      </c>
      <c r="AR16" s="28">
        <f t="shared" si="44"/>
        <v>0</v>
      </c>
      <c r="AX16" s="219" t="s">
        <v>197</v>
      </c>
      <c r="AY16" s="87" t="s">
        <v>190</v>
      </c>
      <c r="AZ16" s="97">
        <f ca="1">_xlfn.MAXIFS($Y$2:$Y$36,$W$2:$W$36,"="&amp;$AX$16,$L$2:$L$36,"="&amp;$AY16,$I$2:$I$36,"&gt;="&amp;$AZ$12,$I$2:$I$36,"&lt;"&amp;$BB$12)</f>
        <v>0</v>
      </c>
      <c r="BA16" s="98">
        <f ca="1">_xlfn.MINIFS($Y$2:$Y$36,$W$2:$W$36,"="&amp;$AX$16,$L$2:$L$36,"="&amp;$AY16,$I$2:$I$36,"&gt;="&amp;$AZ$12,$I$2:$I$36,"&lt;"&amp;$BB$12)</f>
        <v>0</v>
      </c>
      <c r="BB16" s="98">
        <f ca="1">_xlfn.MAXIFS($Y$2:$Y$36,$W$2:$W$36,"="&amp;$AX$16,$L$2:$L$36,"="&amp;$AY16,$I$2:$I$36,"&gt;="&amp;$BB$12,$I$2:$I$36,"&lt;"&amp;$BD$12)</f>
        <v>0.15</v>
      </c>
      <c r="BC16" s="98">
        <f ca="1">_xlfn.MINIFS($Y$2:$Y$36,$W$2:$W$36,"="&amp;$AX$16,$L$2:$L$36,"="&amp;$AY16,$I$2:$I$36,"&gt;="&amp;$BB$12,$I$2:$I$36,"&lt;"&amp;$BD$12)</f>
        <v>0.15</v>
      </c>
      <c r="BD16" s="98">
        <f ca="1">_xlfn.MAXIFS($Y$2:$Y$36,$W$2:$W$36,"="&amp;$AX$16,$L$2:$L$36,"="&amp;$AY16,$I$2:$I$36,"&gt;="&amp;$BD$12)</f>
        <v>0.08</v>
      </c>
      <c r="BE16" s="101">
        <f ca="1">_xlfn.MINIFS($Y$2:$Y$36,$W$2:$W$36,"="&amp;$AX$16,$L$2:$L$36,"="&amp;$AY16,$I$2:$I$36,"&gt;="&amp;$BD$12)</f>
        <v>0.08</v>
      </c>
    </row>
    <row r="17" spans="1:57" ht="17.100000000000001" customHeight="1" thickTop="1" thickBot="1" x14ac:dyDescent="0.35">
      <c r="A17" s="112" t="str">
        <f t="shared" si="0"/>
        <v>jjjjpark-6589</v>
      </c>
      <c r="B17" s="121" t="s">
        <v>29</v>
      </c>
      <c r="C17" s="122" t="s">
        <v>91</v>
      </c>
      <c r="D17" s="114" t="str">
        <f t="shared" si="1"/>
        <v>770903-2******</v>
      </c>
      <c r="E17" s="119">
        <f t="shared" si="2"/>
        <v>28371</v>
      </c>
      <c r="F17" s="114">
        <f t="shared" si="3"/>
        <v>1977</v>
      </c>
      <c r="G17" s="114">
        <f t="shared" si="4"/>
        <v>9</v>
      </c>
      <c r="H17" s="114">
        <f t="shared" si="5"/>
        <v>3</v>
      </c>
      <c r="I17" s="114">
        <f t="shared" ca="1" si="6"/>
        <v>42</v>
      </c>
      <c r="J17" s="122">
        <f t="shared" ca="1" si="13"/>
        <v>12</v>
      </c>
      <c r="K17" s="184">
        <f t="shared" ca="1" si="14"/>
        <v>24</v>
      </c>
      <c r="L17" s="181" t="str">
        <f t="shared" si="7"/>
        <v>여</v>
      </c>
      <c r="M17" s="114">
        <f t="shared" ca="1" si="8"/>
        <v>15422</v>
      </c>
      <c r="N17" s="123" t="s">
        <v>56</v>
      </c>
      <c r="O17" s="124" t="s">
        <v>127</v>
      </c>
      <c r="P17" s="112">
        <v>41734</v>
      </c>
      <c r="Q17" s="114">
        <f t="shared" ca="1" si="9"/>
        <v>5</v>
      </c>
      <c r="R17" s="114">
        <f t="shared" ca="1" si="10"/>
        <v>7</v>
      </c>
      <c r="S17" s="171">
        <f t="shared" ca="1" si="11"/>
        <v>19</v>
      </c>
      <c r="T17" s="178">
        <v>110000</v>
      </c>
      <c r="U17" s="164">
        <f t="shared" si="15"/>
        <v>19</v>
      </c>
      <c r="V17" s="177">
        <f t="shared" si="16"/>
        <v>17</v>
      </c>
      <c r="W17" s="252" t="str">
        <f t="shared" si="12"/>
        <v>토</v>
      </c>
      <c r="X17" s="127" t="str">
        <f>HLOOKUP(T17, 할인율!$C$1:$F$3,3,TRUE)</f>
        <v>GOLD</v>
      </c>
      <c r="Y17" s="188">
        <f ca="1">INDEX(할인율!$C$4:$F$9,MATCH(Q17,할인율!$B$4:$B$9,1), MATCH(X17,할인율!$C$3:$F$3,0))</f>
        <v>0.15</v>
      </c>
      <c r="Z17" s="124">
        <f t="shared" ca="1" si="17"/>
        <v>15</v>
      </c>
      <c r="AA17" s="165">
        <f t="shared" ca="1" si="18"/>
        <v>17</v>
      </c>
      <c r="AI17" s="218"/>
      <c r="AJ17" s="209"/>
      <c r="AK17" s="29" t="s">
        <v>186</v>
      </c>
      <c r="AL17" s="63">
        <f ca="1">IFERROR(ROUND(AVERAGEIFS($Y$2:$Y$36,$X$2:$X$36,"="&amp;$AI$15,$L$2:$L$36,"="&amp;$AJ15,$W$2:$W$36,"="&amp;AL$2),2),"-")</f>
        <v>0.13</v>
      </c>
      <c r="AM17" s="30">
        <f t="shared" ref="AM17:AR17" ca="1" si="45">IFERROR(ROUND(AVERAGEIFS($Y$2:$Y$36,$X$2:$X$36,"="&amp;$AI$15,$L$2:$L$36,"="&amp;$AJ15,$W$2:$W$36,"="&amp;AM$2),2),"-")</f>
        <v>0.08</v>
      </c>
      <c r="AN17" s="30">
        <f t="shared" ca="1" si="45"/>
        <v>0.08</v>
      </c>
      <c r="AO17" s="30">
        <f t="shared" ca="1" si="45"/>
        <v>0.08</v>
      </c>
      <c r="AP17" s="30">
        <f t="shared" ca="1" si="45"/>
        <v>0.03</v>
      </c>
      <c r="AQ17" s="30">
        <f t="shared" ca="1" si="45"/>
        <v>0.05</v>
      </c>
      <c r="AR17" s="31" t="str">
        <f t="shared" si="45"/>
        <v>-</v>
      </c>
      <c r="AX17" s="220"/>
      <c r="AY17" s="79" t="s">
        <v>191</v>
      </c>
      <c r="AZ17" s="91">
        <f ca="1">_xlfn.MAXIFS($Y$2:$Y$36,$W$2:$W$36,"="&amp;$AX$16,$L$2:$L$36,"="&amp;$AY17,$I$2:$I$36,"&gt;="&amp;$AZ$12,$I$2:$I$36,"&lt;"&amp;$BB$12)</f>
        <v>0</v>
      </c>
      <c r="BA17" s="99">
        <f ca="1">_xlfn.MINIFS($Y$2:$Y$36,$W$2:$W$36,"="&amp;$AX$16,$L$2:$L$36,"="&amp;$AY17,$I$2:$I$36,"&gt;="&amp;$AZ$12,$I$2:$I$36,"&lt;"&amp;$BB$12)</f>
        <v>0</v>
      </c>
      <c r="BB17" s="99">
        <f ca="1">_xlfn.MAXIFS($Y$2:$Y$36,$W$2:$W$36,"="&amp;$AX$16,$L$2:$L$36,"="&amp;$AY17,$I$2:$I$36,"&gt;="&amp;$BB$12,$I$2:$I$36,"&lt;"&amp;$BD$12)</f>
        <v>0</v>
      </c>
      <c r="BC17" s="99">
        <f ca="1">_xlfn.MINIFS($Y$2:$Y$36,$W$2:$W$36,"="&amp;$AX$16,$L$2:$L$36,"="&amp;$AY17,$I$2:$I$36,"&gt;="&amp;$BB$12,$I$2:$I$36,"&lt;"&amp;$BD$12)</f>
        <v>0</v>
      </c>
      <c r="BD17" s="99">
        <f ca="1">_xlfn.MAXIFS($Y$2:$Y$36,$W$2:$W$36,"="&amp;$AX$16,$L$2:$L$36,"="&amp;$AY17,$I$2:$I$36,"&gt;="&amp;$BD$12)</f>
        <v>0.05</v>
      </c>
      <c r="BE17" s="102">
        <f ca="1">_xlfn.MINIFS($Y$2:$Y$36,$W$2:$W$36,"="&amp;$AX$16,$L$2:$L$36,"="&amp;$AY17,$I$2:$I$36,"&gt;="&amp;$BD$12)</f>
        <v>0.04</v>
      </c>
    </row>
    <row r="18" spans="1:57" ht="17.100000000000001" customHeight="1" thickTop="1" x14ac:dyDescent="0.3">
      <c r="A18" s="112" t="str">
        <f t="shared" si="0"/>
        <v>hopelim75-2541</v>
      </c>
      <c r="B18" s="121" t="s">
        <v>30</v>
      </c>
      <c r="C18" s="122" t="s">
        <v>92</v>
      </c>
      <c r="D18" s="114" t="str">
        <f t="shared" si="1"/>
        <v>751111-2******</v>
      </c>
      <c r="E18" s="119">
        <f t="shared" si="2"/>
        <v>27709</v>
      </c>
      <c r="F18" s="114">
        <f t="shared" si="3"/>
        <v>1975</v>
      </c>
      <c r="G18" s="114">
        <f t="shared" si="4"/>
        <v>11</v>
      </c>
      <c r="H18" s="114">
        <f t="shared" si="5"/>
        <v>11</v>
      </c>
      <c r="I18" s="114">
        <f t="shared" ca="1" si="6"/>
        <v>44</v>
      </c>
      <c r="J18" s="122">
        <f t="shared" ca="1" si="13"/>
        <v>7</v>
      </c>
      <c r="K18" s="184">
        <f t="shared" ca="1" si="14"/>
        <v>26</v>
      </c>
      <c r="L18" s="181" t="str">
        <f t="shared" si="7"/>
        <v>여</v>
      </c>
      <c r="M18" s="114">
        <f t="shared" ca="1" si="8"/>
        <v>16084</v>
      </c>
      <c r="N18" s="123" t="s">
        <v>57</v>
      </c>
      <c r="O18" s="124" t="s">
        <v>128</v>
      </c>
      <c r="P18" s="112">
        <v>39490</v>
      </c>
      <c r="Q18" s="114">
        <f t="shared" ca="1" si="9"/>
        <v>11</v>
      </c>
      <c r="R18" s="114">
        <f t="shared" ca="1" si="10"/>
        <v>9</v>
      </c>
      <c r="S18" s="171">
        <f t="shared" ca="1" si="11"/>
        <v>12</v>
      </c>
      <c r="T18" s="178">
        <v>130000</v>
      </c>
      <c r="U18" s="164">
        <f t="shared" si="15"/>
        <v>17</v>
      </c>
      <c r="V18" s="177">
        <f t="shared" si="16"/>
        <v>19</v>
      </c>
      <c r="W18" s="252" t="str">
        <f t="shared" si="12"/>
        <v>화</v>
      </c>
      <c r="X18" s="127" t="str">
        <f>HLOOKUP(T18, 할인율!$C$1:$F$3,3,TRUE)</f>
        <v>GOLD</v>
      </c>
      <c r="Y18" s="188">
        <f ca="1">INDEX(할인율!$C$4:$F$9,MATCH(Q18,할인율!$B$4:$B$9,1), MATCH(X18,할인율!$C$3:$F$3,0))</f>
        <v>0.2</v>
      </c>
      <c r="Z18" s="124">
        <f t="shared" ca="1" si="17"/>
        <v>8</v>
      </c>
      <c r="AA18" s="165">
        <f t="shared" ca="1" si="18"/>
        <v>22</v>
      </c>
      <c r="AI18" s="218"/>
      <c r="AJ18" s="210" t="s">
        <v>170</v>
      </c>
      <c r="AK18" s="32" t="s">
        <v>183</v>
      </c>
      <c r="AL18" s="58">
        <f>COUNTIFS($X$2:$X$36,"="&amp;$AI$15,$L$2:$L$36,"="&amp;$AJ18,$W$2:$W$36,"="&amp;AL$2)</f>
        <v>0</v>
      </c>
      <c r="AM18" s="33">
        <f t="shared" ref="AM18:AR18" si="46">COUNTIFS($X$2:$X$36,"="&amp;$AI$15,$L$2:$L$36,"="&amp;$AJ18,$W$2:$W$36,"="&amp;AM$2)</f>
        <v>1</v>
      </c>
      <c r="AN18" s="33">
        <f t="shared" si="46"/>
        <v>1</v>
      </c>
      <c r="AO18" s="33">
        <f t="shared" si="46"/>
        <v>0</v>
      </c>
      <c r="AP18" s="33">
        <f t="shared" si="46"/>
        <v>0</v>
      </c>
      <c r="AQ18" s="33">
        <f t="shared" si="46"/>
        <v>1</v>
      </c>
      <c r="AR18" s="32">
        <f t="shared" si="46"/>
        <v>1</v>
      </c>
      <c r="AX18" s="218" t="s">
        <v>198</v>
      </c>
      <c r="AY18" s="72" t="s">
        <v>190</v>
      </c>
      <c r="AZ18" s="88">
        <f ca="1">_xlfn.MAXIFS($Y$2:$Y$36,$W$2:$W$36,"="&amp;$AX$18,$L$2:$L$36,"="&amp;$AY18,$I$2:$I$36,"&gt;="&amp;$AZ$12,$I$2:$I$36,"&lt;"&amp;$BB$12)</f>
        <v>0</v>
      </c>
      <c r="BA18" s="71">
        <f ca="1">_xlfn.MINIFS($Y$2:$Y$36,$W$2:$W$36,"="&amp;$AX$18,$L$2:$L$36,"="&amp;$AY18,$I$2:$I$36,"&gt;="&amp;$AZ$12,$I$2:$I$36,"&lt;"&amp;$BB$12)</f>
        <v>0</v>
      </c>
      <c r="BB18" s="71">
        <f ca="1">_xlfn.MAXIFS($Y$2:$Y$36,$W$2:$W$36,"="&amp;$AX$18,$L$2:$L$36,"="&amp;$AY18,$I$2:$I$36,"&gt;="&amp;$BB$12,$I$2:$I$36,"&lt;"&amp;$BD$12)</f>
        <v>0.2</v>
      </c>
      <c r="BC18" s="71">
        <f ca="1">_xlfn.MINIFS($Y$2:$Y$36,$W$2:$W$36,"="&amp;$AX$18,$L$2:$L$36,"="&amp;$AY18,$I$2:$I$36,"&gt;="&amp;$BB$12,$I$2:$I$36,"&lt;"&amp;$BD$12)</f>
        <v>0.08</v>
      </c>
      <c r="BD18" s="71">
        <f ca="1">_xlfn.MAXIFS($Y$2:$Y$36,$W$2:$W$36,"="&amp;$AX$18,$L$2:$L$36,"="&amp;$AY18,$I$2:$I$36,"&gt;="&amp;$BD$12)</f>
        <v>0</v>
      </c>
      <c r="BE18" s="103">
        <f ca="1">_xlfn.MINIFS($Y$2:$Y$36,$W$2:$W$36,"="&amp;$AX$18,$L$2:$L$36,"="&amp;$AY18,$I$2:$I$36,"&gt;="&amp;$BD$12)</f>
        <v>0</v>
      </c>
    </row>
    <row r="19" spans="1:57" ht="17.100000000000001" customHeight="1" thickBot="1" x14ac:dyDescent="0.35">
      <c r="A19" s="112" t="str">
        <f t="shared" si="0"/>
        <v>seosyjsh12-7941</v>
      </c>
      <c r="B19" s="121" t="s">
        <v>31</v>
      </c>
      <c r="C19" s="122" t="s">
        <v>93</v>
      </c>
      <c r="D19" s="114" t="str">
        <f t="shared" si="1"/>
        <v>821003-2******</v>
      </c>
      <c r="E19" s="119">
        <f t="shared" si="2"/>
        <v>30227</v>
      </c>
      <c r="F19" s="114">
        <f t="shared" si="3"/>
        <v>1982</v>
      </c>
      <c r="G19" s="114">
        <f t="shared" si="4"/>
        <v>10</v>
      </c>
      <c r="H19" s="114">
        <f t="shared" si="5"/>
        <v>3</v>
      </c>
      <c r="I19" s="114">
        <f t="shared" ca="1" si="6"/>
        <v>37</v>
      </c>
      <c r="J19" s="122">
        <f t="shared" ca="1" si="13"/>
        <v>20</v>
      </c>
      <c r="K19" s="184">
        <f t="shared" ca="1" si="14"/>
        <v>15</v>
      </c>
      <c r="L19" s="181" t="str">
        <f t="shared" si="7"/>
        <v>여</v>
      </c>
      <c r="M19" s="114">
        <f t="shared" ca="1" si="8"/>
        <v>13566</v>
      </c>
      <c r="N19" s="123" t="s">
        <v>58</v>
      </c>
      <c r="O19" s="124" t="s">
        <v>129</v>
      </c>
      <c r="P19" s="112">
        <v>40072</v>
      </c>
      <c r="Q19" s="114">
        <f t="shared" ca="1" si="9"/>
        <v>10</v>
      </c>
      <c r="R19" s="114">
        <f t="shared" ca="1" si="10"/>
        <v>2</v>
      </c>
      <c r="S19" s="171">
        <f t="shared" ca="1" si="11"/>
        <v>8</v>
      </c>
      <c r="T19" s="178">
        <v>210300</v>
      </c>
      <c r="U19" s="164">
        <f t="shared" si="15"/>
        <v>6</v>
      </c>
      <c r="V19" s="177">
        <f t="shared" si="16"/>
        <v>30</v>
      </c>
      <c r="W19" s="252" t="str">
        <f t="shared" si="12"/>
        <v>일</v>
      </c>
      <c r="X19" s="128" t="str">
        <f>HLOOKUP(T19, 할인율!$C$1:$F$3,3,TRUE)</f>
        <v>PURE GOLD</v>
      </c>
      <c r="Y19" s="188">
        <f ca="1">INDEX(할인율!$C$4:$F$9,MATCH(Q19,할인율!$B$4:$B$9,1), MATCH(X19,할인율!$C$3:$F$3,0))</f>
        <v>0.25</v>
      </c>
      <c r="Z19" s="124">
        <f t="shared" ca="1" si="17"/>
        <v>4</v>
      </c>
      <c r="AA19" s="165">
        <f t="shared" ca="1" si="18"/>
        <v>30</v>
      </c>
      <c r="AI19" s="218"/>
      <c r="AJ19" s="208"/>
      <c r="AK19" s="27" t="s">
        <v>185</v>
      </c>
      <c r="AL19" s="59">
        <f>SUMIFS($T$2:$T$36,$X$2:$X$36,"="&amp;$AI$15,$L$2:$L$36,"="&amp;$AJ18,$W$2:$W$36,"="&amp;AL$2)</f>
        <v>0</v>
      </c>
      <c r="AM19" s="47">
        <f t="shared" ref="AM19:AR19" si="47">SUMIFS($T$2:$T$36,$X$2:$X$36,"="&amp;$AI$15,$L$2:$L$36,"="&amp;$AJ18,$W$2:$W$36,"="&amp;AM$2)</f>
        <v>55600</v>
      </c>
      <c r="AN19" s="47">
        <f t="shared" si="47"/>
        <v>46000</v>
      </c>
      <c r="AO19" s="47">
        <f t="shared" si="47"/>
        <v>0</v>
      </c>
      <c r="AP19" s="47">
        <f t="shared" si="47"/>
        <v>0</v>
      </c>
      <c r="AQ19" s="47">
        <f t="shared" si="47"/>
        <v>78300</v>
      </c>
      <c r="AR19" s="28">
        <f t="shared" si="47"/>
        <v>23000</v>
      </c>
      <c r="AX19" s="218"/>
      <c r="AY19" s="86" t="s">
        <v>191</v>
      </c>
      <c r="AZ19" s="90">
        <f ca="1">_xlfn.MAXIFS($Y$2:$Y$36,$W$2:$W$36,"="&amp;$AX$18,$L$2:$L$36,"="&amp;$AY19,$I$2:$I$36,"&gt;="&amp;$AZ$12,$I$2:$I$36,"&lt;"&amp;$BB$12)</f>
        <v>0</v>
      </c>
      <c r="BA19" s="95">
        <f ca="1">_xlfn.MINIFS($Y$2:$Y$36,$W$2:$W$36,"="&amp;$AX$18,$L$2:$L$36,"="&amp;$AY19,$I$2:$I$36,"&gt;="&amp;$AZ$12,$I$2:$I$36,"&lt;"&amp;$BB$12)</f>
        <v>0</v>
      </c>
      <c r="BB19" s="95">
        <f ca="1">_xlfn.MAXIFS($Y$2:$Y$36,$W$2:$W$36,"="&amp;$AX$18,$L$2:$L$36,"="&amp;$AY19,$I$2:$I$36,"&gt;="&amp;$BB$12,$I$2:$I$36,"&lt;"&amp;$BD$12)</f>
        <v>0.1</v>
      </c>
      <c r="BC19" s="95">
        <f ca="1">_xlfn.MINIFS($Y$2:$Y$36,$W$2:$W$36,"="&amp;$AX$18,$L$2:$L$36,"="&amp;$AY19,$I$2:$I$36,"&gt;="&amp;$BB$12,$I$2:$I$36,"&lt;"&amp;$BD$12)</f>
        <v>0</v>
      </c>
      <c r="BD19" s="95">
        <f ca="1">_xlfn.MAXIFS($Y$2:$Y$36,$W$2:$W$36,"="&amp;$AX$18,$L$2:$L$36,"="&amp;$AY19,$I$2:$I$36,"&gt;="&amp;$BD$12)</f>
        <v>0.2</v>
      </c>
      <c r="BE19" s="100">
        <f ca="1">_xlfn.MINIFS($Y$2:$Y$36,$W$2:$W$36,"="&amp;$AX$18,$L$2:$L$36,"="&amp;$AY19,$I$2:$I$36,"&gt;="&amp;$BD$12)</f>
        <v>0.2</v>
      </c>
    </row>
    <row r="20" spans="1:57" ht="17.100000000000001" customHeight="1" thickTop="1" thickBot="1" x14ac:dyDescent="0.35">
      <c r="A20" s="112" t="str">
        <f t="shared" si="0"/>
        <v>reuploadkim2-3258</v>
      </c>
      <c r="B20" s="121" t="s">
        <v>32</v>
      </c>
      <c r="C20" s="122" t="s">
        <v>94</v>
      </c>
      <c r="D20" s="114" t="str">
        <f t="shared" si="1"/>
        <v>880105-1******</v>
      </c>
      <c r="E20" s="119">
        <f t="shared" si="2"/>
        <v>32147</v>
      </c>
      <c r="F20" s="114">
        <f t="shared" si="3"/>
        <v>1988</v>
      </c>
      <c r="G20" s="114">
        <f t="shared" si="4"/>
        <v>1</v>
      </c>
      <c r="H20" s="114">
        <f t="shared" si="5"/>
        <v>5</v>
      </c>
      <c r="I20" s="114">
        <f t="shared" ca="1" si="6"/>
        <v>31</v>
      </c>
      <c r="J20" s="122">
        <f t="shared" ca="1" si="13"/>
        <v>32</v>
      </c>
      <c r="K20" s="184">
        <f t="shared" ca="1" si="14"/>
        <v>2</v>
      </c>
      <c r="L20" s="181" t="str">
        <f t="shared" si="7"/>
        <v>남</v>
      </c>
      <c r="M20" s="114">
        <f t="shared" ca="1" si="8"/>
        <v>11646</v>
      </c>
      <c r="N20" s="123" t="s">
        <v>59</v>
      </c>
      <c r="O20" s="124" t="s">
        <v>130</v>
      </c>
      <c r="P20" s="112">
        <v>40477</v>
      </c>
      <c r="Q20" s="114">
        <f t="shared" ca="1" si="9"/>
        <v>9</v>
      </c>
      <c r="R20" s="114">
        <f t="shared" ca="1" si="10"/>
        <v>0</v>
      </c>
      <c r="S20" s="171">
        <f t="shared" ca="1" si="11"/>
        <v>29</v>
      </c>
      <c r="T20" s="178">
        <v>68100</v>
      </c>
      <c r="U20" s="164">
        <f t="shared" si="15"/>
        <v>23</v>
      </c>
      <c r="V20" s="177">
        <f t="shared" si="16"/>
        <v>13</v>
      </c>
      <c r="W20" s="252" t="str">
        <f t="shared" si="12"/>
        <v>화</v>
      </c>
      <c r="X20" s="129" t="str">
        <f>HLOOKUP(T20, 할인율!$C$1:$F$3,3,TRUE)</f>
        <v>SILVER</v>
      </c>
      <c r="Y20" s="188">
        <f ca="1">INDEX(할인율!$C$4:$F$9,MATCH(Q20,할인율!$B$4:$B$9,1), MATCH(X20,할인율!$C$3:$F$3,0))</f>
        <v>0.08</v>
      </c>
      <c r="Z20" s="124">
        <f t="shared" ca="1" si="17"/>
        <v>23</v>
      </c>
      <c r="AA20" s="165">
        <f t="shared" ca="1" si="18"/>
        <v>10</v>
      </c>
      <c r="AI20" s="220"/>
      <c r="AJ20" s="212"/>
      <c r="AK20" s="34" t="s">
        <v>186</v>
      </c>
      <c r="AL20" s="60" t="str">
        <f>IFERROR(ROUND(AVERAGEIFS($Y$2:$Y$36,$X$2:$X$36,"="&amp;$AI$15,$L$2:$L$36,"="&amp;$AJ18,$W$2:$W$36,"="&amp;AL$2),2),"-")</f>
        <v>-</v>
      </c>
      <c r="AM20" s="35">
        <f t="shared" ref="AM20:AR20" ca="1" si="48">IFERROR(ROUND(AVERAGEIFS($Y$2:$Y$36,$X$2:$X$36,"="&amp;$AI$15,$L$2:$L$36,"="&amp;$AJ18,$W$2:$W$36,"="&amp;AM$2),2),"-")</f>
        <v>0.05</v>
      </c>
      <c r="AN20" s="35">
        <f t="shared" ca="1" si="48"/>
        <v>0.1</v>
      </c>
      <c r="AO20" s="35" t="str">
        <f t="shared" si="48"/>
        <v>-</v>
      </c>
      <c r="AP20" s="35" t="str">
        <f t="shared" si="48"/>
        <v>-</v>
      </c>
      <c r="AQ20" s="35">
        <f t="shared" ca="1" si="48"/>
        <v>0.05</v>
      </c>
      <c r="AR20" s="36">
        <f t="shared" ca="1" si="48"/>
        <v>0.08</v>
      </c>
      <c r="AX20" s="219" t="s">
        <v>199</v>
      </c>
      <c r="AY20" s="87" t="s">
        <v>190</v>
      </c>
      <c r="AZ20" s="97">
        <f ca="1">_xlfn.MAXIFS($Y$2:$Y$36,$W$2:$W$36,"="&amp;$AX$20,$L$2:$L$36,"="&amp;$AY20,$I$2:$I$36,"&gt;="&amp;$AZ$12,$I$2:$I$36,"&lt;"&amp;$BB$12)</f>
        <v>0</v>
      </c>
      <c r="BA20" s="98">
        <f ca="1">_xlfn.MINIFS($Y$2:$Y$36,$W$2:$W$36,"="&amp;$AX$20,$L$2:$L$36,"="&amp;$AY20,$I$2:$I$36,"&gt;="&amp;$AZ$12,$I$2:$I$36,"&lt;"&amp;$BB$12)</f>
        <v>0</v>
      </c>
      <c r="BB20" s="98">
        <f ca="1">_xlfn.MAXIFS($Y$2:$Y$36,$W$2:$W$36,"="&amp;$AX$20,$L$2:$L$36,"="&amp;$AY20,$I$2:$I$36,"&gt;="&amp;$BB$12,$I$2:$I$36,"&lt;"&amp;$BD$12)</f>
        <v>0.15</v>
      </c>
      <c r="BC20" s="98">
        <f ca="1">_xlfn.MINIFS($Y$2:$Y$36,$W$2:$W$36,"="&amp;$AX$20,$L$2:$L$36,"="&amp;$AY20,$I$2:$I$36,"&gt;="&amp;$BB$12,$I$2:$I$36,"&lt;"&amp;$BD$12)</f>
        <v>0.08</v>
      </c>
      <c r="BD20" s="98">
        <f ca="1">_xlfn.MAXIFS($Y$2:$Y$36,$W$2:$W$36,"="&amp;$AX$20,$L$2:$L$36,"="&amp;$AY20,$I$2:$I$36,"&gt;="&amp;$BD$12)</f>
        <v>0</v>
      </c>
      <c r="BE20" s="101">
        <f ca="1">_xlfn.MINIFS($Y$2:$Y$36,$W$2:$W$36,"="&amp;$AX$20,$L$2:$L$36,"="&amp;$AY20,$I$2:$I$36,"&gt;="&amp;$BD$12)</f>
        <v>0</v>
      </c>
    </row>
    <row r="21" spans="1:57" ht="17.100000000000001" customHeight="1" thickTop="1" thickBot="1" x14ac:dyDescent="0.35">
      <c r="A21" s="112" t="str">
        <f t="shared" si="0"/>
        <v>jjongmani-6521</v>
      </c>
      <c r="B21" s="121" t="s">
        <v>6</v>
      </c>
      <c r="C21" s="122" t="s">
        <v>95</v>
      </c>
      <c r="D21" s="114" t="str">
        <f t="shared" si="1"/>
        <v>720227-1******</v>
      </c>
      <c r="E21" s="119">
        <f t="shared" si="2"/>
        <v>26356</v>
      </c>
      <c r="F21" s="114">
        <f t="shared" si="3"/>
        <v>1972</v>
      </c>
      <c r="G21" s="114">
        <f t="shared" si="4"/>
        <v>2</v>
      </c>
      <c r="H21" s="114">
        <f t="shared" si="5"/>
        <v>27</v>
      </c>
      <c r="I21" s="114">
        <f t="shared" ca="1" si="6"/>
        <v>47</v>
      </c>
      <c r="J21" s="122">
        <f t="shared" ca="1" si="13"/>
        <v>3</v>
      </c>
      <c r="K21" s="184">
        <f t="shared" ca="1" si="14"/>
        <v>33</v>
      </c>
      <c r="L21" s="181" t="str">
        <f t="shared" si="7"/>
        <v>남</v>
      </c>
      <c r="M21" s="114">
        <f t="shared" ca="1" si="8"/>
        <v>17437</v>
      </c>
      <c r="N21" s="123" t="s">
        <v>60</v>
      </c>
      <c r="O21" s="124" t="s">
        <v>131</v>
      </c>
      <c r="P21" s="112">
        <v>36588</v>
      </c>
      <c r="Q21" s="114">
        <f t="shared" ca="1" si="9"/>
        <v>19</v>
      </c>
      <c r="R21" s="114">
        <f t="shared" ca="1" si="10"/>
        <v>8</v>
      </c>
      <c r="S21" s="171">
        <f t="shared" ca="1" si="11"/>
        <v>21</v>
      </c>
      <c r="T21" s="178">
        <v>16700</v>
      </c>
      <c r="U21" s="164">
        <f t="shared" si="15"/>
        <v>30</v>
      </c>
      <c r="V21" s="177">
        <f t="shared" si="16"/>
        <v>6</v>
      </c>
      <c r="W21" s="252" t="str">
        <f t="shared" si="12"/>
        <v>일</v>
      </c>
      <c r="X21" s="129" t="str">
        <f>HLOOKUP(T21, 할인율!$C$1:$F$3,3,TRUE)</f>
        <v>SILVER</v>
      </c>
      <c r="Y21" s="188">
        <f ca="1">INDEX(할인율!$C$4:$F$9,MATCH(Q21,할인율!$B$4:$B$9,1), MATCH(X21,할인율!$C$3:$F$3,0))</f>
        <v>0.13</v>
      </c>
      <c r="Z21" s="124">
        <f t="shared" ca="1" si="17"/>
        <v>20</v>
      </c>
      <c r="AA21" s="165">
        <f t="shared" ca="1" si="18"/>
        <v>16</v>
      </c>
      <c r="AI21" s="218" t="s">
        <v>173</v>
      </c>
      <c r="AJ21" s="208" t="s">
        <v>169</v>
      </c>
      <c r="AK21" s="37" t="s">
        <v>183</v>
      </c>
      <c r="AL21" s="64">
        <f>COUNTIFS($X$2:$X$36,"="&amp;$AI$21,$L$2:$L$36,"="&amp;$AJ21,$W$2:$W$36,"="&amp;AL$2)</f>
        <v>1</v>
      </c>
      <c r="AM21" s="38">
        <f t="shared" ref="AM21:AR21" si="49">COUNTIFS($X$2:$X$36,"="&amp;$AI$21,$L$2:$L$36,"="&amp;$AJ21,$W$2:$W$36,"="&amp;AM$2)</f>
        <v>0</v>
      </c>
      <c r="AN21" s="38">
        <f t="shared" si="49"/>
        <v>0</v>
      </c>
      <c r="AO21" s="38">
        <f t="shared" si="49"/>
        <v>0</v>
      </c>
      <c r="AP21" s="38">
        <f t="shared" si="49"/>
        <v>0</v>
      </c>
      <c r="AQ21" s="38">
        <f t="shared" si="49"/>
        <v>1</v>
      </c>
      <c r="AR21" s="37">
        <f t="shared" si="49"/>
        <v>0</v>
      </c>
      <c r="AX21" s="220"/>
      <c r="AY21" s="79" t="s">
        <v>191</v>
      </c>
      <c r="AZ21" s="91">
        <f ca="1">_xlfn.MAXIFS($Y$2:$Y$36,$W$2:$W$36,"="&amp;$AX$20,$L$2:$L$36,"="&amp;$AY21,$I$2:$I$36,"&gt;="&amp;$AZ$12,$I$2:$I$36,"&lt;"&amp;$BB$12)</f>
        <v>0</v>
      </c>
      <c r="BA21" s="99">
        <f ca="1">_xlfn.MINIFS($Y$2:$Y$36,$W$2:$W$36,"="&amp;$AX$20,$L$2:$L$36,"="&amp;$AY21,$I$2:$I$36,"&gt;="&amp;$AZ$12,$I$2:$I$36,"&lt;"&amp;$BB$12)</f>
        <v>0</v>
      </c>
      <c r="BB21" s="99">
        <f ca="1">_xlfn.MAXIFS($Y$2:$Y$36,$W$2:$W$36,"="&amp;$AX$20,$L$2:$L$36,"="&amp;$AY21,$I$2:$I$36,"&gt;="&amp;$BB$12,$I$2:$I$36,"&lt;"&amp;$BD$12)</f>
        <v>0.2</v>
      </c>
      <c r="BC21" s="99">
        <f ca="1">_xlfn.MINIFS($Y$2:$Y$36,$W$2:$W$36,"="&amp;$AX$20,$L$2:$L$36,"="&amp;$AY21,$I$2:$I$36,"&gt;="&amp;$BB$12,$I$2:$I$36,"&lt;"&amp;$BD$12)</f>
        <v>0.2</v>
      </c>
      <c r="BD21" s="99">
        <f ca="1">_xlfn.MAXIFS($Y$2:$Y$36,$W$2:$W$36,"="&amp;$AX$20,$L$2:$L$36,"="&amp;$AY21,$I$2:$I$36,"&gt;="&amp;$BD$12)</f>
        <v>0</v>
      </c>
      <c r="BE21" s="102">
        <f ca="1">_xlfn.MINIFS($Y$2:$Y$36,$W$2:$W$36,"="&amp;$AX$20,$L$2:$L$36,"="&amp;$AY21,$I$2:$I$36,"&gt;="&amp;$BD$12)</f>
        <v>0</v>
      </c>
    </row>
    <row r="22" spans="1:57" ht="17.100000000000001" customHeight="1" thickTop="1" x14ac:dyDescent="0.3">
      <c r="A22" s="112" t="str">
        <f t="shared" si="0"/>
        <v>eachother-4532</v>
      </c>
      <c r="B22" s="121" t="s">
        <v>7</v>
      </c>
      <c r="C22" s="122" t="s">
        <v>96</v>
      </c>
      <c r="D22" s="114" t="str">
        <f t="shared" si="1"/>
        <v>830925-1******</v>
      </c>
      <c r="E22" s="119">
        <f t="shared" si="2"/>
        <v>30584</v>
      </c>
      <c r="F22" s="114">
        <f t="shared" si="3"/>
        <v>1983</v>
      </c>
      <c r="G22" s="114">
        <f t="shared" si="4"/>
        <v>9</v>
      </c>
      <c r="H22" s="114">
        <f t="shared" si="5"/>
        <v>25</v>
      </c>
      <c r="I22" s="114">
        <f t="shared" ca="1" si="6"/>
        <v>36</v>
      </c>
      <c r="J22" s="122">
        <f t="shared" ca="1" si="13"/>
        <v>22</v>
      </c>
      <c r="K22" s="184">
        <f t="shared" ca="1" si="14"/>
        <v>13</v>
      </c>
      <c r="L22" s="181" t="str">
        <f t="shared" si="7"/>
        <v>남</v>
      </c>
      <c r="M22" s="114">
        <f t="shared" ca="1" si="8"/>
        <v>13209</v>
      </c>
      <c r="N22" s="123" t="s">
        <v>62</v>
      </c>
      <c r="O22" s="124" t="s">
        <v>132</v>
      </c>
      <c r="P22" s="112">
        <v>43434</v>
      </c>
      <c r="Q22" s="114">
        <f t="shared" ca="1" si="9"/>
        <v>0</v>
      </c>
      <c r="R22" s="114">
        <f t="shared" ca="1" si="10"/>
        <v>11</v>
      </c>
      <c r="S22" s="171">
        <f t="shared" ca="1" si="11"/>
        <v>25</v>
      </c>
      <c r="T22" s="178">
        <v>9200</v>
      </c>
      <c r="U22" s="164">
        <f t="shared" si="15"/>
        <v>31</v>
      </c>
      <c r="V22" s="177">
        <f t="shared" si="16"/>
        <v>5</v>
      </c>
      <c r="W22" s="252" t="str">
        <f t="shared" si="12"/>
        <v>일</v>
      </c>
      <c r="X22" s="125" t="str">
        <f>HLOOKUP(T22, 할인율!$C$1:$F$3,3,TRUE)</f>
        <v>BRONZE</v>
      </c>
      <c r="Y22" s="188">
        <f ca="1">INDEX(할인율!$C$4:$F$9,MATCH(Q22,할인율!$B$4:$B$9,1), MATCH(X22,할인율!$C$3:$F$3,0))</f>
        <v>0</v>
      </c>
      <c r="Z22" s="124">
        <f t="shared" ca="1" si="17"/>
        <v>33</v>
      </c>
      <c r="AA22" s="165">
        <f t="shared" ca="1" si="18"/>
        <v>1</v>
      </c>
      <c r="AI22" s="218"/>
      <c r="AJ22" s="208"/>
      <c r="AK22" s="27" t="s">
        <v>185</v>
      </c>
      <c r="AL22" s="59">
        <f>SUMIFS($T$2:$T$36,$X$2:$X$36,"="&amp;$AI$21,$L$2:$L$36,"="&amp;$AJ21,$W$2:$W$36,"="&amp;AL$2)</f>
        <v>9200</v>
      </c>
      <c r="AM22" s="47">
        <f t="shared" ref="AM22:AR22" si="50">SUMIFS($T$2:$T$36,$X$2:$X$36,"="&amp;$AI$21,$L$2:$L$36,"="&amp;$AJ21,$W$2:$W$36,"="&amp;AM$2)</f>
        <v>0</v>
      </c>
      <c r="AN22" s="47">
        <f t="shared" si="50"/>
        <v>0</v>
      </c>
      <c r="AO22" s="47">
        <f t="shared" si="50"/>
        <v>0</v>
      </c>
      <c r="AP22" s="47">
        <f t="shared" si="50"/>
        <v>0</v>
      </c>
      <c r="AQ22" s="47">
        <f t="shared" si="50"/>
        <v>400</v>
      </c>
      <c r="AR22" s="28">
        <f t="shared" si="50"/>
        <v>0</v>
      </c>
      <c r="AX22" s="218" t="s">
        <v>200</v>
      </c>
      <c r="AY22" s="72" t="s">
        <v>190</v>
      </c>
      <c r="AZ22" s="88">
        <f ca="1">_xlfn.MAXIFS($Y$2:$Y$36,$W$2:$W$36,"="&amp;$AX$22,$L$2:$L$36,"="&amp;$AY22,$I$2:$I$36,"&gt;="&amp;$AZ$12,$I$2:$I$36,"&lt;"&amp;$BB$12)</f>
        <v>0</v>
      </c>
      <c r="BA22" s="71">
        <f ca="1">_xlfn.MINIFS($Y$2:$Y$36,$W$2:$W$36,"="&amp;$AX$22,$L$2:$L$36,"="&amp;$AY22,$I$2:$I$36,"&gt;="&amp;$AZ$12,$I$2:$I$36,"&lt;"&amp;$BB$12)</f>
        <v>0</v>
      </c>
      <c r="BB22" s="71">
        <f ca="1">_xlfn.MAXIFS($Y$2:$Y$36,$W$2:$W$36,"="&amp;$AX$22,$L$2:$L$36,"="&amp;$AY22,$I$2:$I$36,"&gt;="&amp;$BB$12,$I$2:$I$36,"&lt;"&amp;$BD$12)</f>
        <v>0</v>
      </c>
      <c r="BC22" s="71">
        <f ca="1">_xlfn.MINIFS($Y$2:$Y$36,$W$2:$W$36,"="&amp;$AX$22,$L$2:$L$36,"="&amp;$AY22,$I$2:$I$36,"&gt;="&amp;$BB$12,$I$2:$I$36,"&lt;"&amp;$BD$12)</f>
        <v>0</v>
      </c>
      <c r="BD22" s="71">
        <f ca="1">_xlfn.MAXIFS($Y$2:$Y$36,$W$2:$W$36,"="&amp;$AX$22,$L$2:$L$36,"="&amp;$AY22,$I$2:$I$36,"&gt;="&amp;$BD$12)</f>
        <v>0.23</v>
      </c>
      <c r="BE22" s="103">
        <f ca="1">_xlfn.MINIFS($Y$2:$Y$36,$W$2:$W$36,"="&amp;$AX$22,$L$2:$L$36,"="&amp;$AY22,$I$2:$I$36,"&gt;="&amp;$BD$12)</f>
        <v>0.03</v>
      </c>
    </row>
    <row r="23" spans="1:57" ht="17.100000000000001" customHeight="1" thickBot="1" x14ac:dyDescent="0.35">
      <c r="A23" s="112" t="str">
        <f t="shared" si="0"/>
        <v>victorymink-1347</v>
      </c>
      <c r="B23" s="121" t="s">
        <v>33</v>
      </c>
      <c r="C23" s="122" t="s">
        <v>97</v>
      </c>
      <c r="D23" s="114" t="str">
        <f t="shared" si="1"/>
        <v>750815-1******</v>
      </c>
      <c r="E23" s="119">
        <f t="shared" si="2"/>
        <v>27621</v>
      </c>
      <c r="F23" s="114">
        <f t="shared" si="3"/>
        <v>1975</v>
      </c>
      <c r="G23" s="114">
        <f t="shared" si="4"/>
        <v>8</v>
      </c>
      <c r="H23" s="114">
        <f t="shared" si="5"/>
        <v>15</v>
      </c>
      <c r="I23" s="114">
        <f t="shared" ca="1" si="6"/>
        <v>44</v>
      </c>
      <c r="J23" s="122">
        <f t="shared" ca="1" si="13"/>
        <v>7</v>
      </c>
      <c r="K23" s="184">
        <f t="shared" ca="1" si="14"/>
        <v>26</v>
      </c>
      <c r="L23" s="181" t="str">
        <f t="shared" si="7"/>
        <v>남</v>
      </c>
      <c r="M23" s="114">
        <f t="shared" ca="1" si="8"/>
        <v>16172</v>
      </c>
      <c r="N23" s="123" t="s">
        <v>61</v>
      </c>
      <c r="O23" s="124" t="s">
        <v>133</v>
      </c>
      <c r="P23" s="112">
        <v>42550</v>
      </c>
      <c r="Q23" s="114">
        <f t="shared" ca="1" si="9"/>
        <v>3</v>
      </c>
      <c r="R23" s="114">
        <f t="shared" ca="1" si="10"/>
        <v>4</v>
      </c>
      <c r="S23" s="171">
        <f t="shared" ca="1" si="11"/>
        <v>26</v>
      </c>
      <c r="T23" s="178">
        <v>32100</v>
      </c>
      <c r="U23" s="164">
        <f t="shared" si="15"/>
        <v>27</v>
      </c>
      <c r="V23" s="177">
        <f t="shared" si="16"/>
        <v>9</v>
      </c>
      <c r="W23" s="252" t="str">
        <f t="shared" si="12"/>
        <v>금</v>
      </c>
      <c r="X23" s="129" t="str">
        <f>HLOOKUP(T23, 할인율!$C$1:$F$3,3,TRUE)</f>
        <v>SILVER</v>
      </c>
      <c r="Y23" s="188">
        <f ca="1">INDEX(할인율!$C$4:$F$9,MATCH(Q23,할인율!$B$4:$B$9,1), MATCH(X23,할인율!$C$3:$F$3,0))</f>
        <v>0.05</v>
      </c>
      <c r="Z23" s="124">
        <f t="shared" ca="1" si="17"/>
        <v>27</v>
      </c>
      <c r="AA23" s="165">
        <f t="shared" ca="1" si="18"/>
        <v>7</v>
      </c>
      <c r="AI23" s="218"/>
      <c r="AJ23" s="209"/>
      <c r="AK23" s="29" t="s">
        <v>186</v>
      </c>
      <c r="AL23" s="63">
        <f ca="1">IFERROR(ROUND(AVERAGEIFS($Y$2:$Y$36,$X$2:$X$36,"="&amp;$AI$21,$L$2:$L$36,"="&amp;$AJ21,$W$2:$W$36,"="&amp;AL$2),2),"-")</f>
        <v>0</v>
      </c>
      <c r="AM23" s="30" t="str">
        <f t="shared" ref="AM23:AR23" si="51">IFERROR(ROUND(AVERAGEIFS($Y$2:$Y$36,$X$2:$X$36,"="&amp;$AI$21,$L$2:$L$36,"="&amp;$AJ21,$W$2:$W$36,"="&amp;AM$2),2),"-")</f>
        <v>-</v>
      </c>
      <c r="AN23" s="30" t="str">
        <f t="shared" si="51"/>
        <v>-</v>
      </c>
      <c r="AO23" s="30" t="str">
        <f t="shared" si="51"/>
        <v>-</v>
      </c>
      <c r="AP23" s="30" t="str">
        <f t="shared" si="51"/>
        <v>-</v>
      </c>
      <c r="AQ23" s="30">
        <f t="shared" ca="1" si="51"/>
        <v>0</v>
      </c>
      <c r="AR23" s="31" t="str">
        <f t="shared" si="51"/>
        <v>-</v>
      </c>
      <c r="AX23" s="218"/>
      <c r="AY23" s="86" t="s">
        <v>191</v>
      </c>
      <c r="AZ23" s="90">
        <f ca="1">_xlfn.MAXIFS($Y$2:$Y$36,$W$2:$W$36,"="&amp;$AX$22,$L$2:$L$36,"="&amp;$AY23,$I$2:$I$36,"&gt;="&amp;$AZ$12,$I$2:$I$36,"&lt;"&amp;$BB$12)</f>
        <v>0</v>
      </c>
      <c r="BA23" s="95">
        <f ca="1">_xlfn.MINIFS($Y$2:$Y$36,$W$2:$W$36,"="&amp;$AX$22,$L$2:$L$36,"="&amp;$AY23,$I$2:$I$36,"&gt;="&amp;$AZ$12,$I$2:$I$36,"&lt;"&amp;$BB$12)</f>
        <v>0</v>
      </c>
      <c r="BB23" s="95">
        <f ca="1">_xlfn.MAXIFS($Y$2:$Y$36,$W$2:$W$36,"="&amp;$AX$22,$L$2:$L$36,"="&amp;$AY23,$I$2:$I$36,"&gt;="&amp;$BB$12,$I$2:$I$36,"&lt;"&amp;$BD$12)</f>
        <v>0.2</v>
      </c>
      <c r="BC23" s="95">
        <f ca="1">_xlfn.MINIFS($Y$2:$Y$36,$W$2:$W$36,"="&amp;$AX$22,$L$2:$L$36,"="&amp;$AY23,$I$2:$I$36,"&gt;="&amp;$BB$12,$I$2:$I$36,"&lt;"&amp;$BD$12)</f>
        <v>0.2</v>
      </c>
      <c r="BD23" s="95">
        <f ca="1">_xlfn.MAXIFS($Y$2:$Y$36,$W$2:$W$36,"="&amp;$AX$22,$L$2:$L$36,"="&amp;$AY23,$I$2:$I$36,"&gt;="&amp;$BD$12)</f>
        <v>0.15</v>
      </c>
      <c r="BE23" s="100">
        <f ca="1">_xlfn.MINIFS($Y$2:$Y$36,$W$2:$W$36,"="&amp;$AX$22,$L$2:$L$36,"="&amp;$AY23,$I$2:$I$36,"&gt;="&amp;$BD$12)</f>
        <v>0.15</v>
      </c>
    </row>
    <row r="24" spans="1:57" ht="17.100000000000001" customHeight="1" thickTop="1" x14ac:dyDescent="0.3">
      <c r="A24" s="112" t="str">
        <f t="shared" si="0"/>
        <v>yeslee84-4866</v>
      </c>
      <c r="B24" s="121" t="s">
        <v>34</v>
      </c>
      <c r="C24" s="122" t="s">
        <v>98</v>
      </c>
      <c r="D24" s="114" t="str">
        <f t="shared" si="1"/>
        <v>840628-2******</v>
      </c>
      <c r="E24" s="119">
        <f t="shared" si="2"/>
        <v>30861</v>
      </c>
      <c r="F24" s="114">
        <f t="shared" si="3"/>
        <v>1984</v>
      </c>
      <c r="G24" s="114">
        <f t="shared" si="4"/>
        <v>6</v>
      </c>
      <c r="H24" s="114">
        <f t="shared" si="5"/>
        <v>28</v>
      </c>
      <c r="I24" s="114">
        <f t="shared" ca="1" si="6"/>
        <v>35</v>
      </c>
      <c r="J24" s="122">
        <f t="shared" ca="1" si="13"/>
        <v>24</v>
      </c>
      <c r="K24" s="184">
        <f t="shared" ca="1" si="14"/>
        <v>10</v>
      </c>
      <c r="L24" s="181" t="str">
        <f t="shared" si="7"/>
        <v>여</v>
      </c>
      <c r="M24" s="114">
        <f t="shared" ca="1" si="8"/>
        <v>12932</v>
      </c>
      <c r="N24" s="123" t="s">
        <v>63</v>
      </c>
      <c r="O24" s="124" t="s">
        <v>134</v>
      </c>
      <c r="P24" s="112">
        <v>38491</v>
      </c>
      <c r="Q24" s="114">
        <f t="shared" ca="1" si="9"/>
        <v>14</v>
      </c>
      <c r="R24" s="114">
        <f t="shared" ca="1" si="10"/>
        <v>6</v>
      </c>
      <c r="S24" s="171">
        <f t="shared" ca="1" si="11"/>
        <v>5</v>
      </c>
      <c r="T24" s="178">
        <v>142000</v>
      </c>
      <c r="U24" s="164">
        <f t="shared" si="15"/>
        <v>16</v>
      </c>
      <c r="V24" s="177">
        <f t="shared" si="16"/>
        <v>20</v>
      </c>
      <c r="W24" s="252" t="str">
        <f t="shared" si="12"/>
        <v>목</v>
      </c>
      <c r="X24" s="127" t="str">
        <f>HLOOKUP(T24, 할인율!$C$1:$F$3,3,TRUE)</f>
        <v>GOLD</v>
      </c>
      <c r="Y24" s="188">
        <f ca="1">INDEX(할인율!$C$4:$F$9,MATCH(Q24,할인율!$B$4:$B$9,1), MATCH(X24,할인율!$C$3:$F$3,0))</f>
        <v>0.2</v>
      </c>
      <c r="Z24" s="124">
        <f t="shared" ca="1" si="17"/>
        <v>8</v>
      </c>
      <c r="AA24" s="165">
        <f t="shared" ca="1" si="18"/>
        <v>22</v>
      </c>
      <c r="AI24" s="218"/>
      <c r="AJ24" s="210" t="s">
        <v>170</v>
      </c>
      <c r="AK24" s="32" t="s">
        <v>183</v>
      </c>
      <c r="AL24" s="58">
        <f>COUNTIFS($X$2:$X$36,"="&amp;$AI$21,$L$2:$L$36,"="&amp;$AJ24,$W$2:$W$36,"="&amp;AL$2)</f>
        <v>0</v>
      </c>
      <c r="AM24" s="33">
        <f t="shared" ref="AM24:AR24" si="52">COUNTIFS($X$2:$X$36,"="&amp;$AI$21,$L$2:$L$36,"="&amp;$AJ24,$W$2:$W$36,"="&amp;AM$2)</f>
        <v>1</v>
      </c>
      <c r="AN24" s="33">
        <f t="shared" si="52"/>
        <v>1</v>
      </c>
      <c r="AO24" s="33">
        <f t="shared" si="52"/>
        <v>0</v>
      </c>
      <c r="AP24" s="33">
        <f t="shared" si="52"/>
        <v>0</v>
      </c>
      <c r="AQ24" s="33">
        <f t="shared" si="52"/>
        <v>0</v>
      </c>
      <c r="AR24" s="32">
        <f t="shared" si="52"/>
        <v>1</v>
      </c>
      <c r="AX24" s="219" t="s">
        <v>201</v>
      </c>
      <c r="AY24" s="87" t="s">
        <v>190</v>
      </c>
      <c r="AZ24" s="97">
        <f ca="1">_xlfn.MAXIFS($Y$2:$Y$36,$W$2:$W$36,"="&amp;$AX$24,$L$2:$L$36,"="&amp;$AY24,$I$2:$I$36,"&gt;="&amp;$AZ$12,$I$2:$I$36,"&lt;"&amp;$BB$12)</f>
        <v>0</v>
      </c>
      <c r="BA24" s="98">
        <f ca="1">_xlfn.MINIFS($Y$2:$Y$36,$W$2:$W$36,"="&amp;$AX$24,$L$2:$L$36,"="&amp;$AY24,$I$2:$I$36,"&gt;="&amp;$AZ$12,$I$2:$I$36,"&lt;"&amp;$BB$12)</f>
        <v>0</v>
      </c>
      <c r="BB24" s="98">
        <f ca="1">_xlfn.MAXIFS($Y$2:$Y$36,$W$2:$W$36,"="&amp;$AX$24,$L$2:$L$36,"="&amp;$AY24,$I$2:$I$36,"&gt;="&amp;$BB$12,$I$2:$I$36,"&lt;"&amp;$BD$12)</f>
        <v>0.2</v>
      </c>
      <c r="BC24" s="98">
        <f ca="1">_xlfn.MINIFS($Y$2:$Y$36,$W$2:$W$36,"="&amp;$AX$24,$L$2:$L$36,"="&amp;$AY24,$I$2:$I$36,"&gt;="&amp;$BB$12,$I$2:$I$36,"&lt;"&amp;$BD$12)</f>
        <v>0.2</v>
      </c>
      <c r="BD24" s="98">
        <f ca="1">_xlfn.MAXIFS($Y$2:$Y$36,$W$2:$W$36,"="&amp;$AX$24,$L$2:$L$36,"="&amp;$AY24,$I$2:$I$36,"&gt;="&amp;$BD$12)</f>
        <v>0.3</v>
      </c>
      <c r="BE24" s="101">
        <f ca="1">_xlfn.MINIFS($Y$2:$Y$36,$W$2:$W$36,"="&amp;$AX$24,$L$2:$L$36,"="&amp;$AY24,$I$2:$I$36,"&gt;="&amp;$BD$12)</f>
        <v>0.05</v>
      </c>
    </row>
    <row r="25" spans="1:57" ht="17.100000000000001" customHeight="1" thickBot="1" x14ac:dyDescent="0.35">
      <c r="A25" s="112" t="str">
        <f t="shared" si="0"/>
        <v>jiyoungida-9762</v>
      </c>
      <c r="B25" s="121" t="s">
        <v>35</v>
      </c>
      <c r="C25" s="122" t="s">
        <v>99</v>
      </c>
      <c r="D25" s="114" t="str">
        <f t="shared" si="1"/>
        <v>870203-2******</v>
      </c>
      <c r="E25" s="119">
        <f t="shared" si="2"/>
        <v>31811</v>
      </c>
      <c r="F25" s="114">
        <f t="shared" si="3"/>
        <v>1987</v>
      </c>
      <c r="G25" s="114">
        <f t="shared" si="4"/>
        <v>2</v>
      </c>
      <c r="H25" s="114">
        <f t="shared" si="5"/>
        <v>3</v>
      </c>
      <c r="I25" s="114">
        <f t="shared" ca="1" si="6"/>
        <v>32</v>
      </c>
      <c r="J25" s="122">
        <f t="shared" ca="1" si="13"/>
        <v>30</v>
      </c>
      <c r="K25" s="184">
        <f t="shared" ca="1" si="14"/>
        <v>5</v>
      </c>
      <c r="L25" s="181" t="str">
        <f t="shared" si="7"/>
        <v>여</v>
      </c>
      <c r="M25" s="114">
        <f t="shared" ca="1" si="8"/>
        <v>11982</v>
      </c>
      <c r="N25" s="123" t="s">
        <v>64</v>
      </c>
      <c r="O25" s="124" t="s">
        <v>135</v>
      </c>
      <c r="P25" s="112">
        <v>42273</v>
      </c>
      <c r="Q25" s="114">
        <f t="shared" ca="1" si="9"/>
        <v>4</v>
      </c>
      <c r="R25" s="114">
        <f t="shared" ca="1" si="10"/>
        <v>1</v>
      </c>
      <c r="S25" s="171">
        <f t="shared" ca="1" si="11"/>
        <v>29</v>
      </c>
      <c r="T25" s="178">
        <v>100500</v>
      </c>
      <c r="U25" s="164">
        <f t="shared" si="15"/>
        <v>20</v>
      </c>
      <c r="V25" s="177">
        <f t="shared" si="16"/>
        <v>16</v>
      </c>
      <c r="W25" s="252" t="str">
        <f t="shared" si="12"/>
        <v>화</v>
      </c>
      <c r="X25" s="127" t="str">
        <f>HLOOKUP(T25, 할인율!$C$1:$F$3,3,TRUE)</f>
        <v>GOLD</v>
      </c>
      <c r="Y25" s="188">
        <f ca="1">INDEX(할인율!$C$4:$F$9,MATCH(Q25,할인율!$B$4:$B$9,1), MATCH(X25,할인율!$C$3:$F$3,0))</f>
        <v>0.1</v>
      </c>
      <c r="Z25" s="124">
        <f t="shared" ca="1" si="17"/>
        <v>21</v>
      </c>
      <c r="AA25" s="165">
        <f t="shared" ca="1" si="18"/>
        <v>14</v>
      </c>
      <c r="AI25" s="218"/>
      <c r="AJ25" s="208"/>
      <c r="AK25" s="27" t="s">
        <v>185</v>
      </c>
      <c r="AL25" s="59">
        <f>SUMIFS($T$2:$T$36,$X$2:$X$36,"="&amp;$AI$21,$L$2:$L$36,"="&amp;$AJ24,$W$2:$W$36,"="&amp;AL$2)</f>
        <v>0</v>
      </c>
      <c r="AM25" s="47">
        <f t="shared" ref="AM25:AR25" si="53">SUMIFS($T$2:$T$36,$X$2:$X$36,"="&amp;$AI$21,$L$2:$L$36,"="&amp;$AJ24,$W$2:$W$36,"="&amp;AM$2)</f>
        <v>3700</v>
      </c>
      <c r="AN25" s="47">
        <f t="shared" si="53"/>
        <v>2400</v>
      </c>
      <c r="AO25" s="47">
        <f t="shared" si="53"/>
        <v>0</v>
      </c>
      <c r="AP25" s="47">
        <f t="shared" si="53"/>
        <v>0</v>
      </c>
      <c r="AQ25" s="47">
        <f t="shared" si="53"/>
        <v>0</v>
      </c>
      <c r="AR25" s="28">
        <f t="shared" si="53"/>
        <v>6500</v>
      </c>
      <c r="AX25" s="220"/>
      <c r="AY25" s="79" t="s">
        <v>191</v>
      </c>
      <c r="AZ25" s="91">
        <f ca="1">_xlfn.MAXIFS($Y$2:$Y$36,$W$2:$W$36,"="&amp;$AX$24,$L$2:$L$36,"="&amp;$AY25,$I$2:$I$36,"&gt;="&amp;$AZ$12,$I$2:$I$36,"&lt;"&amp;$BB$12)</f>
        <v>0</v>
      </c>
      <c r="BA25" s="99">
        <f ca="1">_xlfn.MINIFS($Y$2:$Y$36,$W$2:$W$36,"="&amp;$AX$24,$L$2:$L$36,"="&amp;$AY25,$I$2:$I$36,"&gt;="&amp;$AZ$12,$I$2:$I$36,"&lt;"&amp;$BB$12)</f>
        <v>0</v>
      </c>
      <c r="BB25" s="99">
        <f ca="1">_xlfn.MAXIFS($Y$2:$Y$36,$W$2:$W$36,"="&amp;$AX$24,$L$2:$L$36,"="&amp;$AY25,$I$2:$I$36,"&gt;="&amp;$BB$12,$I$2:$I$36,"&lt;"&amp;$BD$12)</f>
        <v>0.05</v>
      </c>
      <c r="BC25" s="99">
        <f ca="1">_xlfn.MINIFS($Y$2:$Y$36,$W$2:$W$36,"="&amp;$AX$24,$L$2:$L$36,"="&amp;$AY25,$I$2:$I$36,"&gt;="&amp;$BB$12,$I$2:$I$36,"&lt;"&amp;$BD$12)</f>
        <v>0.05</v>
      </c>
      <c r="BD25" s="99">
        <f ca="1">_xlfn.MAXIFS($Y$2:$Y$36,$W$2:$W$36,"="&amp;$AX$24,$L$2:$L$36,"="&amp;$AY25,$I$2:$I$36,"&gt;="&amp;$BD$12)</f>
        <v>0.3</v>
      </c>
      <c r="BE25" s="102">
        <f ca="1">_xlfn.MINIFS($Y$2:$Y$36,$W$2:$W$36,"="&amp;$AX$24,$L$2:$L$36,"="&amp;$AY25,$I$2:$I$36,"&gt;="&amp;$BD$12)</f>
        <v>0.3</v>
      </c>
    </row>
    <row r="26" spans="1:57" ht="17.100000000000001" customHeight="1" thickTop="1" thickBot="1" x14ac:dyDescent="0.35">
      <c r="A26" s="112" t="str">
        <f t="shared" si="0"/>
        <v>okteajinok-1235</v>
      </c>
      <c r="B26" s="121" t="s">
        <v>37</v>
      </c>
      <c r="C26" s="122" t="s">
        <v>100</v>
      </c>
      <c r="D26" s="114" t="str">
        <f t="shared" si="1"/>
        <v>790416-1******</v>
      </c>
      <c r="E26" s="119">
        <f t="shared" si="2"/>
        <v>28961</v>
      </c>
      <c r="F26" s="114">
        <f t="shared" si="3"/>
        <v>1979</v>
      </c>
      <c r="G26" s="114">
        <f t="shared" si="4"/>
        <v>4</v>
      </c>
      <c r="H26" s="114">
        <f t="shared" si="5"/>
        <v>16</v>
      </c>
      <c r="I26" s="114">
        <f t="shared" ca="1" si="6"/>
        <v>40</v>
      </c>
      <c r="J26" s="122">
        <f t="shared" ca="1" si="13"/>
        <v>13</v>
      </c>
      <c r="K26" s="184">
        <f t="shared" ca="1" si="14"/>
        <v>21</v>
      </c>
      <c r="L26" s="181" t="str">
        <f t="shared" si="7"/>
        <v>남</v>
      </c>
      <c r="M26" s="114">
        <f t="shared" ca="1" si="8"/>
        <v>14832</v>
      </c>
      <c r="N26" s="123" t="s">
        <v>65</v>
      </c>
      <c r="O26" s="124" t="s">
        <v>136</v>
      </c>
      <c r="P26" s="112">
        <v>41246</v>
      </c>
      <c r="Q26" s="114">
        <f t="shared" ca="1" si="9"/>
        <v>6</v>
      </c>
      <c r="R26" s="114">
        <f t="shared" ca="1" si="10"/>
        <v>11</v>
      </c>
      <c r="S26" s="171">
        <f t="shared" ca="1" si="11"/>
        <v>21</v>
      </c>
      <c r="T26" s="178">
        <v>17300</v>
      </c>
      <c r="U26" s="164">
        <f t="shared" si="15"/>
        <v>29</v>
      </c>
      <c r="V26" s="177">
        <f t="shared" si="16"/>
        <v>7</v>
      </c>
      <c r="W26" s="252" t="str">
        <f t="shared" si="12"/>
        <v>월</v>
      </c>
      <c r="X26" s="129" t="str">
        <f>HLOOKUP(T26, 할인율!$C$1:$F$3,3,TRUE)</f>
        <v>SILVER</v>
      </c>
      <c r="Y26" s="188">
        <f ca="1">INDEX(할인율!$C$4:$F$9,MATCH(Q26,할인율!$B$4:$B$9,1), MATCH(X26,할인율!$C$3:$F$3,0))</f>
        <v>0.08</v>
      </c>
      <c r="Z26" s="124">
        <f t="shared" ca="1" si="17"/>
        <v>23</v>
      </c>
      <c r="AA26" s="165">
        <f t="shared" ca="1" si="18"/>
        <v>10</v>
      </c>
      <c r="AI26" s="221"/>
      <c r="AJ26" s="211"/>
      <c r="AK26" s="39" t="s">
        <v>186</v>
      </c>
      <c r="AL26" s="61" t="str">
        <f>IFERROR(ROUND(AVERAGEIFS($Y$2:$Y$36,$X$2:$X$36,"="&amp;$AI$21,$L$2:$L$36,"="&amp;$AJ24,$W$2:$W$36,"="&amp;AL$2),2),"-")</f>
        <v>-</v>
      </c>
      <c r="AM26" s="40">
        <f t="shared" ref="AM26:AR26" ca="1" si="54">IFERROR(ROUND(AVERAGEIFS($Y$2:$Y$36,$X$2:$X$36,"="&amp;$AI$21,$L$2:$L$36,"="&amp;$AJ24,$W$2:$W$36,"="&amp;AM$2),2),"-")</f>
        <v>0.04</v>
      </c>
      <c r="AN26" s="40">
        <f t="shared" ca="1" si="54"/>
        <v>0</v>
      </c>
      <c r="AO26" s="40" t="str">
        <f t="shared" si="54"/>
        <v>-</v>
      </c>
      <c r="AP26" s="40" t="str">
        <f t="shared" si="54"/>
        <v>-</v>
      </c>
      <c r="AQ26" s="40" t="str">
        <f t="shared" si="54"/>
        <v>-</v>
      </c>
      <c r="AR26" s="41">
        <f t="shared" ca="1" si="54"/>
        <v>0.02</v>
      </c>
      <c r="AX26" s="218" t="s">
        <v>202</v>
      </c>
      <c r="AY26" s="72" t="s">
        <v>190</v>
      </c>
      <c r="AZ26" s="88">
        <f ca="1">_xlfn.MAXIFS($Y$2:$Y$36,$W$2:$W$36,"="&amp;$AX$26,$L$2:$L$36,"="&amp;$AY26,$I$2:$I$36,"&gt;="&amp;$AZ$12,$I$2:$I$36,"&lt;"&amp;$BB$12)</f>
        <v>0</v>
      </c>
      <c r="BA26" s="71">
        <f ca="1">_xlfn.MINIFS($Y$2:$Y$36,$W$2:$W$36,"="&amp;$AX$26,$L$2:$L$36,"="&amp;$AY26,$I$2:$I$36,"&gt;="&amp;$AZ$12,$I$2:$I$36,"&lt;"&amp;$BB$12)</f>
        <v>0</v>
      </c>
      <c r="BB26" s="71">
        <f ca="1">_xlfn.MAXIFS($Y$2:$Y$36,$W$2:$W$36,"="&amp;$AX$26,$L$2:$L$36,"="&amp;$AY26,$I$2:$I$36,"&gt;="&amp;$BB$12,$I$2:$I$36,"&lt;"&amp;$BD$12)</f>
        <v>0.2</v>
      </c>
      <c r="BC26" s="71">
        <f ca="1">_xlfn.MINIFS($Y$2:$Y$36,$W$2:$W$36,"="&amp;$AX$26,$L$2:$L$36,"="&amp;$AY26,$I$2:$I$36,"&gt;="&amp;$BB$12,$I$2:$I$36,"&lt;"&amp;$BD$12)</f>
        <v>0.2</v>
      </c>
      <c r="BD26" s="71">
        <f ca="1">_xlfn.MAXIFS($Y$2:$Y$36,$W$2:$W$36,"="&amp;$AX$26,$L$2:$L$36,"="&amp;$AY26,$I$2:$I$36,"&gt;="&amp;$BD$12)</f>
        <v>0.2</v>
      </c>
      <c r="BE26" s="103">
        <f ca="1">_xlfn.MINIFS($Y$2:$Y$36,$W$2:$W$36,"="&amp;$AX$26,$L$2:$L$36,"="&amp;$AY26,$I$2:$I$36,"&gt;="&amp;$BD$12)</f>
        <v>0.2</v>
      </c>
    </row>
    <row r="27" spans="1:57" ht="17.100000000000001" customHeight="1" thickTop="1" thickBot="1" x14ac:dyDescent="0.35">
      <c r="A27" s="112" t="str">
        <f t="shared" si="0"/>
        <v>notingzeor0-7619</v>
      </c>
      <c r="B27" s="121" t="s">
        <v>38</v>
      </c>
      <c r="C27" s="122" t="s">
        <v>101</v>
      </c>
      <c r="D27" s="114" t="str">
        <f t="shared" si="1"/>
        <v>831205-1******</v>
      </c>
      <c r="E27" s="119">
        <f t="shared" si="2"/>
        <v>30655</v>
      </c>
      <c r="F27" s="114">
        <f t="shared" si="3"/>
        <v>1983</v>
      </c>
      <c r="G27" s="114">
        <f t="shared" si="4"/>
        <v>12</v>
      </c>
      <c r="H27" s="114">
        <f t="shared" si="5"/>
        <v>5</v>
      </c>
      <c r="I27" s="114">
        <f t="shared" ca="1" si="6"/>
        <v>35</v>
      </c>
      <c r="J27" s="122">
        <f t="shared" ca="1" si="13"/>
        <v>24</v>
      </c>
      <c r="K27" s="184">
        <f t="shared" ca="1" si="14"/>
        <v>10</v>
      </c>
      <c r="L27" s="181" t="str">
        <f t="shared" si="7"/>
        <v>남</v>
      </c>
      <c r="M27" s="114">
        <f t="shared" ca="1" si="8"/>
        <v>13138</v>
      </c>
      <c r="N27" s="123" t="s">
        <v>66</v>
      </c>
      <c r="O27" s="124" t="s">
        <v>137</v>
      </c>
      <c r="P27" s="112">
        <v>41468</v>
      </c>
      <c r="Q27" s="114">
        <f t="shared" ca="1" si="9"/>
        <v>6</v>
      </c>
      <c r="R27" s="114">
        <f t="shared" ca="1" si="10"/>
        <v>4</v>
      </c>
      <c r="S27" s="171">
        <f t="shared" ca="1" si="11"/>
        <v>11</v>
      </c>
      <c r="T27" s="178">
        <v>193000</v>
      </c>
      <c r="U27" s="164">
        <f t="shared" si="15"/>
        <v>9</v>
      </c>
      <c r="V27" s="177">
        <f t="shared" si="16"/>
        <v>27</v>
      </c>
      <c r="W27" s="252" t="str">
        <f t="shared" si="12"/>
        <v>월</v>
      </c>
      <c r="X27" s="127" t="str">
        <f>HLOOKUP(T27, 할인율!$C$1:$F$3,3,TRUE)</f>
        <v>GOLD</v>
      </c>
      <c r="Y27" s="188">
        <f ca="1">INDEX(할인율!$C$4:$F$9,MATCH(Q27,할인율!$B$4:$B$9,1), MATCH(X27,할인율!$C$3:$F$3,0))</f>
        <v>0.15</v>
      </c>
      <c r="Z27" s="124">
        <f t="shared" ca="1" si="17"/>
        <v>15</v>
      </c>
      <c r="AA27" s="165">
        <f t="shared" ca="1" si="18"/>
        <v>17</v>
      </c>
      <c r="AX27" s="221"/>
      <c r="AY27" s="49" t="s">
        <v>191</v>
      </c>
      <c r="AZ27" s="92">
        <f ca="1">_xlfn.MAXIFS($Y$2:$Y$36,$W$2:$W$36,"="&amp;$AX$26,$L$2:$L$36,"="&amp;$AY27,$I$2:$I$36,"&gt;="&amp;$AZ$12,$I$2:$I$36,"&lt;"&amp;$BB$12)</f>
        <v>0</v>
      </c>
      <c r="BA27" s="104">
        <f ca="1">_xlfn.MINIFS($Y$2:$Y$36,$W$2:$W$36,"="&amp;$AX$26,$L$2:$L$36,"="&amp;$AY27,$I$2:$I$36,"&gt;="&amp;$AZ$12,$I$2:$I$36,"&lt;"&amp;$BB$12)</f>
        <v>0</v>
      </c>
      <c r="BB27" s="104">
        <f ca="1">_xlfn.MAXIFS($Y$2:$Y$36,$W$2:$W$36,"="&amp;$AX$26,$L$2:$L$36,"="&amp;$AY27,$I$2:$I$36,"&gt;="&amp;$BB$12,$I$2:$I$36,"&lt;"&amp;$BD$12)</f>
        <v>0.08</v>
      </c>
      <c r="BC27" s="104">
        <f ca="1">_xlfn.MINIFS($Y$2:$Y$36,$W$2:$W$36,"="&amp;$AX$26,$L$2:$L$36,"="&amp;$AY27,$I$2:$I$36,"&gt;="&amp;$BB$12,$I$2:$I$36,"&lt;"&amp;$BD$12)</f>
        <v>0.02</v>
      </c>
      <c r="BD27" s="104">
        <f ca="1">_xlfn.MAXIFS($Y$2:$Y$36,$W$2:$W$36,"="&amp;$AX$26,$L$2:$L$36,"="&amp;$AY27,$I$2:$I$36,"&gt;="&amp;$BD$12)</f>
        <v>0.25</v>
      </c>
      <c r="BE27" s="105">
        <f ca="1">_xlfn.MINIFS($Y$2:$Y$36,$W$2:$W$36,"="&amp;$AX$26,$L$2:$L$36,"="&amp;$AY27,$I$2:$I$36,"&gt;="&amp;$BD$12)</f>
        <v>0.15</v>
      </c>
    </row>
    <row r="28" spans="1:57" ht="17.100000000000001" customHeight="1" thickTop="1" x14ac:dyDescent="0.3">
      <c r="A28" s="112" t="str">
        <f t="shared" si="0"/>
        <v>thlee1985-7913</v>
      </c>
      <c r="B28" s="121" t="s">
        <v>8</v>
      </c>
      <c r="C28" s="122" t="s">
        <v>102</v>
      </c>
      <c r="D28" s="114" t="str">
        <f t="shared" si="1"/>
        <v>850927-1******</v>
      </c>
      <c r="E28" s="119">
        <f t="shared" si="2"/>
        <v>31317</v>
      </c>
      <c r="F28" s="114">
        <f t="shared" si="3"/>
        <v>1985</v>
      </c>
      <c r="G28" s="114">
        <f t="shared" si="4"/>
        <v>9</v>
      </c>
      <c r="H28" s="114">
        <f t="shared" si="5"/>
        <v>27</v>
      </c>
      <c r="I28" s="114">
        <f t="shared" ca="1" si="6"/>
        <v>34</v>
      </c>
      <c r="J28" s="122">
        <f t="shared" ca="1" si="13"/>
        <v>27</v>
      </c>
      <c r="K28" s="184">
        <f t="shared" ca="1" si="14"/>
        <v>9</v>
      </c>
      <c r="L28" s="181" t="str">
        <f t="shared" si="7"/>
        <v>남</v>
      </c>
      <c r="M28" s="114">
        <f t="shared" ca="1" si="8"/>
        <v>12476</v>
      </c>
      <c r="N28" s="123" t="s">
        <v>67</v>
      </c>
      <c r="O28" s="124" t="s">
        <v>138</v>
      </c>
      <c r="P28" s="112">
        <v>39737</v>
      </c>
      <c r="Q28" s="114">
        <f t="shared" ca="1" si="9"/>
        <v>11</v>
      </c>
      <c r="R28" s="114">
        <f t="shared" ca="1" si="10"/>
        <v>1</v>
      </c>
      <c r="S28" s="171">
        <f t="shared" ca="1" si="11"/>
        <v>8</v>
      </c>
      <c r="T28" s="178">
        <v>187000</v>
      </c>
      <c r="U28" s="164">
        <f t="shared" si="15"/>
        <v>10</v>
      </c>
      <c r="V28" s="177">
        <f t="shared" si="16"/>
        <v>26</v>
      </c>
      <c r="W28" s="252" t="str">
        <f t="shared" si="12"/>
        <v>금</v>
      </c>
      <c r="X28" s="127" t="str">
        <f>HLOOKUP(T28, 할인율!$C$1:$F$3,3,TRUE)</f>
        <v>GOLD</v>
      </c>
      <c r="Y28" s="188">
        <f ca="1">INDEX(할인율!$C$4:$F$9,MATCH(Q28,할인율!$B$4:$B$9,1), MATCH(X28,할인율!$C$3:$F$3,0))</f>
        <v>0.2</v>
      </c>
      <c r="Z28" s="124">
        <f t="shared" ca="1" si="17"/>
        <v>8</v>
      </c>
      <c r="AA28" s="165">
        <f t="shared" ca="1" si="18"/>
        <v>22</v>
      </c>
    </row>
    <row r="29" spans="1:57" ht="17.100000000000001" customHeight="1" x14ac:dyDescent="0.3">
      <c r="A29" s="112" t="str">
        <f t="shared" si="0"/>
        <v>soyoon1212-1296</v>
      </c>
      <c r="B29" s="121" t="s">
        <v>9</v>
      </c>
      <c r="C29" s="122" t="s">
        <v>103</v>
      </c>
      <c r="D29" s="114" t="str">
        <f t="shared" si="1"/>
        <v>710621-2******</v>
      </c>
      <c r="E29" s="119">
        <f t="shared" si="2"/>
        <v>26105</v>
      </c>
      <c r="F29" s="114">
        <f t="shared" si="3"/>
        <v>1971</v>
      </c>
      <c r="G29" s="114">
        <f t="shared" si="4"/>
        <v>6</v>
      </c>
      <c r="H29" s="114">
        <f t="shared" si="5"/>
        <v>21</v>
      </c>
      <c r="I29" s="114">
        <f t="shared" ca="1" si="6"/>
        <v>48</v>
      </c>
      <c r="J29" s="122">
        <f t="shared" ca="1" si="13"/>
        <v>1</v>
      </c>
      <c r="K29" s="184">
        <f t="shared" ca="1" si="14"/>
        <v>34</v>
      </c>
      <c r="L29" s="181" t="str">
        <f t="shared" si="7"/>
        <v>여</v>
      </c>
      <c r="M29" s="114">
        <f t="shared" ca="1" si="8"/>
        <v>17688</v>
      </c>
      <c r="N29" s="123" t="s">
        <v>68</v>
      </c>
      <c r="O29" s="124" t="s">
        <v>139</v>
      </c>
      <c r="P29" s="112">
        <v>42001</v>
      </c>
      <c r="Q29" s="114">
        <f t="shared" ca="1" si="9"/>
        <v>4</v>
      </c>
      <c r="R29" s="114">
        <f t="shared" ca="1" si="10"/>
        <v>10</v>
      </c>
      <c r="S29" s="171">
        <f t="shared" ca="1" si="11"/>
        <v>27</v>
      </c>
      <c r="T29" s="178">
        <v>55600</v>
      </c>
      <c r="U29" s="164">
        <f t="shared" si="15"/>
        <v>24</v>
      </c>
      <c r="V29" s="177">
        <f t="shared" si="16"/>
        <v>12</v>
      </c>
      <c r="W29" s="252" t="str">
        <f t="shared" si="12"/>
        <v>월</v>
      </c>
      <c r="X29" s="129" t="str">
        <f>HLOOKUP(T29, 할인율!$C$1:$F$3,3,TRUE)</f>
        <v>SILVER</v>
      </c>
      <c r="Y29" s="188">
        <f ca="1">INDEX(할인율!$C$4:$F$9,MATCH(Q29,할인율!$B$4:$B$9,1), MATCH(X29,할인율!$C$3:$F$3,0))</f>
        <v>0.05</v>
      </c>
      <c r="Z29" s="124">
        <f t="shared" ca="1" si="17"/>
        <v>27</v>
      </c>
      <c r="AA29" s="165">
        <f t="shared" ca="1" si="18"/>
        <v>7</v>
      </c>
    </row>
    <row r="30" spans="1:57" ht="17.100000000000001" customHeight="1" x14ac:dyDescent="0.3">
      <c r="A30" s="112" t="str">
        <f t="shared" si="0"/>
        <v>soosoodduk-1496</v>
      </c>
      <c r="B30" s="121" t="s">
        <v>39</v>
      </c>
      <c r="C30" s="122" t="s">
        <v>104</v>
      </c>
      <c r="D30" s="114" t="str">
        <f t="shared" si="1"/>
        <v>810308-1******</v>
      </c>
      <c r="E30" s="119">
        <f t="shared" si="2"/>
        <v>29653</v>
      </c>
      <c r="F30" s="114">
        <f t="shared" si="3"/>
        <v>1981</v>
      </c>
      <c r="G30" s="114">
        <f t="shared" si="4"/>
        <v>3</v>
      </c>
      <c r="H30" s="114">
        <f t="shared" si="5"/>
        <v>8</v>
      </c>
      <c r="I30" s="114">
        <f t="shared" ca="1" si="6"/>
        <v>38</v>
      </c>
      <c r="J30" s="122">
        <f t="shared" ca="1" si="13"/>
        <v>18</v>
      </c>
      <c r="K30" s="184">
        <f t="shared" ca="1" si="14"/>
        <v>17</v>
      </c>
      <c r="L30" s="181" t="str">
        <f t="shared" si="7"/>
        <v>남</v>
      </c>
      <c r="M30" s="114">
        <f t="shared" ca="1" si="8"/>
        <v>14140</v>
      </c>
      <c r="N30" s="123" t="s">
        <v>69</v>
      </c>
      <c r="O30" s="124" t="s">
        <v>140</v>
      </c>
      <c r="P30" s="112">
        <v>39282</v>
      </c>
      <c r="Q30" s="114">
        <f t="shared" ca="1" si="9"/>
        <v>12</v>
      </c>
      <c r="R30" s="114">
        <f t="shared" ca="1" si="10"/>
        <v>4</v>
      </c>
      <c r="S30" s="171">
        <f t="shared" ca="1" si="11"/>
        <v>5</v>
      </c>
      <c r="T30" s="178">
        <v>214000</v>
      </c>
      <c r="U30" s="164">
        <f t="shared" si="15"/>
        <v>5</v>
      </c>
      <c r="V30" s="177">
        <f t="shared" si="16"/>
        <v>31</v>
      </c>
      <c r="W30" s="252" t="str">
        <f t="shared" si="12"/>
        <v>일</v>
      </c>
      <c r="X30" s="128" t="str">
        <f>HLOOKUP(T30, 할인율!$C$1:$F$3,3,TRUE)</f>
        <v>PURE GOLD</v>
      </c>
      <c r="Y30" s="188">
        <f ca="1">INDEX(할인율!$C$4:$F$9,MATCH(Q30,할인율!$B$4:$B$9,1), MATCH(X30,할인율!$C$3:$F$3,0))</f>
        <v>0.25</v>
      </c>
      <c r="Z30" s="124">
        <f t="shared" ca="1" si="17"/>
        <v>4</v>
      </c>
      <c r="AA30" s="165">
        <f t="shared" ca="1" si="18"/>
        <v>30</v>
      </c>
    </row>
    <row r="31" spans="1:57" ht="17.100000000000001" customHeight="1" x14ac:dyDescent="0.3">
      <c r="A31" s="112" t="str">
        <f t="shared" si="0"/>
        <v>ksjung74-7659</v>
      </c>
      <c r="B31" s="121" t="s">
        <v>10</v>
      </c>
      <c r="C31" s="122" t="s">
        <v>107</v>
      </c>
      <c r="D31" s="114" t="str">
        <f t="shared" si="1"/>
        <v>740201-1******</v>
      </c>
      <c r="E31" s="119">
        <f t="shared" si="2"/>
        <v>27061</v>
      </c>
      <c r="F31" s="114">
        <f t="shared" si="3"/>
        <v>1974</v>
      </c>
      <c r="G31" s="114">
        <f t="shared" si="4"/>
        <v>2</v>
      </c>
      <c r="H31" s="114">
        <f t="shared" si="5"/>
        <v>1</v>
      </c>
      <c r="I31" s="114">
        <f t="shared" ca="1" si="6"/>
        <v>45</v>
      </c>
      <c r="J31" s="122">
        <f t="shared" ca="1" si="13"/>
        <v>5</v>
      </c>
      <c r="K31" s="184">
        <f t="shared" ca="1" si="14"/>
        <v>30</v>
      </c>
      <c r="L31" s="181" t="str">
        <f t="shared" si="7"/>
        <v>남</v>
      </c>
      <c r="M31" s="114">
        <f t="shared" ca="1" si="8"/>
        <v>16732</v>
      </c>
      <c r="N31" s="123" t="s">
        <v>70</v>
      </c>
      <c r="O31" s="124" t="s">
        <v>141</v>
      </c>
      <c r="P31" s="112">
        <v>36920</v>
      </c>
      <c r="Q31" s="114">
        <f t="shared" ca="1" si="9"/>
        <v>18</v>
      </c>
      <c r="R31" s="114">
        <f t="shared" ca="1" si="10"/>
        <v>9</v>
      </c>
      <c r="S31" s="171">
        <f t="shared" ca="1" si="11"/>
        <v>26</v>
      </c>
      <c r="T31" s="178">
        <v>224100</v>
      </c>
      <c r="U31" s="164">
        <f t="shared" si="15"/>
        <v>3</v>
      </c>
      <c r="V31" s="177">
        <f t="shared" si="16"/>
        <v>33</v>
      </c>
      <c r="W31" s="252" t="str">
        <f t="shared" si="12"/>
        <v>금</v>
      </c>
      <c r="X31" s="128" t="str">
        <f>HLOOKUP(T31, 할인율!$C$1:$F$3,3,TRUE)</f>
        <v>PURE GOLD</v>
      </c>
      <c r="Y31" s="188">
        <f ca="1">INDEX(할인율!$C$4:$F$9,MATCH(Q31,할인율!$B$4:$B$9,1), MATCH(X31,할인율!$C$3:$F$3,0))</f>
        <v>0.3</v>
      </c>
      <c r="Z31" s="124">
        <f t="shared" ca="1" si="17"/>
        <v>2</v>
      </c>
      <c r="AA31" s="165">
        <f t="shared" ca="1" si="18"/>
        <v>33</v>
      </c>
    </row>
    <row r="32" spans="1:57" ht="17.100000000000001" customHeight="1" x14ac:dyDescent="0.3">
      <c r="A32" s="112" t="str">
        <f t="shared" si="0"/>
        <v>tellhjtrue-4963</v>
      </c>
      <c r="B32" s="121" t="s">
        <v>11</v>
      </c>
      <c r="C32" s="122" t="s">
        <v>106</v>
      </c>
      <c r="D32" s="114" t="str">
        <f t="shared" si="1"/>
        <v>801112-1******</v>
      </c>
      <c r="E32" s="119">
        <f t="shared" si="2"/>
        <v>29537</v>
      </c>
      <c r="F32" s="114">
        <f t="shared" si="3"/>
        <v>1980</v>
      </c>
      <c r="G32" s="114">
        <f t="shared" si="4"/>
        <v>11</v>
      </c>
      <c r="H32" s="114">
        <f t="shared" si="5"/>
        <v>12</v>
      </c>
      <c r="I32" s="114">
        <f t="shared" ca="1" si="6"/>
        <v>39</v>
      </c>
      <c r="J32" s="122">
        <f t="shared" ca="1" si="13"/>
        <v>16</v>
      </c>
      <c r="K32" s="184">
        <f t="shared" ca="1" si="14"/>
        <v>19</v>
      </c>
      <c r="L32" s="181" t="str">
        <f t="shared" si="7"/>
        <v>남</v>
      </c>
      <c r="M32" s="114">
        <f t="shared" ca="1" si="8"/>
        <v>14256</v>
      </c>
      <c r="N32" s="123" t="s">
        <v>71</v>
      </c>
      <c r="O32" s="124" t="s">
        <v>142</v>
      </c>
      <c r="P32" s="112">
        <v>40712</v>
      </c>
      <c r="Q32" s="114">
        <f t="shared" ca="1" si="9"/>
        <v>8</v>
      </c>
      <c r="R32" s="114">
        <f t="shared" ca="1" si="10"/>
        <v>5</v>
      </c>
      <c r="S32" s="171">
        <f t="shared" ca="1" si="11"/>
        <v>6</v>
      </c>
      <c r="T32" s="178">
        <v>147600</v>
      </c>
      <c r="U32" s="164">
        <f t="shared" si="15"/>
        <v>14</v>
      </c>
      <c r="V32" s="177">
        <f t="shared" si="16"/>
        <v>22</v>
      </c>
      <c r="W32" s="252" t="str">
        <f t="shared" si="12"/>
        <v>수</v>
      </c>
      <c r="X32" s="127" t="str">
        <f>HLOOKUP(T32, 할인율!$C$1:$F$3,3,TRUE)</f>
        <v>GOLD</v>
      </c>
      <c r="Y32" s="188">
        <f ca="1">INDEX(할인율!$C$4:$F$9,MATCH(Q32,할인율!$B$4:$B$9,1), MATCH(X32,할인율!$C$3:$F$3,0))</f>
        <v>0.15</v>
      </c>
      <c r="Z32" s="124">
        <f t="shared" ca="1" si="17"/>
        <v>15</v>
      </c>
      <c r="AA32" s="165">
        <f t="shared" ca="1" si="18"/>
        <v>17</v>
      </c>
    </row>
    <row r="33" spans="1:27" ht="17.100000000000001" customHeight="1" x14ac:dyDescent="0.3">
      <c r="A33" s="112" t="str">
        <f t="shared" si="0"/>
        <v>minuminu-6743</v>
      </c>
      <c r="B33" s="121" t="s">
        <v>12</v>
      </c>
      <c r="C33" s="122" t="s">
        <v>105</v>
      </c>
      <c r="D33" s="114" t="str">
        <f t="shared" si="1"/>
        <v>870722-1******</v>
      </c>
      <c r="E33" s="119">
        <f t="shared" si="2"/>
        <v>31980</v>
      </c>
      <c r="F33" s="114">
        <f t="shared" si="3"/>
        <v>1987</v>
      </c>
      <c r="G33" s="114">
        <f t="shared" si="4"/>
        <v>7</v>
      </c>
      <c r="H33" s="114">
        <f t="shared" si="5"/>
        <v>22</v>
      </c>
      <c r="I33" s="114">
        <f t="shared" ca="1" si="6"/>
        <v>32</v>
      </c>
      <c r="J33" s="122">
        <f t="shared" ca="1" si="13"/>
        <v>30</v>
      </c>
      <c r="K33" s="184">
        <f t="shared" ca="1" si="14"/>
        <v>5</v>
      </c>
      <c r="L33" s="181" t="str">
        <f t="shared" si="7"/>
        <v>남</v>
      </c>
      <c r="M33" s="114">
        <f t="shared" ca="1" si="8"/>
        <v>11813</v>
      </c>
      <c r="N33" s="123" t="s">
        <v>72</v>
      </c>
      <c r="O33" s="124" t="s">
        <v>143</v>
      </c>
      <c r="P33" s="112">
        <v>40212</v>
      </c>
      <c r="Q33" s="114">
        <f t="shared" ca="1" si="9"/>
        <v>9</v>
      </c>
      <c r="R33" s="114">
        <f t="shared" ca="1" si="10"/>
        <v>9</v>
      </c>
      <c r="S33" s="171">
        <f t="shared" ca="1" si="11"/>
        <v>21</v>
      </c>
      <c r="T33" s="178">
        <v>36800</v>
      </c>
      <c r="U33" s="164">
        <f t="shared" si="15"/>
        <v>26</v>
      </c>
      <c r="V33" s="177">
        <f t="shared" si="16"/>
        <v>10</v>
      </c>
      <c r="W33" s="252" t="str">
        <f t="shared" si="12"/>
        <v>수</v>
      </c>
      <c r="X33" s="129" t="str">
        <f>HLOOKUP(T33, 할인율!$C$1:$F$3,3,TRUE)</f>
        <v>SILVER</v>
      </c>
      <c r="Y33" s="188">
        <f ca="1">INDEX(할인율!$C$4:$F$9,MATCH(Q33,할인율!$B$4:$B$9,1), MATCH(X33,할인율!$C$3:$F$3,0))</f>
        <v>0.08</v>
      </c>
      <c r="Z33" s="124">
        <f t="shared" ca="1" si="17"/>
        <v>23</v>
      </c>
      <c r="AA33" s="165">
        <f t="shared" ca="1" si="18"/>
        <v>10</v>
      </c>
    </row>
    <row r="34" spans="1:27" ht="17.100000000000001" customHeight="1" x14ac:dyDescent="0.3">
      <c r="A34" s="112" t="str">
        <f t="shared" si="0"/>
        <v>lovelyhuson-1476</v>
      </c>
      <c r="B34" s="121" t="s">
        <v>36</v>
      </c>
      <c r="C34" s="122" t="s">
        <v>108</v>
      </c>
      <c r="D34" s="114" t="str">
        <f t="shared" si="1"/>
        <v>860513-2******</v>
      </c>
      <c r="E34" s="119">
        <f t="shared" si="2"/>
        <v>31545</v>
      </c>
      <c r="F34" s="114">
        <f t="shared" si="3"/>
        <v>1986</v>
      </c>
      <c r="G34" s="114">
        <f t="shared" si="4"/>
        <v>5</v>
      </c>
      <c r="H34" s="114">
        <f t="shared" si="5"/>
        <v>13</v>
      </c>
      <c r="I34" s="114">
        <f t="shared" ca="1" si="6"/>
        <v>33</v>
      </c>
      <c r="J34" s="122">
        <f t="shared" ca="1" si="13"/>
        <v>28</v>
      </c>
      <c r="K34" s="184">
        <f t="shared" ca="1" si="14"/>
        <v>7</v>
      </c>
      <c r="L34" s="181" t="str">
        <f t="shared" si="7"/>
        <v>여</v>
      </c>
      <c r="M34" s="114">
        <f t="shared" ca="1" si="8"/>
        <v>12248</v>
      </c>
      <c r="N34" s="123" t="s">
        <v>73</v>
      </c>
      <c r="O34" s="124" t="s">
        <v>144</v>
      </c>
      <c r="P34" s="112">
        <v>43355</v>
      </c>
      <c r="Q34" s="114">
        <f t="shared" ca="1" si="9"/>
        <v>1</v>
      </c>
      <c r="R34" s="114">
        <f t="shared" ca="1" si="10"/>
        <v>2</v>
      </c>
      <c r="S34" s="171">
        <f t="shared" ca="1" si="11"/>
        <v>12</v>
      </c>
      <c r="T34" s="178">
        <v>2400</v>
      </c>
      <c r="U34" s="164">
        <f t="shared" si="15"/>
        <v>34</v>
      </c>
      <c r="V34" s="177">
        <f t="shared" si="16"/>
        <v>2</v>
      </c>
      <c r="W34" s="252" t="str">
        <f t="shared" si="12"/>
        <v>화</v>
      </c>
      <c r="X34" s="125" t="str">
        <f>HLOOKUP(T34, 할인율!$C$1:$F$3,3,TRUE)</f>
        <v>BRONZE</v>
      </c>
      <c r="Y34" s="188">
        <f ca="1">INDEX(할인율!$C$4:$F$9,MATCH(Q34,할인율!$B$4:$B$9,1), MATCH(X34,할인율!$C$3:$F$3,0))</f>
        <v>0</v>
      </c>
      <c r="Z34" s="124">
        <f t="shared" ca="1" si="17"/>
        <v>33</v>
      </c>
      <c r="AA34" s="165">
        <f t="shared" ca="1" si="18"/>
        <v>1</v>
      </c>
    </row>
    <row r="35" spans="1:27" ht="17.100000000000001" customHeight="1" x14ac:dyDescent="0.3">
      <c r="A35" s="112" t="str">
        <f t="shared" si="0"/>
        <v>ssossok914-2579</v>
      </c>
      <c r="B35" s="121" t="s">
        <v>13</v>
      </c>
      <c r="C35" s="122" t="s">
        <v>109</v>
      </c>
      <c r="D35" s="114" t="str">
        <f t="shared" si="1"/>
        <v>791019-2******</v>
      </c>
      <c r="E35" s="119">
        <f t="shared" si="2"/>
        <v>29147</v>
      </c>
      <c r="F35" s="114">
        <f t="shared" si="3"/>
        <v>1979</v>
      </c>
      <c r="G35" s="114">
        <f t="shared" si="4"/>
        <v>10</v>
      </c>
      <c r="H35" s="114">
        <f t="shared" si="5"/>
        <v>19</v>
      </c>
      <c r="I35" s="114">
        <f t="shared" ca="1" si="6"/>
        <v>40</v>
      </c>
      <c r="J35" s="122">
        <f t="shared" ca="1" si="13"/>
        <v>13</v>
      </c>
      <c r="K35" s="184">
        <f t="shared" ca="1" si="14"/>
        <v>21</v>
      </c>
      <c r="L35" s="181" t="str">
        <f t="shared" si="7"/>
        <v>여</v>
      </c>
      <c r="M35" s="114">
        <f t="shared" ca="1" si="8"/>
        <v>14646</v>
      </c>
      <c r="N35" s="123" t="s">
        <v>74</v>
      </c>
      <c r="O35" s="124" t="s">
        <v>145</v>
      </c>
      <c r="P35" s="112">
        <v>37832</v>
      </c>
      <c r="Q35" s="114">
        <f t="shared" ca="1" si="9"/>
        <v>16</v>
      </c>
      <c r="R35" s="114">
        <f t="shared" ca="1" si="10"/>
        <v>3</v>
      </c>
      <c r="S35" s="171">
        <f t="shared" ca="1" si="11"/>
        <v>25</v>
      </c>
      <c r="T35" s="178">
        <v>221000</v>
      </c>
      <c r="U35" s="164">
        <f t="shared" si="15"/>
        <v>4</v>
      </c>
      <c r="V35" s="177">
        <f t="shared" si="16"/>
        <v>32</v>
      </c>
      <c r="W35" s="252" t="str">
        <f t="shared" si="12"/>
        <v>금</v>
      </c>
      <c r="X35" s="128" t="str">
        <f>HLOOKUP(T35, 할인율!$C$1:$F$3,3,TRUE)</f>
        <v>PURE GOLD</v>
      </c>
      <c r="Y35" s="188">
        <f ca="1">INDEX(할인율!$C$4:$F$9,MATCH(Q35,할인율!$B$4:$B$9,1), MATCH(X35,할인율!$C$3:$F$3,0))</f>
        <v>0.3</v>
      </c>
      <c r="Z35" s="124">
        <f t="shared" ca="1" si="17"/>
        <v>2</v>
      </c>
      <c r="AA35" s="165">
        <f t="shared" ca="1" si="18"/>
        <v>33</v>
      </c>
    </row>
    <row r="36" spans="1:27" ht="17.100000000000001" customHeight="1" thickBot="1" x14ac:dyDescent="0.35">
      <c r="A36" s="130" t="str">
        <f t="shared" si="0"/>
        <v>seaaaaaaa-8521</v>
      </c>
      <c r="B36" s="131" t="s">
        <v>40</v>
      </c>
      <c r="C36" s="132" t="s">
        <v>110</v>
      </c>
      <c r="D36" s="133" t="str">
        <f t="shared" si="1"/>
        <v>821224-2******</v>
      </c>
      <c r="E36" s="134">
        <f t="shared" si="2"/>
        <v>30309</v>
      </c>
      <c r="F36" s="133">
        <f t="shared" si="3"/>
        <v>1982</v>
      </c>
      <c r="G36" s="133">
        <f t="shared" si="4"/>
        <v>12</v>
      </c>
      <c r="H36" s="133">
        <f t="shared" si="5"/>
        <v>24</v>
      </c>
      <c r="I36" s="133">
        <f t="shared" ca="1" si="6"/>
        <v>36</v>
      </c>
      <c r="J36" s="185">
        <f t="shared" ca="1" si="13"/>
        <v>22</v>
      </c>
      <c r="K36" s="186">
        <f t="shared" ca="1" si="14"/>
        <v>13</v>
      </c>
      <c r="L36" s="182" t="str">
        <f t="shared" si="7"/>
        <v>여</v>
      </c>
      <c r="M36" s="133">
        <f t="shared" ca="1" si="8"/>
        <v>13484</v>
      </c>
      <c r="N36" s="135" t="s">
        <v>75</v>
      </c>
      <c r="O36" s="136" t="s">
        <v>146</v>
      </c>
      <c r="P36" s="130">
        <v>42274</v>
      </c>
      <c r="Q36" s="133">
        <f t="shared" ca="1" si="9"/>
        <v>4</v>
      </c>
      <c r="R36" s="133">
        <f t="shared" ca="1" si="10"/>
        <v>1</v>
      </c>
      <c r="S36" s="172">
        <f t="shared" ca="1" si="11"/>
        <v>28</v>
      </c>
      <c r="T36" s="179">
        <v>78300</v>
      </c>
      <c r="U36" s="164">
        <f t="shared" si="15"/>
        <v>22</v>
      </c>
      <c r="V36" s="177">
        <f t="shared" si="16"/>
        <v>14</v>
      </c>
      <c r="W36" s="253" t="str">
        <f t="shared" si="12"/>
        <v>금</v>
      </c>
      <c r="X36" s="137" t="str">
        <f>HLOOKUP(T36, 할인율!$C$1:$F$3,3,TRUE)</f>
        <v>SILVER</v>
      </c>
      <c r="Y36" s="189">
        <f ca="1">INDEX(할인율!$C$4:$F$9,MATCH(Q36,할인율!$B$4:$B$9,1), MATCH(X36,할인율!$C$3:$F$3,0))</f>
        <v>0.05</v>
      </c>
      <c r="Z36" s="190">
        <f t="shared" ca="1" si="17"/>
        <v>27</v>
      </c>
      <c r="AA36" s="169">
        <f t="shared" ca="1" si="18"/>
        <v>7</v>
      </c>
    </row>
    <row r="37" spans="1:27" ht="17.100000000000001" customHeight="1" thickTop="1" x14ac:dyDescent="0.3">
      <c r="A37" s="201" t="s">
        <v>207</v>
      </c>
      <c r="B37" s="205"/>
      <c r="C37" s="139"/>
      <c r="D37" s="139"/>
      <c r="E37" s="139"/>
      <c r="F37" s="139"/>
      <c r="G37" s="139"/>
      <c r="H37" s="150"/>
      <c r="I37" s="138">
        <f ca="1">_xlfn.VAR.P(I2:I36)</f>
        <v>29.497142857142858</v>
      </c>
      <c r="J37" s="195"/>
      <c r="K37" s="196"/>
      <c r="L37" s="139"/>
      <c r="M37" s="139"/>
      <c r="N37" s="139"/>
      <c r="O37" s="139"/>
      <c r="P37" s="139"/>
      <c r="Q37" s="139"/>
      <c r="R37" s="139"/>
      <c r="S37" s="150"/>
      <c r="T37" s="144">
        <f t="shared" ref="T37:Y37" si="55">_xlfn.VAR.P(T2:T36)</f>
        <v>6754306704.8163261</v>
      </c>
      <c r="U37" s="195"/>
      <c r="V37" s="196"/>
      <c r="W37" s="157"/>
      <c r="X37" s="150"/>
      <c r="Y37" s="144">
        <f t="shared" ca="1" si="55"/>
        <v>8.6445714285714268E-3</v>
      </c>
      <c r="Z37" s="195"/>
      <c r="AA37" s="196"/>
    </row>
    <row r="38" spans="1:27" ht="17.100000000000001" customHeight="1" x14ac:dyDescent="0.3">
      <c r="A38" s="191" t="s">
        <v>208</v>
      </c>
      <c r="B38" s="206"/>
      <c r="C38" s="141"/>
      <c r="D38" s="141"/>
      <c r="E38" s="141"/>
      <c r="F38" s="141"/>
      <c r="G38" s="141"/>
      <c r="H38" s="151"/>
      <c r="I38" s="140">
        <f ca="1">_xlfn.VAR.S(I2:I36)</f>
        <v>30.364705882352983</v>
      </c>
      <c r="J38" s="197"/>
      <c r="K38" s="198"/>
      <c r="L38" s="141"/>
      <c r="M38" s="141"/>
      <c r="N38" s="141"/>
      <c r="O38" s="141"/>
      <c r="P38" s="141"/>
      <c r="Q38" s="141"/>
      <c r="R38" s="141"/>
      <c r="S38" s="151"/>
      <c r="T38" s="146">
        <f t="shared" ref="T38:Y38" si="56">_xlfn.VAR.S(T2:T36)</f>
        <v>6952962784.3697472</v>
      </c>
      <c r="U38" s="197"/>
      <c r="V38" s="198"/>
      <c r="W38" s="158"/>
      <c r="X38" s="151"/>
      <c r="Y38" s="146">
        <f t="shared" ca="1" si="56"/>
        <v>8.8988235294117594E-3</v>
      </c>
      <c r="Z38" s="197"/>
      <c r="AA38" s="198"/>
    </row>
    <row r="39" spans="1:27" ht="17.100000000000001" customHeight="1" x14ac:dyDescent="0.3">
      <c r="A39" s="191" t="s">
        <v>209</v>
      </c>
      <c r="B39" s="206"/>
      <c r="C39" s="141"/>
      <c r="D39" s="141"/>
      <c r="E39" s="141"/>
      <c r="F39" s="141"/>
      <c r="G39" s="141"/>
      <c r="H39" s="151"/>
      <c r="I39" s="140">
        <f ca="1">_xlfn.STDEV.P(I2:I36)</f>
        <v>5.4311272179118451</v>
      </c>
      <c r="J39" s="197"/>
      <c r="K39" s="198"/>
      <c r="L39" s="141"/>
      <c r="M39" s="141"/>
      <c r="N39" s="141"/>
      <c r="O39" s="141"/>
      <c r="P39" s="141"/>
      <c r="Q39" s="141"/>
      <c r="R39" s="141"/>
      <c r="S39" s="151"/>
      <c r="T39" s="146">
        <f t="shared" ref="T39:Y39" si="57">_xlfn.STDEV.P(T2:T36)</f>
        <v>82184.589217299901</v>
      </c>
      <c r="U39" s="197"/>
      <c r="V39" s="198"/>
      <c r="W39" s="158"/>
      <c r="X39" s="151"/>
      <c r="Y39" s="146">
        <f t="shared" ca="1" si="57"/>
        <v>9.2976187427595822E-2</v>
      </c>
      <c r="Z39" s="197"/>
      <c r="AA39" s="198"/>
    </row>
    <row r="40" spans="1:27" ht="17.100000000000001" customHeight="1" thickBot="1" x14ac:dyDescent="0.35">
      <c r="A40" s="193" t="s">
        <v>210</v>
      </c>
      <c r="B40" s="207"/>
      <c r="C40" s="143"/>
      <c r="D40" s="143"/>
      <c r="E40" s="143"/>
      <c r="F40" s="143"/>
      <c r="G40" s="143"/>
      <c r="H40" s="152"/>
      <c r="I40" s="142">
        <f ca="1">_xlfn.STDEV.S(I2:I36)</f>
        <v>5.5104179408056684</v>
      </c>
      <c r="J40" s="197"/>
      <c r="K40" s="198"/>
      <c r="L40" s="143"/>
      <c r="M40" s="143"/>
      <c r="N40" s="143"/>
      <c r="O40" s="143"/>
      <c r="P40" s="143"/>
      <c r="Q40" s="143"/>
      <c r="R40" s="143"/>
      <c r="S40" s="152"/>
      <c r="T40" s="148">
        <f t="shared" ref="T40:Y40" si="58">_xlfn.STDEV.S(T2:T36)</f>
        <v>83384.42770907376</v>
      </c>
      <c r="U40" s="197"/>
      <c r="V40" s="198"/>
      <c r="W40" s="159"/>
      <c r="X40" s="152"/>
      <c r="Y40" s="148">
        <f t="shared" ca="1" si="58"/>
        <v>9.4333575832848404E-2</v>
      </c>
      <c r="Z40" s="197"/>
      <c r="AA40" s="198"/>
    </row>
    <row r="41" spans="1:27" ht="17.100000000000001" customHeight="1" thickTop="1" x14ac:dyDescent="0.3">
      <c r="A41" s="201" t="s">
        <v>211</v>
      </c>
      <c r="B41" s="202"/>
      <c r="C41" s="157"/>
      <c r="D41" s="145"/>
      <c r="E41" s="145"/>
      <c r="F41" s="145"/>
      <c r="G41" s="145"/>
      <c r="H41" s="145"/>
      <c r="I41" s="145">
        <f ca="1">AVERAGE(I2:I36)</f>
        <v>38.6</v>
      </c>
      <c r="J41" s="197"/>
      <c r="K41" s="198"/>
      <c r="L41" s="145"/>
      <c r="M41" s="145"/>
      <c r="N41" s="145"/>
      <c r="O41" s="145"/>
      <c r="P41" s="145"/>
      <c r="Q41" s="145"/>
      <c r="R41" s="145"/>
      <c r="S41" s="150"/>
      <c r="T41" s="144">
        <f t="shared" ref="T41:Y41" si="59">AVERAGE(T2:T36)</f>
        <v>116214.57142857143</v>
      </c>
      <c r="U41" s="197"/>
      <c r="V41" s="198"/>
      <c r="W41" s="157"/>
      <c r="X41" s="150"/>
      <c r="Y41" s="144">
        <f t="shared" ca="1" si="59"/>
        <v>0.14199999999999999</v>
      </c>
      <c r="Z41" s="197"/>
      <c r="AA41" s="198"/>
    </row>
    <row r="42" spans="1:27" ht="17.100000000000001" customHeight="1" x14ac:dyDescent="0.3">
      <c r="A42" s="191" t="s">
        <v>212</v>
      </c>
      <c r="B42" s="192"/>
      <c r="C42" s="158"/>
      <c r="D42" s="147"/>
      <c r="E42" s="147"/>
      <c r="F42" s="147"/>
      <c r="G42" s="147"/>
      <c r="H42" s="147"/>
      <c r="I42" s="147">
        <f ca="1">MAX(I2:I36)</f>
        <v>48</v>
      </c>
      <c r="J42" s="197"/>
      <c r="K42" s="198"/>
      <c r="L42" s="147"/>
      <c r="M42" s="147"/>
      <c r="N42" s="147"/>
      <c r="O42" s="147"/>
      <c r="P42" s="147"/>
      <c r="Q42" s="147"/>
      <c r="R42" s="147"/>
      <c r="S42" s="151"/>
      <c r="T42" s="146">
        <f t="shared" ref="T42:Y42" si="60">MAX(T2:T36)</f>
        <v>270100</v>
      </c>
      <c r="U42" s="197"/>
      <c r="V42" s="198"/>
      <c r="W42" s="158"/>
      <c r="X42" s="151"/>
      <c r="Y42" s="146">
        <f t="shared" ca="1" si="60"/>
        <v>0.35</v>
      </c>
      <c r="Z42" s="197"/>
      <c r="AA42" s="198"/>
    </row>
    <row r="43" spans="1:27" ht="17.100000000000001" customHeight="1" x14ac:dyDescent="0.3">
      <c r="A43" s="191" t="s">
        <v>213</v>
      </c>
      <c r="B43" s="192"/>
      <c r="C43" s="158"/>
      <c r="D43" s="147"/>
      <c r="E43" s="147"/>
      <c r="F43" s="147"/>
      <c r="G43" s="147"/>
      <c r="H43" s="147"/>
      <c r="I43" s="147">
        <f ca="1">MIN(I2:I36)</f>
        <v>29</v>
      </c>
      <c r="J43" s="197"/>
      <c r="K43" s="198"/>
      <c r="L43" s="147"/>
      <c r="M43" s="147"/>
      <c r="N43" s="147"/>
      <c r="O43" s="147"/>
      <c r="P43" s="147"/>
      <c r="Q43" s="147"/>
      <c r="R43" s="147"/>
      <c r="S43" s="151"/>
      <c r="T43" s="146">
        <f t="shared" ref="T43:Y43" si="61">MIN(T2:T36)</f>
        <v>400</v>
      </c>
      <c r="U43" s="197"/>
      <c r="V43" s="198"/>
      <c r="W43" s="158"/>
      <c r="X43" s="151"/>
      <c r="Y43" s="146">
        <f t="shared" ca="1" si="61"/>
        <v>0</v>
      </c>
      <c r="Z43" s="197"/>
      <c r="AA43" s="198"/>
    </row>
    <row r="44" spans="1:27" ht="17.100000000000001" customHeight="1" thickBot="1" x14ac:dyDescent="0.35">
      <c r="A44" s="193" t="s">
        <v>214</v>
      </c>
      <c r="B44" s="194"/>
      <c r="C44" s="159"/>
      <c r="D44" s="149"/>
      <c r="E44" s="149"/>
      <c r="F44" s="149"/>
      <c r="G44" s="149"/>
      <c r="H44" s="149"/>
      <c r="I44" s="149">
        <f ca="1">MEDIAN(I2:I36)</f>
        <v>38</v>
      </c>
      <c r="J44" s="197"/>
      <c r="K44" s="198"/>
      <c r="L44" s="149"/>
      <c r="M44" s="149"/>
      <c r="N44" s="149"/>
      <c r="O44" s="149"/>
      <c r="P44" s="149"/>
      <c r="Q44" s="149"/>
      <c r="R44" s="149"/>
      <c r="S44" s="152"/>
      <c r="T44" s="148">
        <f t="shared" ref="T44:Y44" si="62">MEDIAN(T2:T36)</f>
        <v>123650</v>
      </c>
      <c r="U44" s="197"/>
      <c r="V44" s="198"/>
      <c r="W44" s="159"/>
      <c r="X44" s="152"/>
      <c r="Y44" s="148">
        <f t="shared" ca="1" si="62"/>
        <v>0.15</v>
      </c>
      <c r="Z44" s="197"/>
      <c r="AA44" s="198"/>
    </row>
    <row r="45" spans="1:27" ht="17.100000000000001" customHeight="1" thickTop="1" x14ac:dyDescent="0.3">
      <c r="A45" s="203" t="s">
        <v>215</v>
      </c>
      <c r="B45" s="204"/>
      <c r="C45" s="160"/>
      <c r="D45" s="161"/>
      <c r="E45" s="161"/>
      <c r="F45" s="161"/>
      <c r="G45" s="161"/>
      <c r="H45" s="161"/>
      <c r="I45" s="161"/>
      <c r="J45" s="197"/>
      <c r="K45" s="198"/>
      <c r="L45" s="161"/>
      <c r="M45" s="161"/>
      <c r="N45" s="162"/>
      <c r="O45" s="163"/>
      <c r="P45" s="161"/>
      <c r="Q45" s="161"/>
      <c r="R45" s="161"/>
      <c r="S45" s="173"/>
      <c r="T45" s="168"/>
      <c r="U45" s="197"/>
      <c r="V45" s="198"/>
      <c r="W45" s="160"/>
      <c r="X45" s="173"/>
      <c r="Y45" s="168"/>
      <c r="Z45" s="197"/>
      <c r="AA45" s="198"/>
    </row>
    <row r="46" spans="1:27" ht="17.100000000000001" customHeight="1" x14ac:dyDescent="0.3">
      <c r="A46" s="191" t="s">
        <v>217</v>
      </c>
      <c r="B46" s="192"/>
      <c r="C46" s="158"/>
      <c r="D46" s="147"/>
      <c r="E46" s="147"/>
      <c r="F46" s="147"/>
      <c r="G46" s="147"/>
      <c r="H46" s="147"/>
      <c r="I46" s="147"/>
      <c r="J46" s="197"/>
      <c r="K46" s="198"/>
      <c r="L46" s="147"/>
      <c r="M46" s="147"/>
      <c r="N46" s="153"/>
      <c r="O46" s="154"/>
      <c r="P46" s="147"/>
      <c r="Q46" s="147"/>
      <c r="R46" s="147"/>
      <c r="S46" s="151"/>
      <c r="T46" s="166"/>
      <c r="U46" s="197"/>
      <c r="V46" s="198"/>
      <c r="W46" s="158"/>
      <c r="X46" s="151"/>
      <c r="Y46" s="166"/>
      <c r="Z46" s="197"/>
      <c r="AA46" s="198"/>
    </row>
    <row r="47" spans="1:27" ht="17.100000000000001" customHeight="1" x14ac:dyDescent="0.3">
      <c r="A47" s="191" t="s">
        <v>216</v>
      </c>
      <c r="B47" s="192"/>
      <c r="C47" s="158"/>
      <c r="D47" s="147"/>
      <c r="E47" s="147"/>
      <c r="F47" s="147"/>
      <c r="G47" s="147"/>
      <c r="H47" s="147"/>
      <c r="I47" s="147"/>
      <c r="J47" s="197"/>
      <c r="K47" s="198"/>
      <c r="L47" s="147"/>
      <c r="M47" s="147"/>
      <c r="N47" s="153"/>
      <c r="O47" s="154"/>
      <c r="P47" s="147"/>
      <c r="Q47" s="147"/>
      <c r="R47" s="147"/>
      <c r="S47" s="151"/>
      <c r="T47" s="166"/>
      <c r="U47" s="197"/>
      <c r="V47" s="198"/>
      <c r="W47" s="158"/>
      <c r="X47" s="151"/>
      <c r="Y47" s="166"/>
      <c r="Z47" s="197"/>
      <c r="AA47" s="198"/>
    </row>
    <row r="48" spans="1:27" ht="17.100000000000001" customHeight="1" thickBot="1" x14ac:dyDescent="0.35">
      <c r="A48" s="193" t="s">
        <v>217</v>
      </c>
      <c r="B48" s="194"/>
      <c r="C48" s="159"/>
      <c r="D48" s="149"/>
      <c r="E48" s="149"/>
      <c r="F48" s="149"/>
      <c r="G48" s="149"/>
      <c r="H48" s="149"/>
      <c r="I48" s="149"/>
      <c r="J48" s="199"/>
      <c r="K48" s="200"/>
      <c r="L48" s="149"/>
      <c r="M48" s="149"/>
      <c r="N48" s="155"/>
      <c r="O48" s="156"/>
      <c r="P48" s="149"/>
      <c r="Q48" s="149"/>
      <c r="R48" s="149"/>
      <c r="S48" s="152"/>
      <c r="T48" s="167"/>
      <c r="U48" s="199"/>
      <c r="V48" s="200"/>
      <c r="W48" s="159"/>
      <c r="X48" s="152"/>
      <c r="Y48" s="167"/>
      <c r="Z48" s="199"/>
      <c r="AA48" s="200"/>
    </row>
    <row r="49" ht="17.100000000000001" customHeight="1" thickTop="1" x14ac:dyDescent="0.3"/>
  </sheetData>
  <mergeCells count="48">
    <mergeCell ref="AX26:AX27"/>
    <mergeCell ref="AX3:AX6"/>
    <mergeCell ref="AX7:AX10"/>
    <mergeCell ref="AX14:AX15"/>
    <mergeCell ref="AX16:AX17"/>
    <mergeCell ref="AX18:AX19"/>
    <mergeCell ref="AX20:AX21"/>
    <mergeCell ref="AX22:AX23"/>
    <mergeCell ref="AV2:AV3"/>
    <mergeCell ref="AZ12:BA12"/>
    <mergeCell ref="BB12:BC12"/>
    <mergeCell ref="BD12:BE12"/>
    <mergeCell ref="AX24:AX25"/>
    <mergeCell ref="AD15:AE15"/>
    <mergeCell ref="AF15:AG15"/>
    <mergeCell ref="AD16:AE16"/>
    <mergeCell ref="AF16:AG16"/>
    <mergeCell ref="AU2:AU3"/>
    <mergeCell ref="AJ21:AJ23"/>
    <mergeCell ref="AJ24:AJ26"/>
    <mergeCell ref="Z37:AA48"/>
    <mergeCell ref="AJ18:AJ20"/>
    <mergeCell ref="AJ3:AJ5"/>
    <mergeCell ref="AJ6:AJ8"/>
    <mergeCell ref="AJ9:AJ11"/>
    <mergeCell ref="AJ12:AJ14"/>
    <mergeCell ref="AJ15:AJ17"/>
    <mergeCell ref="AI3:AI8"/>
    <mergeCell ref="AI9:AI14"/>
    <mergeCell ref="AI15:AI20"/>
    <mergeCell ref="AI21:AI26"/>
    <mergeCell ref="AD7:AE7"/>
    <mergeCell ref="AF7:AG7"/>
    <mergeCell ref="AC14:AG14"/>
    <mergeCell ref="A46:B46"/>
    <mergeCell ref="A47:B47"/>
    <mergeCell ref="A48:B48"/>
    <mergeCell ref="J37:K48"/>
    <mergeCell ref="U37:V48"/>
    <mergeCell ref="A41:B41"/>
    <mergeCell ref="A42:B42"/>
    <mergeCell ref="A43:B43"/>
    <mergeCell ref="A44:B44"/>
    <mergeCell ref="A45:B45"/>
    <mergeCell ref="A37:B37"/>
    <mergeCell ref="A38:B38"/>
    <mergeCell ref="A39:B39"/>
    <mergeCell ref="A40:B40"/>
  </mergeCells>
  <phoneticPr fontId="1" type="noConversion"/>
  <hyperlinks>
    <hyperlink ref="N2" r:id="rId1" xr:uid="{136D84B7-DAB1-4521-B8DF-6EEDA1848C70}"/>
    <hyperlink ref="N3" r:id="rId2" xr:uid="{BB0185EF-A0A5-4827-9223-DB235D17340F}"/>
    <hyperlink ref="N4" r:id="rId3" xr:uid="{C763EBDF-3F2B-438E-A192-1874A387BBAC}"/>
    <hyperlink ref="N5" r:id="rId4" xr:uid="{F41D252F-AD94-4819-BB14-3FFC16EDA534}"/>
    <hyperlink ref="N6" r:id="rId5" xr:uid="{4918770D-9ADA-413B-B26D-63ECFEEDEE29}"/>
    <hyperlink ref="N7" r:id="rId6" xr:uid="{49B99187-CAB1-484C-A4AB-B247BE8C1EF8}"/>
    <hyperlink ref="N8" r:id="rId7" xr:uid="{E7B9FAA8-716F-4DFB-9288-B2A826F77A71}"/>
    <hyperlink ref="N9" r:id="rId8" xr:uid="{C09DBC54-2228-40E7-8700-6E4C51691A37}"/>
    <hyperlink ref="N10" r:id="rId9" xr:uid="{EBDCE4B0-6C04-4372-B8B8-CA67C126C23C}"/>
    <hyperlink ref="N11" r:id="rId10" xr:uid="{8161D764-D463-4414-A2F8-864093E1644C}"/>
    <hyperlink ref="N12" r:id="rId11" xr:uid="{5195EB4C-9820-4EF5-B20D-D05FD86CD54B}"/>
    <hyperlink ref="N13" r:id="rId12" xr:uid="{2E08634E-7AC2-4FAD-B3C1-F574B0014D2B}"/>
    <hyperlink ref="N14" r:id="rId13" xr:uid="{31E6BD70-2454-49D0-AD35-118240C8C668}"/>
    <hyperlink ref="N15" r:id="rId14" xr:uid="{96ECCABB-EA55-4924-AEF5-4290B71B29C2}"/>
    <hyperlink ref="N16" r:id="rId15" xr:uid="{1635B3D2-46EC-48ED-AC50-D0C5405E8579}"/>
    <hyperlink ref="N17" r:id="rId16" xr:uid="{AAD9F6BF-8C69-4172-9AD8-8C7CD7820931}"/>
    <hyperlink ref="N18" r:id="rId17" xr:uid="{9E74A2B7-1042-4A41-88B8-40A9F50E06C0}"/>
    <hyperlink ref="N19" r:id="rId18" xr:uid="{B6C17307-22E4-420A-B88B-B2E2B5E24B37}"/>
    <hyperlink ref="N20" r:id="rId19" xr:uid="{3A34AE39-50E4-4969-97D3-35D6AAC5329D}"/>
    <hyperlink ref="N21" r:id="rId20" xr:uid="{E160B89A-75C8-4FFF-A88F-F89251DB2F03}"/>
    <hyperlink ref="N23" r:id="rId21" xr:uid="{DA72E5B2-C46F-4B2F-B04A-211A5258B441}"/>
    <hyperlink ref="N22" r:id="rId22" xr:uid="{82301447-38EB-47A3-AB1C-ED16EA290E7D}"/>
    <hyperlink ref="N24" r:id="rId23" xr:uid="{B2F7BD9E-EEE5-49D4-9F3E-3A04FFD1F303}"/>
    <hyperlink ref="N25" r:id="rId24" xr:uid="{6BE49CD7-4FCB-43D3-ADED-03EBDA54C236}"/>
    <hyperlink ref="N26" r:id="rId25" xr:uid="{C2E2005E-99DA-4659-B952-2E565D5F27E1}"/>
    <hyperlink ref="N27" r:id="rId26" xr:uid="{C5E5A782-4EF2-4276-BDF4-632945E59054}"/>
    <hyperlink ref="N28" r:id="rId27" xr:uid="{AB45C99F-D2E7-42E1-A6C8-E6123EC48890}"/>
    <hyperlink ref="N29" r:id="rId28" xr:uid="{C5841288-25A8-482B-902B-B44C7B015A6F}"/>
    <hyperlink ref="N30" r:id="rId29" xr:uid="{305C0912-7589-46F1-8341-2288DBC11E00}"/>
    <hyperlink ref="N31" r:id="rId30" xr:uid="{319B47DB-EE13-44DE-BF48-3FD4872B9D64}"/>
    <hyperlink ref="N32" r:id="rId31" xr:uid="{15F1FAEE-7A9C-48B6-BC2D-1AB4E88BEBDE}"/>
    <hyperlink ref="N33" r:id="rId32" xr:uid="{D4A47B70-994E-49CC-9AF3-01F4FAC70B85}"/>
    <hyperlink ref="N34" r:id="rId33" xr:uid="{BE40543D-51AA-41AD-B617-1DE5A1C73CD0}"/>
    <hyperlink ref="N35" r:id="rId34" xr:uid="{4C976864-3DE1-4915-B091-34C928F22139}"/>
    <hyperlink ref="N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AE9:AE12 AF9:A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246" t="s">
        <v>158</v>
      </c>
      <c r="B1" s="247"/>
      <c r="C1" s="7">
        <v>0</v>
      </c>
      <c r="D1" s="7">
        <v>10000</v>
      </c>
      <c r="E1" s="7">
        <v>100000</v>
      </c>
      <c r="F1" s="7">
        <v>200000</v>
      </c>
    </row>
    <row r="2" spans="1:14" x14ac:dyDescent="0.3">
      <c r="A2" s="246" t="s">
        <v>159</v>
      </c>
      <c r="B2" s="247"/>
      <c r="C2" s="5">
        <v>4</v>
      </c>
      <c r="D2" s="5">
        <v>3</v>
      </c>
      <c r="E2" s="5">
        <v>2</v>
      </c>
      <c r="F2" s="5">
        <v>1</v>
      </c>
      <c r="N2">
        <f ca="1">VLOOKUP(회원정보!Q2,$B$4:$F$9,MATCH(회원정보!X2,$C$3:$F$3,0)+1,TRUE)</f>
        <v>0.23</v>
      </c>
    </row>
    <row r="3" spans="1:14" ht="16.5" customHeight="1" x14ac:dyDescent="0.3">
      <c r="A3" s="246" t="s">
        <v>160</v>
      </c>
      <c r="B3" s="247"/>
      <c r="C3" s="5" t="s">
        <v>161</v>
      </c>
      <c r="D3" s="5" t="s">
        <v>162</v>
      </c>
      <c r="E3" s="5" t="s">
        <v>163</v>
      </c>
      <c r="F3" s="5" t="s">
        <v>164</v>
      </c>
    </row>
    <row r="4" spans="1:14" x14ac:dyDescent="0.3">
      <c r="A4" s="248" t="s">
        <v>165</v>
      </c>
      <c r="B4" s="5">
        <v>0</v>
      </c>
      <c r="C4" s="6">
        <v>0</v>
      </c>
      <c r="D4" s="6">
        <v>0.03</v>
      </c>
      <c r="E4" s="6">
        <v>7.0000000000000007E-2</v>
      </c>
      <c r="F4" s="6">
        <v>0.1</v>
      </c>
    </row>
    <row r="5" spans="1:14" x14ac:dyDescent="0.3">
      <c r="A5" s="249"/>
      <c r="B5" s="5">
        <v>3</v>
      </c>
      <c r="C5" s="6">
        <v>0.01</v>
      </c>
      <c r="D5" s="6">
        <v>0.05</v>
      </c>
      <c r="E5" s="6">
        <v>0.1</v>
      </c>
      <c r="F5" s="6">
        <v>0.15</v>
      </c>
    </row>
    <row r="6" spans="1:14" x14ac:dyDescent="0.3">
      <c r="A6" s="249"/>
      <c r="B6" s="5">
        <v>5</v>
      </c>
      <c r="C6" s="6">
        <v>0.02</v>
      </c>
      <c r="D6" s="6">
        <v>0.08</v>
      </c>
      <c r="E6" s="6">
        <v>0.15</v>
      </c>
      <c r="F6" s="6">
        <v>0.2</v>
      </c>
    </row>
    <row r="7" spans="1:14" x14ac:dyDescent="0.3">
      <c r="A7" s="249"/>
      <c r="B7" s="5">
        <v>10</v>
      </c>
      <c r="C7" s="6">
        <v>0.03</v>
      </c>
      <c r="D7" s="6">
        <v>0.1</v>
      </c>
      <c r="E7" s="6">
        <v>0.2</v>
      </c>
      <c r="F7" s="6">
        <v>0.25</v>
      </c>
    </row>
    <row r="8" spans="1:14" x14ac:dyDescent="0.3">
      <c r="A8" s="249"/>
      <c r="B8" s="5">
        <v>15</v>
      </c>
      <c r="C8" s="6">
        <v>0.04</v>
      </c>
      <c r="D8" s="6">
        <v>0.13</v>
      </c>
      <c r="E8" s="6">
        <v>0.23</v>
      </c>
      <c r="F8" s="6">
        <v>0.3</v>
      </c>
    </row>
    <row r="9" spans="1:14" x14ac:dyDescent="0.3">
      <c r="A9" s="250"/>
      <c r="B9" s="5">
        <v>20</v>
      </c>
      <c r="C9" s="6">
        <v>0.05</v>
      </c>
      <c r="D9" s="6">
        <v>0.15</v>
      </c>
      <c r="E9" s="6">
        <v>0.25</v>
      </c>
      <c r="F9" s="6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2019-11-24T13:22:44Z</dcterms:modified>
</cp:coreProperties>
</file>