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2차_수정\제5부 엑셀에서 제공하는 분석 기능\Chap17_데이터 집합의 상태 파악\Chap17 데이터 집합의 상태 파악_준비파일\"/>
    </mc:Choice>
  </mc:AlternateContent>
  <xr:revisionPtr revIDLastSave="0" documentId="13_ncr:1_{DC129850-4EC0-49B5-AC10-9B3C4E17CCE2}" xr6:coauthVersionLast="45" xr6:coauthVersionMax="45" xr10:uidLastSave="{00000000-0000-0000-0000-000000000000}"/>
  <bookViews>
    <workbookView xWindow="390" yWindow="390" windowWidth="22875" windowHeight="14790" xr2:uid="{00000000-000D-0000-FFFF-FFFF00000000}"/>
  </bookViews>
  <sheets>
    <sheet name="분반1" sheetId="1" r:id="rId1"/>
    <sheet name="학과코드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U2" i="1"/>
  <c r="T2" i="1"/>
  <c r="F62" i="1"/>
  <c r="F61" i="1"/>
  <c r="F60" i="1"/>
  <c r="F59" i="1"/>
  <c r="F58" i="1"/>
  <c r="F57" i="1"/>
  <c r="F56" i="1"/>
  <c r="F55" i="1"/>
  <c r="J59" i="1" l="1"/>
  <c r="N59" i="1"/>
  <c r="O59" i="1"/>
  <c r="S59" i="1"/>
  <c r="V59" i="1"/>
  <c r="J60" i="1"/>
  <c r="N60" i="1"/>
  <c r="O60" i="1"/>
  <c r="S60" i="1"/>
  <c r="V60" i="1"/>
  <c r="J61" i="1"/>
  <c r="N61" i="1"/>
  <c r="O61" i="1"/>
  <c r="S61" i="1"/>
  <c r="V61" i="1"/>
  <c r="J62" i="1"/>
  <c r="N62" i="1"/>
  <c r="O62" i="1"/>
  <c r="S62" i="1"/>
  <c r="V62" i="1"/>
  <c r="BG59" i="1"/>
  <c r="BF59" i="1"/>
  <c r="BE59" i="1"/>
  <c r="BD59" i="1"/>
  <c r="BC59" i="1"/>
  <c r="BB59" i="1"/>
  <c r="BA59" i="1"/>
  <c r="AZ59" i="1"/>
  <c r="AY59" i="1"/>
  <c r="J55" i="1" l="1"/>
  <c r="N55" i="1"/>
  <c r="O55" i="1"/>
  <c r="S55" i="1"/>
  <c r="V55" i="1"/>
  <c r="J56" i="1"/>
  <c r="N56" i="1"/>
  <c r="O56" i="1"/>
  <c r="S56" i="1"/>
  <c r="V56" i="1"/>
  <c r="J57" i="1"/>
  <c r="N57" i="1"/>
  <c r="O57" i="1"/>
  <c r="S57" i="1"/>
  <c r="V57" i="1"/>
  <c r="J58" i="1"/>
  <c r="N58" i="1"/>
  <c r="O58" i="1"/>
  <c r="S58" i="1"/>
  <c r="V58" i="1"/>
  <c r="AL14" i="1" l="1"/>
  <c r="AL13" i="1"/>
  <c r="AL11" i="1"/>
  <c r="AK11" i="1"/>
  <c r="AC3" i="1" l="1"/>
  <c r="D3" i="1" s="1"/>
  <c r="AC4" i="1"/>
  <c r="D4" i="1" s="1"/>
  <c r="AC5" i="1"/>
  <c r="D5" i="1" s="1"/>
  <c r="AC6" i="1"/>
  <c r="AC7" i="1"/>
  <c r="AC8" i="1"/>
  <c r="D8" i="1" s="1"/>
  <c r="AC9" i="1"/>
  <c r="D9" i="1" s="1"/>
  <c r="AC10" i="1"/>
  <c r="D10" i="1" s="1"/>
  <c r="AC11" i="1"/>
  <c r="D11" i="1" s="1"/>
  <c r="AC12" i="1"/>
  <c r="D12" i="1" s="1"/>
  <c r="AC13" i="1"/>
  <c r="D13" i="1" s="1"/>
  <c r="AC14" i="1"/>
  <c r="D14" i="1" s="1"/>
  <c r="AC15" i="1"/>
  <c r="AC16" i="1"/>
  <c r="D16" i="1" s="1"/>
  <c r="AC17" i="1"/>
  <c r="D17" i="1" s="1"/>
  <c r="AC18" i="1"/>
  <c r="D18" i="1" s="1"/>
  <c r="AC19" i="1"/>
  <c r="D19" i="1" s="1"/>
  <c r="AC20" i="1"/>
  <c r="D20" i="1" s="1"/>
  <c r="AC21" i="1"/>
  <c r="D21" i="1" s="1"/>
  <c r="AC22" i="1"/>
  <c r="D22" i="1" s="1"/>
  <c r="AC23" i="1"/>
  <c r="D23" i="1" s="1"/>
  <c r="AC24" i="1"/>
  <c r="D24" i="1" s="1"/>
  <c r="AC25" i="1"/>
  <c r="D25" i="1" s="1"/>
  <c r="AC26" i="1"/>
  <c r="D26" i="1" s="1"/>
  <c r="AC27" i="1"/>
  <c r="D27" i="1" s="1"/>
  <c r="AC28" i="1"/>
  <c r="D28" i="1" s="1"/>
  <c r="AC29" i="1"/>
  <c r="D29" i="1" s="1"/>
  <c r="AC30" i="1"/>
  <c r="D30" i="1" s="1"/>
  <c r="AC31" i="1"/>
  <c r="D31" i="1" s="1"/>
  <c r="AC32" i="1"/>
  <c r="D32" i="1" s="1"/>
  <c r="AC33" i="1"/>
  <c r="D33" i="1" s="1"/>
  <c r="AC34" i="1"/>
  <c r="D34" i="1" s="1"/>
  <c r="AC35" i="1"/>
  <c r="D35" i="1" s="1"/>
  <c r="AC36" i="1"/>
  <c r="D36" i="1" s="1"/>
  <c r="AC37" i="1"/>
  <c r="D37" i="1" s="1"/>
  <c r="AC38" i="1"/>
  <c r="D38" i="1" s="1"/>
  <c r="AC39" i="1"/>
  <c r="D39" i="1" s="1"/>
  <c r="AC40" i="1"/>
  <c r="D40" i="1" s="1"/>
  <c r="AC41" i="1"/>
  <c r="D41" i="1" s="1"/>
  <c r="AC42" i="1"/>
  <c r="D42" i="1" s="1"/>
  <c r="AC43" i="1"/>
  <c r="D43" i="1" s="1"/>
  <c r="AC44" i="1"/>
  <c r="D44" i="1" s="1"/>
  <c r="AC45" i="1"/>
  <c r="D45" i="1" s="1"/>
  <c r="AC46" i="1"/>
  <c r="D46" i="1" s="1"/>
  <c r="AC47" i="1"/>
  <c r="D47" i="1" s="1"/>
  <c r="AC48" i="1"/>
  <c r="D48" i="1" s="1"/>
  <c r="AC49" i="1"/>
  <c r="D49" i="1" s="1"/>
  <c r="AC50" i="1"/>
  <c r="D50" i="1" s="1"/>
  <c r="AC51" i="1"/>
  <c r="D51" i="1" s="1"/>
  <c r="AC52" i="1"/>
  <c r="D52" i="1" s="1"/>
  <c r="AC53" i="1"/>
  <c r="D53" i="1" s="1"/>
  <c r="AC54" i="1"/>
  <c r="D54" i="1" s="1"/>
  <c r="D15" i="1" l="1"/>
  <c r="BD27" i="1"/>
  <c r="BD28" i="1"/>
  <c r="BD29" i="1"/>
  <c r="AZ15" i="1"/>
  <c r="AZ16" i="1"/>
  <c r="AZ17" i="1"/>
  <c r="AY17" i="1"/>
  <c r="BD4" i="1"/>
  <c r="BE4" i="1"/>
  <c r="BB4" i="1"/>
  <c r="BE27" i="1"/>
  <c r="BE28" i="1"/>
  <c r="BE29" i="1"/>
  <c r="BA15" i="1"/>
  <c r="BA16" i="1"/>
  <c r="BA17" i="1"/>
  <c r="AY16" i="1"/>
  <c r="BE5" i="1"/>
  <c r="BF4" i="1"/>
  <c r="BF27" i="1"/>
  <c r="BF28" i="1"/>
  <c r="BF29" i="1"/>
  <c r="BB15" i="1"/>
  <c r="BB16" i="1"/>
  <c r="BB17" i="1"/>
  <c r="AY15" i="1"/>
  <c r="BF3" i="1"/>
  <c r="BG27" i="1"/>
  <c r="BG28" i="1"/>
  <c r="BG29" i="1"/>
  <c r="BC15" i="1"/>
  <c r="BC16" i="1"/>
  <c r="BC17" i="1"/>
  <c r="BG3" i="1"/>
  <c r="BG4" i="1"/>
  <c r="BG5" i="1"/>
  <c r="AZ4" i="1"/>
  <c r="AY5" i="1"/>
  <c r="BA5" i="1"/>
  <c r="BB5" i="1"/>
  <c r="AZ27" i="1"/>
  <c r="AZ28" i="1"/>
  <c r="AZ29" i="1"/>
  <c r="AY27" i="1"/>
  <c r="BD15" i="1"/>
  <c r="BD16" i="1"/>
  <c r="BD17" i="1"/>
  <c r="AZ3" i="1"/>
  <c r="AZ5" i="1"/>
  <c r="BA3" i="1"/>
  <c r="AY4" i="1"/>
  <c r="BA27" i="1"/>
  <c r="BA28" i="1"/>
  <c r="BA29" i="1"/>
  <c r="AY29" i="1"/>
  <c r="BE15" i="1"/>
  <c r="BE16" i="1"/>
  <c r="BE17" i="1"/>
  <c r="BA4" i="1"/>
  <c r="BB3" i="1"/>
  <c r="BB27" i="1"/>
  <c r="BB28" i="1"/>
  <c r="BB29" i="1"/>
  <c r="AY28" i="1"/>
  <c r="BF15" i="1"/>
  <c r="BF16" i="1"/>
  <c r="BF17" i="1"/>
  <c r="AY3" i="1"/>
  <c r="BC27" i="1"/>
  <c r="BC28" i="1"/>
  <c r="BC29" i="1"/>
  <c r="BG15" i="1"/>
  <c r="BG16" i="1"/>
  <c r="BG17" i="1"/>
  <c r="BC3" i="1"/>
  <c r="BC4" i="1"/>
  <c r="BC5" i="1"/>
  <c r="BD3" i="1"/>
  <c r="BD5" i="1"/>
  <c r="BE3" i="1"/>
  <c r="BF5" i="1"/>
  <c r="D7" i="1"/>
  <c r="BF55" i="1"/>
  <c r="BE56" i="1"/>
  <c r="BD57" i="1"/>
  <c r="AY55" i="1"/>
  <c r="BG55" i="1"/>
  <c r="BF56" i="1"/>
  <c r="BE57" i="1"/>
  <c r="AZ55" i="1"/>
  <c r="AY56" i="1"/>
  <c r="BG56" i="1"/>
  <c r="BF57" i="1"/>
  <c r="BA55" i="1"/>
  <c r="AZ56" i="1"/>
  <c r="AY57" i="1"/>
  <c r="BG57" i="1"/>
  <c r="BB55" i="1"/>
  <c r="BA56" i="1"/>
  <c r="AZ57" i="1"/>
  <c r="BC55" i="1"/>
  <c r="BB56" i="1"/>
  <c r="BA57" i="1"/>
  <c r="BD55" i="1"/>
  <c r="BC56" i="1"/>
  <c r="BB57" i="1"/>
  <c r="BE55" i="1"/>
  <c r="BD56" i="1"/>
  <c r="BC57" i="1"/>
  <c r="D6" i="1"/>
  <c r="AB3" i="1"/>
  <c r="AD3" i="1" s="1"/>
  <c r="AB4" i="1"/>
  <c r="AD4" i="1" s="1"/>
  <c r="AB5" i="1"/>
  <c r="AD5" i="1" s="1"/>
  <c r="AB6" i="1"/>
  <c r="AD6" i="1" s="1"/>
  <c r="AB7" i="1"/>
  <c r="AD7" i="1" s="1"/>
  <c r="AB8" i="1"/>
  <c r="AD8" i="1" s="1"/>
  <c r="AB9" i="1"/>
  <c r="AD9" i="1" s="1"/>
  <c r="AB10" i="1"/>
  <c r="AD10" i="1" s="1"/>
  <c r="AB11" i="1"/>
  <c r="AD11" i="1" s="1"/>
  <c r="AB12" i="1"/>
  <c r="AD12" i="1" s="1"/>
  <c r="AB13" i="1"/>
  <c r="AD13" i="1" s="1"/>
  <c r="AB14" i="1"/>
  <c r="AD14" i="1" s="1"/>
  <c r="AB15" i="1"/>
  <c r="AD15" i="1" s="1"/>
  <c r="AB16" i="1"/>
  <c r="AD16" i="1" s="1"/>
  <c r="AB17" i="1"/>
  <c r="AD17" i="1" s="1"/>
  <c r="AB18" i="1"/>
  <c r="AD18" i="1" s="1"/>
  <c r="AB19" i="1"/>
  <c r="AD19" i="1" s="1"/>
  <c r="AB20" i="1"/>
  <c r="AD20" i="1" s="1"/>
  <c r="AB21" i="1"/>
  <c r="AD21" i="1" s="1"/>
  <c r="AB22" i="1"/>
  <c r="AD22" i="1" s="1"/>
  <c r="AB23" i="1"/>
  <c r="AD23" i="1" s="1"/>
  <c r="AB24" i="1"/>
  <c r="AD24" i="1" s="1"/>
  <c r="AB25" i="1"/>
  <c r="AD25" i="1" s="1"/>
  <c r="AB26" i="1"/>
  <c r="AD26" i="1" s="1"/>
  <c r="AB27" i="1"/>
  <c r="AD27" i="1" s="1"/>
  <c r="AB28" i="1"/>
  <c r="AD28" i="1" s="1"/>
  <c r="AB29" i="1"/>
  <c r="AD29" i="1" s="1"/>
  <c r="AB30" i="1"/>
  <c r="AD30" i="1" s="1"/>
  <c r="AB31" i="1"/>
  <c r="AD31" i="1" s="1"/>
  <c r="AB32" i="1"/>
  <c r="AD32" i="1" s="1"/>
  <c r="AB33" i="1"/>
  <c r="AD33" i="1" s="1"/>
  <c r="AB34" i="1"/>
  <c r="AD34" i="1" s="1"/>
  <c r="AB35" i="1"/>
  <c r="AD35" i="1" s="1"/>
  <c r="AB36" i="1"/>
  <c r="AD36" i="1" s="1"/>
  <c r="AB37" i="1"/>
  <c r="AD37" i="1" s="1"/>
  <c r="AB38" i="1"/>
  <c r="AD38" i="1" s="1"/>
  <c r="AB39" i="1"/>
  <c r="AD39" i="1" s="1"/>
  <c r="AB40" i="1"/>
  <c r="AD40" i="1" s="1"/>
  <c r="AB41" i="1"/>
  <c r="AD41" i="1" s="1"/>
  <c r="AB42" i="1"/>
  <c r="AD42" i="1" s="1"/>
  <c r="AB43" i="1"/>
  <c r="AD43" i="1" s="1"/>
  <c r="AB44" i="1"/>
  <c r="AD44" i="1" s="1"/>
  <c r="AB45" i="1"/>
  <c r="AD45" i="1" s="1"/>
  <c r="AB46" i="1"/>
  <c r="AD46" i="1" s="1"/>
  <c r="AB47" i="1"/>
  <c r="AD47" i="1" s="1"/>
  <c r="AB48" i="1"/>
  <c r="AD48" i="1" s="1"/>
  <c r="AB49" i="1"/>
  <c r="AD49" i="1" s="1"/>
  <c r="AB50" i="1"/>
  <c r="AD50" i="1" s="1"/>
  <c r="AB51" i="1"/>
  <c r="AD51" i="1" s="1"/>
  <c r="AB52" i="1"/>
  <c r="AD52" i="1" s="1"/>
  <c r="AB53" i="1"/>
  <c r="AD53" i="1" s="1"/>
  <c r="AB54" i="1"/>
  <c r="AD54" i="1" s="1"/>
  <c r="AC2" i="1"/>
  <c r="AB2" i="1"/>
  <c r="K2" i="1"/>
  <c r="P2" i="1"/>
  <c r="AD2" i="1" l="1"/>
  <c r="D2" i="1"/>
  <c r="BT22" i="1"/>
  <c r="BT23" i="1"/>
  <c r="BV19" i="1"/>
  <c r="BX16" i="1"/>
  <c r="BX13" i="1"/>
  <c r="BX14" i="1"/>
  <c r="BX15" i="1"/>
  <c r="BZ12" i="1"/>
  <c r="BZ9" i="1"/>
  <c r="BZ10" i="1"/>
  <c r="BZ11" i="1"/>
  <c r="BT6" i="1"/>
  <c r="BT7" i="1"/>
  <c r="BV4" i="1"/>
  <c r="CA12" i="1"/>
  <c r="BU6" i="1"/>
  <c r="BT11" i="1"/>
  <c r="BV7" i="1"/>
  <c r="BW7" i="1"/>
  <c r="BU22" i="1"/>
  <c r="BU23" i="1"/>
  <c r="BW19" i="1"/>
  <c r="BY16" i="1"/>
  <c r="BY13" i="1"/>
  <c r="BY14" i="1"/>
  <c r="CA11" i="1"/>
  <c r="BU10" i="1"/>
  <c r="BV21" i="1"/>
  <c r="BV22" i="1"/>
  <c r="BV23" i="1"/>
  <c r="BX20" i="1"/>
  <c r="BX17" i="1"/>
  <c r="BX18" i="1"/>
  <c r="BX19" i="1"/>
  <c r="BZ16" i="1"/>
  <c r="BZ13" i="1"/>
  <c r="BV8" i="1"/>
  <c r="BW6" i="1"/>
  <c r="BW21" i="1"/>
  <c r="BW22" i="1"/>
  <c r="BW23" i="1"/>
  <c r="BY20" i="1"/>
  <c r="BY17" i="1"/>
  <c r="BY18" i="1"/>
  <c r="BY19" i="1"/>
  <c r="CA16" i="1"/>
  <c r="CA13" i="1"/>
  <c r="BX22" i="1"/>
  <c r="BX23" i="1"/>
  <c r="BZ20" i="1"/>
  <c r="BZ17" i="1"/>
  <c r="BZ18" i="1"/>
  <c r="BT14" i="1"/>
  <c r="BT15" i="1"/>
  <c r="BV12" i="1"/>
  <c r="BV11" i="1"/>
  <c r="BX8" i="1"/>
  <c r="BZ4" i="1"/>
  <c r="BU8" i="1"/>
  <c r="BT10" i="1"/>
  <c r="BU12" i="1"/>
  <c r="BY4" i="1"/>
  <c r="BY22" i="1"/>
  <c r="BY23" i="1"/>
  <c r="CA20" i="1"/>
  <c r="CA17" i="1"/>
  <c r="CA18" i="1"/>
  <c r="BU14" i="1"/>
  <c r="BU15" i="1"/>
  <c r="BW12" i="1"/>
  <c r="BW11" i="1"/>
  <c r="BY8" i="1"/>
  <c r="CA4" i="1"/>
  <c r="BT8" i="1"/>
  <c r="BW16" i="1"/>
  <c r="BW15" i="1"/>
  <c r="CA8" i="1"/>
  <c r="CA7" i="1"/>
  <c r="BY15" i="1"/>
  <c r="CA10" i="1"/>
  <c r="BW4" i="1"/>
  <c r="BV6" i="1"/>
  <c r="BW8" i="1"/>
  <c r="BZ21" i="1"/>
  <c r="BZ23" i="1"/>
  <c r="BT18" i="1"/>
  <c r="BT19" i="1"/>
  <c r="BV16" i="1"/>
  <c r="BV15" i="1"/>
  <c r="BX12" i="1"/>
  <c r="BZ8" i="1"/>
  <c r="BZ5" i="1"/>
  <c r="BZ7" i="1"/>
  <c r="BU4" i="1"/>
  <c r="BU19" i="1"/>
  <c r="CA5" i="1"/>
  <c r="CA9" i="1"/>
  <c r="BU7" i="1"/>
  <c r="BU11" i="1"/>
  <c r="CA21" i="1"/>
  <c r="CA23" i="1"/>
  <c r="BU18" i="1"/>
  <c r="BY12" i="1"/>
  <c r="BT4" i="1"/>
  <c r="BX4" i="1"/>
  <c r="BT12" i="1"/>
  <c r="BP7" i="1"/>
  <c r="BO22" i="1"/>
  <c r="BP22" i="1"/>
  <c r="BP11" i="1"/>
  <c r="BP3" i="1"/>
  <c r="BO11" i="1"/>
  <c r="BO7" i="1"/>
  <c r="BO3" i="1"/>
  <c r="P3" i="1"/>
  <c r="R2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K3" i="1"/>
  <c r="M2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2" i="1"/>
  <c r="I46" i="1" l="1"/>
  <c r="H46" i="1"/>
  <c r="L2" i="1"/>
  <c r="I54" i="1"/>
  <c r="H54" i="1"/>
  <c r="I42" i="1"/>
  <c r="H42" i="1"/>
  <c r="I34" i="1"/>
  <c r="H34" i="1"/>
  <c r="I26" i="1"/>
  <c r="H26" i="1"/>
  <c r="I22" i="1"/>
  <c r="H22" i="1"/>
  <c r="I14" i="1"/>
  <c r="H14" i="1"/>
  <c r="I6" i="1"/>
  <c r="H6" i="1"/>
  <c r="M50" i="1"/>
  <c r="L50" i="1"/>
  <c r="M42" i="1"/>
  <c r="L42" i="1"/>
  <c r="M34" i="1"/>
  <c r="L34" i="1"/>
  <c r="M26" i="1"/>
  <c r="L26" i="1"/>
  <c r="M18" i="1"/>
  <c r="L18" i="1"/>
  <c r="M10" i="1"/>
  <c r="L10" i="1"/>
  <c r="Q54" i="1"/>
  <c r="R54" i="1"/>
  <c r="Q46" i="1"/>
  <c r="R46" i="1"/>
  <c r="Q38" i="1"/>
  <c r="R38" i="1"/>
  <c r="Q30" i="1"/>
  <c r="R30" i="1"/>
  <c r="Q22" i="1"/>
  <c r="R22" i="1"/>
  <c r="Q10" i="1"/>
  <c r="R10" i="1"/>
  <c r="I41" i="1"/>
  <c r="H41" i="1"/>
  <c r="I29" i="1"/>
  <c r="H29" i="1"/>
  <c r="I13" i="1"/>
  <c r="H13" i="1"/>
  <c r="L53" i="1"/>
  <c r="M53" i="1"/>
  <c r="L37" i="1"/>
  <c r="M37" i="1"/>
  <c r="L29" i="1"/>
  <c r="M29" i="1"/>
  <c r="L21" i="1"/>
  <c r="M21" i="1"/>
  <c r="L17" i="1"/>
  <c r="M17" i="1"/>
  <c r="L13" i="1"/>
  <c r="M13" i="1"/>
  <c r="L9" i="1"/>
  <c r="M9" i="1"/>
  <c r="L5" i="1"/>
  <c r="M5" i="1"/>
  <c r="R53" i="1"/>
  <c r="Q53" i="1"/>
  <c r="R49" i="1"/>
  <c r="Q49" i="1"/>
  <c r="R45" i="1"/>
  <c r="Q45" i="1"/>
  <c r="R41" i="1"/>
  <c r="Q41" i="1"/>
  <c r="R37" i="1"/>
  <c r="Q37" i="1"/>
  <c r="R33" i="1"/>
  <c r="Q33" i="1"/>
  <c r="R29" i="1"/>
  <c r="Q29" i="1"/>
  <c r="R25" i="1"/>
  <c r="Q25" i="1"/>
  <c r="R21" i="1"/>
  <c r="Q21" i="1"/>
  <c r="R17" i="1"/>
  <c r="Q17" i="1"/>
  <c r="R13" i="1"/>
  <c r="Q13" i="1"/>
  <c r="R9" i="1"/>
  <c r="Q9" i="1"/>
  <c r="R5" i="1"/>
  <c r="Q5" i="1"/>
  <c r="I53" i="1"/>
  <c r="H53" i="1"/>
  <c r="I45" i="1"/>
  <c r="H45" i="1"/>
  <c r="I33" i="1"/>
  <c r="H33" i="1"/>
  <c r="I21" i="1"/>
  <c r="H21" i="1"/>
  <c r="I9" i="1"/>
  <c r="H9" i="1"/>
  <c r="L49" i="1"/>
  <c r="M49" i="1"/>
  <c r="L41" i="1"/>
  <c r="M41" i="1"/>
  <c r="L25" i="1"/>
  <c r="M25" i="1"/>
  <c r="I44" i="1"/>
  <c r="H44" i="1"/>
  <c r="I32" i="1"/>
  <c r="H32" i="1"/>
  <c r="I24" i="1"/>
  <c r="H24" i="1"/>
  <c r="I16" i="1"/>
  <c r="H16" i="1"/>
  <c r="I8" i="1"/>
  <c r="H8" i="1"/>
  <c r="M52" i="1"/>
  <c r="L52" i="1"/>
  <c r="M48" i="1"/>
  <c r="L48" i="1"/>
  <c r="M44" i="1"/>
  <c r="L44" i="1"/>
  <c r="M40" i="1"/>
  <c r="L40" i="1"/>
  <c r="M36" i="1"/>
  <c r="L36" i="1"/>
  <c r="M32" i="1"/>
  <c r="L32" i="1"/>
  <c r="M28" i="1"/>
  <c r="L28" i="1"/>
  <c r="M24" i="1"/>
  <c r="L24" i="1"/>
  <c r="M20" i="1"/>
  <c r="L20" i="1"/>
  <c r="M16" i="1"/>
  <c r="L16" i="1"/>
  <c r="M12" i="1"/>
  <c r="L12" i="1"/>
  <c r="M8" i="1"/>
  <c r="L8" i="1"/>
  <c r="M4" i="1"/>
  <c r="L4" i="1"/>
  <c r="Q52" i="1"/>
  <c r="R52" i="1"/>
  <c r="Q48" i="1"/>
  <c r="R48" i="1"/>
  <c r="Q44" i="1"/>
  <c r="R44" i="1"/>
  <c r="Q40" i="1"/>
  <c r="R40" i="1"/>
  <c r="Q36" i="1"/>
  <c r="R36" i="1"/>
  <c r="Q32" i="1"/>
  <c r="R32" i="1"/>
  <c r="Q28" i="1"/>
  <c r="R28" i="1"/>
  <c r="Q24" i="1"/>
  <c r="R24" i="1"/>
  <c r="Q20" i="1"/>
  <c r="R20" i="1"/>
  <c r="Q16" i="1"/>
  <c r="R16" i="1"/>
  <c r="Q12" i="1"/>
  <c r="R12" i="1"/>
  <c r="Q8" i="1"/>
  <c r="R8" i="1"/>
  <c r="Q4" i="1"/>
  <c r="R4" i="1"/>
  <c r="I50" i="1"/>
  <c r="H50" i="1"/>
  <c r="I38" i="1"/>
  <c r="H38" i="1"/>
  <c r="I30" i="1"/>
  <c r="H30" i="1"/>
  <c r="I18" i="1"/>
  <c r="H18" i="1"/>
  <c r="I10" i="1"/>
  <c r="H10" i="1"/>
  <c r="M54" i="1"/>
  <c r="L54" i="1"/>
  <c r="M46" i="1"/>
  <c r="L46" i="1"/>
  <c r="M38" i="1"/>
  <c r="L38" i="1"/>
  <c r="M30" i="1"/>
  <c r="L30" i="1"/>
  <c r="M22" i="1"/>
  <c r="L22" i="1"/>
  <c r="M14" i="1"/>
  <c r="L14" i="1"/>
  <c r="M6" i="1"/>
  <c r="L6" i="1"/>
  <c r="Q50" i="1"/>
  <c r="R50" i="1"/>
  <c r="Q42" i="1"/>
  <c r="R42" i="1"/>
  <c r="Q34" i="1"/>
  <c r="R34" i="1"/>
  <c r="Q26" i="1"/>
  <c r="R26" i="1"/>
  <c r="Q18" i="1"/>
  <c r="R18" i="1"/>
  <c r="Q14" i="1"/>
  <c r="R14" i="1"/>
  <c r="Q6" i="1"/>
  <c r="R6" i="1"/>
  <c r="I49" i="1"/>
  <c r="H49" i="1"/>
  <c r="I37" i="1"/>
  <c r="H37" i="1"/>
  <c r="I25" i="1"/>
  <c r="H25" i="1"/>
  <c r="I17" i="1"/>
  <c r="H17" i="1"/>
  <c r="I5" i="1"/>
  <c r="H5" i="1"/>
  <c r="L45" i="1"/>
  <c r="M45" i="1"/>
  <c r="L33" i="1"/>
  <c r="M33" i="1"/>
  <c r="I52" i="1"/>
  <c r="H52" i="1"/>
  <c r="I48" i="1"/>
  <c r="H48" i="1"/>
  <c r="I40" i="1"/>
  <c r="H40" i="1"/>
  <c r="I36" i="1"/>
  <c r="H36" i="1"/>
  <c r="I28" i="1"/>
  <c r="H28" i="1"/>
  <c r="I20" i="1"/>
  <c r="H20" i="1"/>
  <c r="I12" i="1"/>
  <c r="H12" i="1"/>
  <c r="I4" i="1"/>
  <c r="H4" i="1"/>
  <c r="I2" i="1"/>
  <c r="H2" i="1"/>
  <c r="I51" i="1"/>
  <c r="H51" i="1"/>
  <c r="H47" i="1"/>
  <c r="I47" i="1"/>
  <c r="H43" i="1"/>
  <c r="I43" i="1"/>
  <c r="I39" i="1"/>
  <c r="H39" i="1"/>
  <c r="I35" i="1"/>
  <c r="H35" i="1"/>
  <c r="I31" i="1"/>
  <c r="H31" i="1"/>
  <c r="H27" i="1"/>
  <c r="I27" i="1"/>
  <c r="I23" i="1"/>
  <c r="H23" i="1"/>
  <c r="H19" i="1"/>
  <c r="I19" i="1"/>
  <c r="H15" i="1"/>
  <c r="I15" i="1"/>
  <c r="H11" i="1"/>
  <c r="I11" i="1"/>
  <c r="H7" i="1"/>
  <c r="I7" i="1"/>
  <c r="H3" i="1"/>
  <c r="I3" i="1"/>
  <c r="L51" i="1"/>
  <c r="M51" i="1"/>
  <c r="L47" i="1"/>
  <c r="M47" i="1"/>
  <c r="L43" i="1"/>
  <c r="M43" i="1"/>
  <c r="L39" i="1"/>
  <c r="M39" i="1"/>
  <c r="L35" i="1"/>
  <c r="M35" i="1"/>
  <c r="L31" i="1"/>
  <c r="M31" i="1"/>
  <c r="L27" i="1"/>
  <c r="M27" i="1"/>
  <c r="L23" i="1"/>
  <c r="M23" i="1"/>
  <c r="L19" i="1"/>
  <c r="M19" i="1"/>
  <c r="L15" i="1"/>
  <c r="M15" i="1"/>
  <c r="L11" i="1"/>
  <c r="M11" i="1"/>
  <c r="L7" i="1"/>
  <c r="M7" i="1"/>
  <c r="L3" i="1"/>
  <c r="M3" i="1"/>
  <c r="R51" i="1"/>
  <c r="Q51" i="1"/>
  <c r="R47" i="1"/>
  <c r="Q47" i="1"/>
  <c r="R43" i="1"/>
  <c r="Q43" i="1"/>
  <c r="R39" i="1"/>
  <c r="Q39" i="1"/>
  <c r="R35" i="1"/>
  <c r="Q35" i="1"/>
  <c r="R31" i="1"/>
  <c r="Q31" i="1"/>
  <c r="R27" i="1"/>
  <c r="Q27" i="1"/>
  <c r="R23" i="1"/>
  <c r="Q23" i="1"/>
  <c r="R19" i="1"/>
  <c r="Q19" i="1"/>
  <c r="R15" i="1"/>
  <c r="Q15" i="1"/>
  <c r="R11" i="1"/>
  <c r="Q11" i="1"/>
  <c r="R7" i="1"/>
  <c r="Q7" i="1"/>
  <c r="R3" i="1"/>
  <c r="Q3" i="1"/>
  <c r="Q2" i="1"/>
  <c r="K58" i="1"/>
  <c r="K57" i="1"/>
  <c r="P57" i="1"/>
  <c r="P58" i="1"/>
  <c r="K56" i="1"/>
  <c r="P56" i="1"/>
  <c r="K55" i="1"/>
  <c r="P55" i="1"/>
  <c r="K62" i="1"/>
  <c r="P62" i="1"/>
  <c r="K61" i="1"/>
  <c r="P61" i="1"/>
  <c r="W49" i="1"/>
  <c r="W41" i="1"/>
  <c r="W33" i="1"/>
  <c r="W25" i="1"/>
  <c r="W17" i="1"/>
  <c r="W9" i="1"/>
  <c r="K60" i="1"/>
  <c r="P60" i="1"/>
  <c r="K59" i="1"/>
  <c r="P59" i="1"/>
  <c r="G62" i="1"/>
  <c r="G61" i="1"/>
  <c r="G60" i="1"/>
  <c r="G59" i="1"/>
  <c r="G55" i="1"/>
  <c r="G57" i="1"/>
  <c r="G56" i="1"/>
  <c r="G58" i="1"/>
  <c r="W23" i="1"/>
  <c r="W8" i="1"/>
  <c r="W43" i="1"/>
  <c r="W35" i="1"/>
  <c r="W11" i="1"/>
  <c r="W51" i="1"/>
  <c r="W27" i="1"/>
  <c r="W19" i="1"/>
  <c r="W3" i="1"/>
  <c r="W15" i="1"/>
  <c r="W36" i="1"/>
  <c r="W28" i="1"/>
  <c r="W31" i="1"/>
  <c r="W7" i="1"/>
  <c r="W53" i="1"/>
  <c r="W37" i="1"/>
  <c r="W21" i="1"/>
  <c r="W5" i="1"/>
  <c r="W40" i="1"/>
  <c r="W45" i="1"/>
  <c r="W29" i="1"/>
  <c r="W13" i="1"/>
  <c r="W52" i="1"/>
  <c r="W44" i="1"/>
  <c r="W20" i="1"/>
  <c r="W12" i="1"/>
  <c r="W4" i="1"/>
  <c r="BO15" i="1"/>
  <c r="BT16" i="1"/>
  <c r="BU16" i="1"/>
  <c r="BV13" i="1"/>
  <c r="W48" i="1"/>
  <c r="W24" i="1"/>
  <c r="W16" i="1"/>
  <c r="W47" i="1"/>
  <c r="W32" i="1"/>
  <c r="W39" i="1"/>
  <c r="W2" i="1"/>
  <c r="W54" i="1"/>
  <c r="W50" i="1"/>
  <c r="W46" i="1"/>
  <c r="W42" i="1"/>
  <c r="W38" i="1"/>
  <c r="W34" i="1"/>
  <c r="W30" i="1"/>
  <c r="W26" i="1"/>
  <c r="W22" i="1"/>
  <c r="W18" i="1"/>
  <c r="W14" i="1"/>
  <c r="W10" i="1"/>
  <c r="W6" i="1"/>
  <c r="Y6" i="1" s="1"/>
  <c r="Y10" i="1" l="1"/>
  <c r="Y26" i="1"/>
  <c r="Y42" i="1"/>
  <c r="Y2" i="1"/>
  <c r="Y16" i="1"/>
  <c r="Y12" i="1"/>
  <c r="Y13" i="1"/>
  <c r="Y5" i="1"/>
  <c r="Y7" i="1"/>
  <c r="BO19" i="1"/>
  <c r="Y15" i="1"/>
  <c r="BY9" i="1"/>
  <c r="Y51" i="1"/>
  <c r="Y8" i="1"/>
  <c r="BW5" i="1"/>
  <c r="Y25" i="1"/>
  <c r="Y14" i="1"/>
  <c r="Y30" i="1"/>
  <c r="Y46" i="1"/>
  <c r="Y39" i="1"/>
  <c r="Y24" i="1"/>
  <c r="Y20" i="1"/>
  <c r="Y29" i="1"/>
  <c r="Y21" i="1"/>
  <c r="Y31" i="1"/>
  <c r="Y3" i="1"/>
  <c r="Y11" i="1"/>
  <c r="Y23" i="1"/>
  <c r="Y33" i="1"/>
  <c r="Y18" i="1"/>
  <c r="Y34" i="1"/>
  <c r="CA22" i="1"/>
  <c r="Y50" i="1"/>
  <c r="Y32" i="1"/>
  <c r="Y48" i="1"/>
  <c r="Y44" i="1"/>
  <c r="Y45" i="1"/>
  <c r="BW13" i="1"/>
  <c r="Y37" i="1"/>
  <c r="Y28" i="1"/>
  <c r="Y19" i="1"/>
  <c r="BP15" i="1"/>
  <c r="Y35" i="1"/>
  <c r="Y9" i="1"/>
  <c r="Y41" i="1"/>
  <c r="Y22" i="1"/>
  <c r="Y38" i="1"/>
  <c r="Y54" i="1"/>
  <c r="Y47" i="1"/>
  <c r="Y4" i="1"/>
  <c r="Y52" i="1"/>
  <c r="Y40" i="1"/>
  <c r="Y53" i="1"/>
  <c r="Y36" i="1"/>
  <c r="Y27" i="1"/>
  <c r="Y43" i="1"/>
  <c r="Y17" i="1"/>
  <c r="BT20" i="1"/>
  <c r="Y49" i="1"/>
  <c r="BU20" i="1"/>
  <c r="BX9" i="1"/>
  <c r="BP19" i="1"/>
  <c r="BV5" i="1"/>
  <c r="W59" i="1"/>
  <c r="W60" i="1"/>
  <c r="W61" i="1"/>
  <c r="W62" i="1"/>
  <c r="W55" i="1"/>
  <c r="W56" i="1"/>
  <c r="W57" i="1"/>
  <c r="W58" i="1"/>
  <c r="BW20" i="1"/>
  <c r="BP16" i="1"/>
  <c r="BV20" i="1"/>
  <c r="BP21" i="1"/>
  <c r="BU21" i="1"/>
  <c r="BZ22" i="1"/>
  <c r="BT17" i="1"/>
  <c r="BO21" i="1"/>
  <c r="BT21" i="1"/>
  <c r="BW9" i="1"/>
  <c r="BO8" i="1"/>
  <c r="BV9" i="1"/>
  <c r="BP8" i="1"/>
  <c r="BP17" i="1"/>
  <c r="BO17" i="1"/>
  <c r="BV18" i="1"/>
  <c r="BW18" i="1"/>
  <c r="BO16" i="1"/>
  <c r="CA19" i="1"/>
  <c r="BP18" i="1"/>
  <c r="BZ19" i="1"/>
  <c r="BO18" i="1"/>
  <c r="BX10" i="1"/>
  <c r="BY10" i="1"/>
  <c r="BU17" i="1"/>
  <c r="BT9" i="1"/>
  <c r="BU9" i="1"/>
  <c r="BJ14" i="1"/>
  <c r="BK14" i="1"/>
  <c r="BY7" i="1"/>
  <c r="BP6" i="1"/>
  <c r="BX7" i="1"/>
  <c r="BO6" i="1"/>
  <c r="Z39" i="1"/>
  <c r="BP9" i="1"/>
  <c r="BW10" i="1"/>
  <c r="BV10" i="1"/>
  <c r="BO9" i="1"/>
  <c r="BX6" i="1"/>
  <c r="BO5" i="1"/>
  <c r="BP5" i="1"/>
  <c r="BY6" i="1"/>
  <c r="BV17" i="1"/>
  <c r="BW17" i="1"/>
  <c r="BY5" i="1"/>
  <c r="BX5" i="1"/>
  <c r="BK15" i="1"/>
  <c r="BJ15" i="1"/>
  <c r="BT5" i="1"/>
  <c r="BU5" i="1"/>
  <c r="BP4" i="1"/>
  <c r="BO4" i="1"/>
  <c r="BO13" i="1"/>
  <c r="BW14" i="1"/>
  <c r="BP13" i="1"/>
  <c r="BV14" i="1"/>
  <c r="CA6" i="1"/>
  <c r="BZ6" i="1"/>
  <c r="BP10" i="1"/>
  <c r="BO10" i="1"/>
  <c r="BX11" i="1"/>
  <c r="BY11" i="1"/>
  <c r="BO12" i="1"/>
  <c r="BP12" i="1"/>
  <c r="BU13" i="1"/>
  <c r="BT13" i="1"/>
  <c r="BX21" i="1"/>
  <c r="BO20" i="1"/>
  <c r="BP20" i="1"/>
  <c r="BY21" i="1"/>
  <c r="BZ15" i="1"/>
  <c r="BO14" i="1"/>
  <c r="CA15" i="1"/>
  <c r="BP14" i="1"/>
  <c r="CA14" i="1"/>
  <c r="BZ14" i="1"/>
  <c r="Z54" i="1"/>
  <c r="X10" i="1"/>
  <c r="Z22" i="1"/>
  <c r="X38" i="1"/>
  <c r="X18" i="1"/>
  <c r="X34" i="1"/>
  <c r="X50" i="1"/>
  <c r="X26" i="1"/>
  <c r="X42" i="1"/>
  <c r="Z14" i="1"/>
  <c r="Z30" i="1"/>
  <c r="Z46" i="1"/>
  <c r="Z21" i="1"/>
  <c r="Z48" i="1"/>
  <c r="Z40" i="1"/>
  <c r="Z32" i="1"/>
  <c r="Z24" i="1"/>
  <c r="Z16" i="1"/>
  <c r="Z8" i="1"/>
  <c r="X54" i="1"/>
  <c r="X46" i="1"/>
  <c r="X30" i="1"/>
  <c r="X22" i="1"/>
  <c r="X14" i="1"/>
  <c r="X6" i="1"/>
  <c r="Z45" i="1"/>
  <c r="Z37" i="1"/>
  <c r="Z29" i="1"/>
  <c r="Z19" i="1"/>
  <c r="Z11" i="1"/>
  <c r="Z3" i="1"/>
  <c r="X53" i="1"/>
  <c r="X45" i="1"/>
  <c r="X37" i="1"/>
  <c r="X29" i="1"/>
  <c r="X21" i="1"/>
  <c r="X13" i="1"/>
  <c r="X3" i="1"/>
  <c r="X2" i="1"/>
  <c r="X52" i="1"/>
  <c r="X36" i="1"/>
  <c r="X20" i="1"/>
  <c r="X4" i="1"/>
  <c r="Z35" i="1"/>
  <c r="Z17" i="1"/>
  <c r="Z53" i="1"/>
  <c r="X43" i="1"/>
  <c r="X35" i="1"/>
  <c r="X27" i="1"/>
  <c r="X11" i="1"/>
  <c r="Z38" i="1"/>
  <c r="Z6" i="1"/>
  <c r="X44" i="1"/>
  <c r="X28" i="1"/>
  <c r="X12" i="1"/>
  <c r="Z43" i="1"/>
  <c r="Z27" i="1"/>
  <c r="Z9" i="1"/>
  <c r="X51" i="1"/>
  <c r="X19" i="1"/>
  <c r="Z52" i="1"/>
  <c r="Z44" i="1"/>
  <c r="Z36" i="1"/>
  <c r="Z28" i="1"/>
  <c r="Z20" i="1"/>
  <c r="Z12" i="1"/>
  <c r="Z4" i="1"/>
  <c r="Z51" i="1"/>
  <c r="Z41" i="1"/>
  <c r="Z33" i="1"/>
  <c r="Z25" i="1"/>
  <c r="Z15" i="1"/>
  <c r="Z7" i="1"/>
  <c r="Z49" i="1"/>
  <c r="X49" i="1"/>
  <c r="X41" i="1"/>
  <c r="X33" i="1"/>
  <c r="X25" i="1"/>
  <c r="X17" i="1"/>
  <c r="X9" i="1"/>
  <c r="X7" i="1"/>
  <c r="Z50" i="1"/>
  <c r="Z42" i="1"/>
  <c r="Z34" i="1"/>
  <c r="Z26" i="1"/>
  <c r="Z18" i="1"/>
  <c r="Z10" i="1"/>
  <c r="X48" i="1"/>
  <c r="X40" i="1"/>
  <c r="X32" i="1"/>
  <c r="X24" i="1"/>
  <c r="X16" i="1"/>
  <c r="X8" i="1"/>
  <c r="Z47" i="1"/>
  <c r="Z31" i="1"/>
  <c r="Z23" i="1"/>
  <c r="Z13" i="1"/>
  <c r="Z5" i="1"/>
  <c r="Z2" i="1"/>
  <c r="X47" i="1"/>
  <c r="X39" i="1"/>
  <c r="X31" i="1"/>
  <c r="X23" i="1"/>
  <c r="X15" i="1"/>
  <c r="X5" i="1"/>
  <c r="AE15" i="1" l="1"/>
  <c r="AE53" i="1"/>
  <c r="AE23" i="1"/>
  <c r="AE17" i="1"/>
  <c r="AE12" i="1"/>
  <c r="AE50" i="1"/>
  <c r="AE31" i="1"/>
  <c r="AE39" i="1"/>
  <c r="AE44" i="1"/>
  <c r="AE13" i="1"/>
  <c r="AE46" i="1"/>
  <c r="AE18" i="1"/>
  <c r="AE25" i="1"/>
  <c r="AE28" i="1"/>
  <c r="AE3" i="1"/>
  <c r="AE30" i="1"/>
  <c r="AE34" i="1"/>
  <c r="AE8" i="1"/>
  <c r="AE33" i="1"/>
  <c r="AE47" i="1"/>
  <c r="AE16" i="1"/>
  <c r="AE41" i="1"/>
  <c r="AE19" i="1"/>
  <c r="AE21" i="1"/>
  <c r="AE54" i="1"/>
  <c r="AE38" i="1"/>
  <c r="AE48" i="1"/>
  <c r="AE14" i="1"/>
  <c r="AE43" i="1"/>
  <c r="AE24" i="1"/>
  <c r="AE49" i="1"/>
  <c r="AE51" i="1"/>
  <c r="AE4" i="1"/>
  <c r="AE29" i="1"/>
  <c r="AE11" i="1"/>
  <c r="AE20" i="1"/>
  <c r="AE37" i="1"/>
  <c r="AE10" i="1"/>
  <c r="AE40" i="1"/>
  <c r="AE7" i="1"/>
  <c r="AE27" i="1"/>
  <c r="AE36" i="1"/>
  <c r="AE45" i="1"/>
  <c r="AE6" i="1"/>
  <c r="AE42" i="1"/>
  <c r="AE32" i="1"/>
  <c r="AE9" i="1"/>
  <c r="AE35" i="1"/>
  <c r="AE2" i="1"/>
  <c r="AE22" i="1"/>
  <c r="AE5" i="1"/>
  <c r="AE52" i="1"/>
  <c r="AE26" i="1"/>
  <c r="AQ6" i="1" l="1"/>
  <c r="AO7" i="1"/>
  <c r="AQ7" i="1"/>
  <c r="AP5" i="1"/>
  <c r="AO4" i="1"/>
  <c r="AP7" i="1"/>
  <c r="AO6" i="1"/>
  <c r="AQ5" i="1"/>
  <c r="AP3" i="1"/>
  <c r="AP4" i="1"/>
  <c r="AQ4" i="1"/>
  <c r="AP6" i="1"/>
  <c r="AQ3" i="1"/>
  <c r="AO3" i="1"/>
  <c r="AO5" i="1"/>
  <c r="AF15" i="1" l="1"/>
  <c r="AF12" i="1"/>
  <c r="AF44" i="1"/>
  <c r="AF25" i="1"/>
  <c r="AF34" i="1"/>
  <c r="AF16" i="1"/>
  <c r="AF54" i="1"/>
  <c r="AF43" i="1"/>
  <c r="AF4" i="1"/>
  <c r="AF37" i="1"/>
  <c r="AF27" i="1"/>
  <c r="AF42" i="1"/>
  <c r="AF2" i="1"/>
  <c r="AF26" i="1"/>
  <c r="AF53" i="1"/>
  <c r="AF50" i="1"/>
  <c r="AF13" i="1"/>
  <c r="AF28" i="1"/>
  <c r="AF8" i="1"/>
  <c r="AF41" i="1"/>
  <c r="AF38" i="1"/>
  <c r="AF24" i="1"/>
  <c r="AF29" i="1"/>
  <c r="AF10" i="1"/>
  <c r="AF36" i="1"/>
  <c r="AF32" i="1"/>
  <c r="AF22" i="1"/>
  <c r="AF23" i="1"/>
  <c r="AF31" i="1"/>
  <c r="AF46" i="1"/>
  <c r="AF3" i="1"/>
  <c r="AF33" i="1"/>
  <c r="AF19" i="1"/>
  <c r="AF48" i="1"/>
  <c r="AF49" i="1"/>
  <c r="AF11" i="1"/>
  <c r="AF40" i="1"/>
  <c r="AF45" i="1"/>
  <c r="AF9" i="1"/>
  <c r="AF5" i="1"/>
  <c r="AF17" i="1"/>
  <c r="AF39" i="1"/>
  <c r="AF18" i="1"/>
  <c r="AF30" i="1"/>
  <c r="AF47" i="1"/>
  <c r="AF21" i="1"/>
  <c r="AF14" i="1"/>
  <c r="AF51" i="1"/>
  <c r="AF20" i="1"/>
  <c r="AF7" i="1"/>
  <c r="AF6" i="1"/>
  <c r="AF35" i="1"/>
  <c r="AF52" i="1"/>
  <c r="BC62" i="1" l="1"/>
  <c r="AZ62" i="1"/>
  <c r="BF62" i="1"/>
  <c r="BD62" i="1"/>
  <c r="BE61" i="1"/>
  <c r="BB61" i="1"/>
  <c r="AZ61" i="1"/>
  <c r="BF61" i="1"/>
  <c r="BB62" i="1"/>
  <c r="BD60" i="1"/>
  <c r="BB60" i="1"/>
  <c r="AZ60" i="1"/>
  <c r="BD61" i="1"/>
  <c r="BA61" i="1"/>
  <c r="BG60" i="1"/>
  <c r="BF60" i="1"/>
  <c r="BG62" i="1"/>
  <c r="BE62" i="1"/>
  <c r="BA62" i="1"/>
  <c r="AY62" i="1"/>
  <c r="BG61" i="1"/>
  <c r="BC61" i="1"/>
  <c r="BC60" i="1"/>
  <c r="AY61" i="1"/>
  <c r="BE60" i="1"/>
  <c r="AY60" i="1"/>
  <c r="BA60" i="1"/>
  <c r="BF25" i="1"/>
  <c r="AZ24" i="1"/>
  <c r="BE26" i="1"/>
  <c r="AY25" i="1"/>
  <c r="BA24" i="1"/>
  <c r="BB24" i="1"/>
  <c r="BG25" i="1"/>
  <c r="AZ25" i="1"/>
  <c r="BA25" i="1"/>
  <c r="BC24" i="1"/>
  <c r="BF26" i="1"/>
  <c r="AY26" i="1"/>
  <c r="AZ26" i="1"/>
  <c r="BB25" i="1"/>
  <c r="BD24" i="1"/>
  <c r="BG26" i="1"/>
  <c r="BA26" i="1"/>
  <c r="BC25" i="1"/>
  <c r="BE24" i="1"/>
  <c r="BF24" i="1"/>
  <c r="BB26" i="1"/>
  <c r="BD25" i="1"/>
  <c r="BE25" i="1"/>
  <c r="AY24" i="1"/>
  <c r="BC26" i="1"/>
  <c r="BD26" i="1"/>
  <c r="BG24" i="1"/>
  <c r="BA53" i="1"/>
  <c r="BB53" i="1"/>
  <c r="BD51" i="1"/>
  <c r="BG51" i="1"/>
  <c r="AY53" i="1"/>
  <c r="AY51" i="1"/>
  <c r="BD52" i="1"/>
  <c r="BE51" i="1"/>
  <c r="BF51" i="1"/>
  <c r="BG52" i="1"/>
  <c r="BD53" i="1"/>
  <c r="BE52" i="1"/>
  <c r="BF52" i="1"/>
  <c r="BG53" i="1"/>
  <c r="BE53" i="1"/>
  <c r="BF53" i="1"/>
  <c r="AZ51" i="1"/>
  <c r="AZ52" i="1"/>
  <c r="BC51" i="1"/>
  <c r="AZ53" i="1"/>
  <c r="BA51" i="1"/>
  <c r="BB51" i="1"/>
  <c r="BC52" i="1"/>
  <c r="AY52" i="1"/>
  <c r="BA52" i="1"/>
  <c r="BB52" i="1"/>
  <c r="BC53" i="1"/>
  <c r="BA19" i="1"/>
  <c r="BB20" i="1"/>
  <c r="BD20" i="1"/>
  <c r="AN37" i="1"/>
  <c r="AN34" i="1"/>
  <c r="AL22" i="1"/>
  <c r="AZ20" i="1"/>
  <c r="AM32" i="1"/>
  <c r="AN32" i="1"/>
  <c r="AM38" i="1"/>
  <c r="AL23" i="1"/>
  <c r="AZ18" i="1"/>
  <c r="BA18" i="1"/>
  <c r="AM35" i="1"/>
  <c r="AL26" i="1"/>
  <c r="AL21" i="1"/>
  <c r="AL20" i="1"/>
  <c r="AL25" i="1"/>
  <c r="AY19" i="1"/>
  <c r="AZ19" i="1"/>
  <c r="BE18" i="1"/>
  <c r="AM33" i="1"/>
  <c r="AN33" i="1"/>
  <c r="AM31" i="1"/>
  <c r="AL19" i="1"/>
  <c r="AL27" i="1"/>
  <c r="BG19" i="1"/>
  <c r="AY20" i="1"/>
  <c r="BC18" i="1"/>
  <c r="BD19" i="1"/>
  <c r="AY18" i="1"/>
  <c r="AM34" i="1"/>
  <c r="BF20" i="1"/>
  <c r="BG20" i="1"/>
  <c r="BB19" i="1"/>
  <c r="BC20" i="1"/>
  <c r="BG18" i="1"/>
  <c r="AM39" i="1"/>
  <c r="AN35" i="1"/>
  <c r="AN38" i="1"/>
  <c r="BA20" i="1"/>
  <c r="BD18" i="1"/>
  <c r="BF18" i="1"/>
  <c r="BF19" i="1"/>
  <c r="AM36" i="1"/>
  <c r="AN36" i="1"/>
  <c r="AM37" i="1"/>
  <c r="AN31" i="1"/>
  <c r="BB18" i="1"/>
  <c r="BC19" i="1"/>
  <c r="BE19" i="1"/>
  <c r="BE20" i="1"/>
  <c r="AN39" i="1"/>
  <c r="AL24" i="1"/>
  <c r="BA54" i="1"/>
  <c r="AY54" i="1"/>
  <c r="BG54" i="1"/>
  <c r="AZ54" i="1"/>
  <c r="BD54" i="1"/>
  <c r="BB54" i="1"/>
  <c r="BF54" i="1"/>
  <c r="BC54" i="1"/>
  <c r="BE54" i="1"/>
  <c r="BE21" i="1"/>
  <c r="AY22" i="1"/>
  <c r="BG23" i="1"/>
  <c r="BB22" i="1"/>
  <c r="BA23" i="1"/>
  <c r="BD22" i="1"/>
  <c r="AY21" i="1"/>
  <c r="BG22" i="1"/>
  <c r="BC23" i="1"/>
  <c r="BG21" i="1"/>
  <c r="BF23" i="1"/>
  <c r="BB21" i="1"/>
  <c r="BD23" i="1"/>
  <c r="AY23" i="1"/>
  <c r="BF22" i="1"/>
  <c r="BA22" i="1"/>
  <c r="BE23" i="1"/>
  <c r="AZ23" i="1"/>
  <c r="AZ21" i="1"/>
  <c r="BF21" i="1"/>
  <c r="BA21" i="1"/>
  <c r="BD21" i="1"/>
  <c r="BC22" i="1"/>
  <c r="BE22" i="1"/>
  <c r="AZ22" i="1"/>
  <c r="BC21" i="1"/>
  <c r="BB23" i="1"/>
  <c r="BC43" i="1"/>
  <c r="BF42" i="1"/>
  <c r="BE44" i="1"/>
  <c r="AQ33" i="1"/>
  <c r="AQ38" i="1"/>
  <c r="AQ31" i="1"/>
  <c r="AN21" i="1"/>
  <c r="AN25" i="1"/>
  <c r="BB42" i="1"/>
  <c r="BB44" i="1"/>
  <c r="BE43" i="1"/>
  <c r="AR38" i="1"/>
  <c r="AR39" i="1"/>
  <c r="AR31" i="1"/>
  <c r="AN19" i="1"/>
  <c r="BA43" i="1"/>
  <c r="BD44" i="1"/>
  <c r="AQ32" i="1"/>
  <c r="AZ42" i="1"/>
  <c r="BA42" i="1"/>
  <c r="AZ44" i="1"/>
  <c r="AR33" i="1"/>
  <c r="AR36" i="1"/>
  <c r="AN24" i="1"/>
  <c r="AY43" i="1"/>
  <c r="AZ43" i="1"/>
  <c r="BE42" i="1"/>
  <c r="AQ37" i="1"/>
  <c r="AQ34" i="1"/>
  <c r="AR34" i="1"/>
  <c r="AN22" i="1"/>
  <c r="BG43" i="1"/>
  <c r="AY44" i="1"/>
  <c r="BC42" i="1"/>
  <c r="BD43" i="1"/>
  <c r="AY42" i="1"/>
  <c r="AQ35" i="1"/>
  <c r="AR37" i="1"/>
  <c r="BF44" i="1"/>
  <c r="BG44" i="1"/>
  <c r="BB43" i="1"/>
  <c r="BC44" i="1"/>
  <c r="BG42" i="1"/>
  <c r="AR35" i="1"/>
  <c r="AR32" i="1"/>
  <c r="AN26" i="1"/>
  <c r="AN27" i="1"/>
  <c r="AN23" i="1"/>
  <c r="BA44" i="1"/>
  <c r="BD42" i="1"/>
  <c r="BF43" i="1"/>
  <c r="AQ39" i="1"/>
  <c r="AQ36" i="1"/>
  <c r="AN20" i="1"/>
  <c r="BE46" i="1"/>
  <c r="AZ45" i="1"/>
  <c r="AY47" i="1"/>
  <c r="BC45" i="1"/>
  <c r="BB47" i="1"/>
  <c r="BE45" i="1"/>
  <c r="BD47" i="1"/>
  <c r="AY46" i="1"/>
  <c r="BG47" i="1"/>
  <c r="BB46" i="1"/>
  <c r="BD46" i="1"/>
  <c r="AY45" i="1"/>
  <c r="BG46" i="1"/>
  <c r="BA47" i="1"/>
  <c r="BC46" i="1"/>
  <c r="BC47" i="1"/>
  <c r="BG45" i="1"/>
  <c r="BF47" i="1"/>
  <c r="BF46" i="1"/>
  <c r="BB45" i="1"/>
  <c r="BE47" i="1"/>
  <c r="BA46" i="1"/>
  <c r="AZ46" i="1"/>
  <c r="BA45" i="1"/>
  <c r="AZ47" i="1"/>
  <c r="BD45" i="1"/>
  <c r="BF45" i="1"/>
  <c r="BJ5" i="1"/>
  <c r="BJ8" i="1"/>
  <c r="BK8" i="1"/>
  <c r="BK3" i="1"/>
  <c r="BK11" i="1"/>
  <c r="BK7" i="1"/>
  <c r="BJ11" i="1"/>
  <c r="BJ7" i="1"/>
  <c r="BJ3" i="1"/>
  <c r="BK10" i="1"/>
  <c r="BK6" i="1"/>
  <c r="BK4" i="1"/>
  <c r="BJ4" i="1"/>
  <c r="BJ10" i="1"/>
  <c r="BJ6" i="1"/>
  <c r="BK9" i="1"/>
  <c r="BK5" i="1"/>
  <c r="BJ9" i="1"/>
  <c r="AZ7" i="1"/>
  <c r="BF7" i="1"/>
  <c r="BA8" i="1"/>
  <c r="AK31" i="1"/>
  <c r="AL38" i="1"/>
  <c r="AK22" i="1"/>
  <c r="AL35" i="1"/>
  <c r="AK27" i="1"/>
  <c r="AZ6" i="1"/>
  <c r="BG6" i="1"/>
  <c r="BE7" i="1"/>
  <c r="BB8" i="1"/>
  <c r="BB7" i="1"/>
  <c r="AL32" i="1"/>
  <c r="BF8" i="1"/>
  <c r="AY6" i="1"/>
  <c r="BC8" i="1"/>
  <c r="BC7" i="1"/>
  <c r="BC6" i="1"/>
  <c r="AK33" i="1"/>
  <c r="AL33" i="1"/>
  <c r="AK39" i="1"/>
  <c r="AK24" i="1"/>
  <c r="AK25" i="1"/>
  <c r="BG7" i="1"/>
  <c r="BD8" i="1"/>
  <c r="BD6" i="1"/>
  <c r="BA7" i="1"/>
  <c r="AK36" i="1"/>
  <c r="AK26" i="1"/>
  <c r="BF6" i="1"/>
  <c r="AY8" i="1"/>
  <c r="AK34" i="1"/>
  <c r="AL34" i="1"/>
  <c r="AL31" i="1"/>
  <c r="AK19" i="1"/>
  <c r="BE6" i="1"/>
  <c r="AY7" i="1"/>
  <c r="AK35" i="1"/>
  <c r="AZ8" i="1"/>
  <c r="BG8" i="1"/>
  <c r="BD7" i="1"/>
  <c r="AK32" i="1"/>
  <c r="AL36" i="1"/>
  <c r="AK38" i="1"/>
  <c r="AL39" i="1"/>
  <c r="AK23" i="1"/>
  <c r="BB6" i="1"/>
  <c r="BA6" i="1"/>
  <c r="BE8" i="1"/>
  <c r="AK37" i="1"/>
  <c r="AL37" i="1"/>
  <c r="AK20" i="1"/>
  <c r="AK21" i="1"/>
  <c r="AT37" i="1"/>
  <c r="AT31" i="1"/>
  <c r="AO20" i="1"/>
  <c r="AO24" i="1"/>
  <c r="AO22" i="1"/>
  <c r="AT38" i="1"/>
  <c r="AS36" i="1"/>
  <c r="AT32" i="1"/>
  <c r="AT35" i="1"/>
  <c r="AS33" i="1"/>
  <c r="AT33" i="1"/>
  <c r="AS39" i="1"/>
  <c r="AO21" i="1"/>
  <c r="AO26" i="1"/>
  <c r="AS34" i="1"/>
  <c r="AS31" i="1"/>
  <c r="AO19" i="1"/>
  <c r="AO25" i="1"/>
  <c r="AT34" i="1"/>
  <c r="AO27" i="1"/>
  <c r="AT36" i="1"/>
  <c r="AS35" i="1"/>
  <c r="AO23" i="1"/>
  <c r="AS32" i="1"/>
  <c r="AS38" i="1"/>
  <c r="AT39" i="1"/>
  <c r="AS37" i="1"/>
  <c r="BD11" i="1"/>
  <c r="BF11" i="1"/>
  <c r="BE10" i="1"/>
  <c r="BA11" i="1"/>
  <c r="BG10" i="1"/>
  <c r="AY9" i="1"/>
  <c r="BB10" i="1"/>
  <c r="BG11" i="1"/>
  <c r="AY10" i="1"/>
  <c r="AZ10" i="1"/>
  <c r="BE11" i="1"/>
  <c r="BB11" i="1"/>
  <c r="BC9" i="1"/>
  <c r="AY11" i="1"/>
  <c r="AZ9" i="1"/>
  <c r="BF10" i="1"/>
  <c r="BC10" i="1"/>
  <c r="BG9" i="1"/>
  <c r="BC11" i="1"/>
  <c r="BD9" i="1"/>
  <c r="AZ11" i="1"/>
  <c r="BA9" i="1"/>
  <c r="BF9" i="1"/>
  <c r="BD10" i="1"/>
  <c r="BA10" i="1"/>
  <c r="BE9" i="1"/>
  <c r="BB9" i="1"/>
  <c r="AY40" i="1"/>
  <c r="AY39" i="1"/>
  <c r="BD39" i="1"/>
  <c r="BG39" i="1"/>
  <c r="BD40" i="1"/>
  <c r="BG40" i="1"/>
  <c r="BD41" i="1"/>
  <c r="BE39" i="1"/>
  <c r="BF39" i="1"/>
  <c r="BG41" i="1"/>
  <c r="BE40" i="1"/>
  <c r="BF40" i="1"/>
  <c r="AZ39" i="1"/>
  <c r="BC39" i="1"/>
  <c r="BE41" i="1"/>
  <c r="BF41" i="1"/>
  <c r="AZ40" i="1"/>
  <c r="BA39" i="1"/>
  <c r="BB39" i="1"/>
  <c r="BC40" i="1"/>
  <c r="AZ41" i="1"/>
  <c r="BA40" i="1"/>
  <c r="BB40" i="1"/>
  <c r="BC41" i="1"/>
  <c r="AY41" i="1"/>
  <c r="BA41" i="1"/>
  <c r="BB41" i="1"/>
  <c r="BA35" i="1"/>
  <c r="BE34" i="1"/>
  <c r="AZ33" i="1"/>
  <c r="BD35" i="1"/>
  <c r="BB33" i="1"/>
  <c r="BE33" i="1"/>
  <c r="AY34" i="1"/>
  <c r="BA34" i="1"/>
  <c r="BD34" i="1"/>
  <c r="AY33" i="1"/>
  <c r="BG34" i="1"/>
  <c r="BG33" i="1"/>
  <c r="BB34" i="1"/>
  <c r="BA33" i="1"/>
  <c r="AZ35" i="1"/>
  <c r="BD33" i="1"/>
  <c r="BC35" i="1"/>
  <c r="BF35" i="1"/>
  <c r="BF33" i="1"/>
  <c r="AZ34" i="1"/>
  <c r="BC34" i="1"/>
  <c r="BF34" i="1"/>
  <c r="BE35" i="1"/>
  <c r="AY35" i="1"/>
  <c r="BC33" i="1"/>
  <c r="BB35" i="1"/>
  <c r="BG35" i="1"/>
  <c r="BE37" i="1"/>
  <c r="BG36" i="1"/>
  <c r="AZ36" i="1"/>
  <c r="BC38" i="1"/>
  <c r="BD38" i="1"/>
  <c r="BF37" i="1"/>
  <c r="AY37" i="1"/>
  <c r="BA36" i="1"/>
  <c r="BE38" i="1"/>
  <c r="BG37" i="1"/>
  <c r="AZ37" i="1"/>
  <c r="BB36" i="1"/>
  <c r="BF38" i="1"/>
  <c r="AY38" i="1"/>
  <c r="BA37" i="1"/>
  <c r="BC36" i="1"/>
  <c r="BG38" i="1"/>
  <c r="AZ38" i="1"/>
  <c r="BB37" i="1"/>
  <c r="BA38" i="1"/>
  <c r="BD36" i="1"/>
  <c r="BC37" i="1"/>
  <c r="BE36" i="1"/>
  <c r="BF36" i="1"/>
  <c r="AY36" i="1"/>
  <c r="BB38" i="1"/>
  <c r="BD37" i="1"/>
  <c r="BC50" i="1"/>
  <c r="BE49" i="1"/>
  <c r="BG48" i="1"/>
  <c r="BD50" i="1"/>
  <c r="BF49" i="1"/>
  <c r="AZ48" i="1"/>
  <c r="BE50" i="1"/>
  <c r="AY49" i="1"/>
  <c r="BA48" i="1"/>
  <c r="BG49" i="1"/>
  <c r="AZ49" i="1"/>
  <c r="BB48" i="1"/>
  <c r="BC48" i="1"/>
  <c r="BF50" i="1"/>
  <c r="AY50" i="1"/>
  <c r="BA49" i="1"/>
  <c r="BB49" i="1"/>
  <c r="BD48" i="1"/>
  <c r="BG50" i="1"/>
  <c r="AZ50" i="1"/>
  <c r="BA50" i="1"/>
  <c r="BC49" i="1"/>
  <c r="BE48" i="1"/>
  <c r="BB50" i="1"/>
  <c r="BD49" i="1"/>
  <c r="BF48" i="1"/>
  <c r="AY48" i="1"/>
  <c r="BC12" i="1"/>
  <c r="BA13" i="1"/>
  <c r="BG14" i="1"/>
  <c r="BF14" i="1"/>
  <c r="BB12" i="1"/>
  <c r="AY14" i="1"/>
  <c r="BG13" i="1"/>
  <c r="AZ13" i="1"/>
  <c r="AY13" i="1"/>
  <c r="BE14" i="1"/>
  <c r="BA12" i="1"/>
  <c r="AZ12" i="1"/>
  <c r="BF13" i="1"/>
  <c r="BG12" i="1"/>
  <c r="BD14" i="1"/>
  <c r="BB14" i="1"/>
  <c r="AY12" i="1"/>
  <c r="BE13" i="1"/>
  <c r="BC14" i="1"/>
  <c r="BC13" i="1"/>
  <c r="BA14" i="1"/>
  <c r="BF12" i="1"/>
  <c r="BD13" i="1"/>
  <c r="BD12" i="1"/>
  <c r="BB13" i="1"/>
  <c r="AZ14" i="1"/>
  <c r="BE12" i="1"/>
  <c r="BC31" i="1"/>
  <c r="BD31" i="1"/>
  <c r="AY30" i="1"/>
  <c r="AZ31" i="1"/>
  <c r="AO39" i="1"/>
  <c r="AO37" i="1"/>
  <c r="BB32" i="1"/>
  <c r="BC32" i="1"/>
  <c r="BG30" i="1"/>
  <c r="AY32" i="1"/>
  <c r="BC30" i="1"/>
  <c r="AO34" i="1"/>
  <c r="BF31" i="1"/>
  <c r="AZ30" i="1"/>
  <c r="BG32" i="1"/>
  <c r="BB31" i="1"/>
  <c r="AP39" i="1"/>
  <c r="AO32" i="1"/>
  <c r="AP32" i="1"/>
  <c r="AO38" i="1"/>
  <c r="AM27" i="1"/>
  <c r="BE32" i="1"/>
  <c r="AY31" i="1"/>
  <c r="BB30" i="1"/>
  <c r="BA32" i="1"/>
  <c r="AP31" i="1"/>
  <c r="AO33" i="1"/>
  <c r="BF30" i="1"/>
  <c r="BG31" i="1"/>
  <c r="BA31" i="1"/>
  <c r="AP34" i="1"/>
  <c r="AP37" i="1"/>
  <c r="AM24" i="1"/>
  <c r="AM23" i="1"/>
  <c r="AM26" i="1"/>
  <c r="BE31" i="1"/>
  <c r="BF32" i="1"/>
  <c r="AZ32" i="1"/>
  <c r="AO35" i="1"/>
  <c r="AP35" i="1"/>
  <c r="AO36" i="1"/>
  <c r="AO31" i="1"/>
  <c r="AM21" i="1"/>
  <c r="BD32" i="1"/>
  <c r="AM19" i="1"/>
  <c r="AM25" i="1"/>
  <c r="AM20" i="1"/>
  <c r="BD30" i="1"/>
  <c r="BE30" i="1"/>
  <c r="BA30" i="1"/>
  <c r="AP38" i="1"/>
  <c r="AP36" i="1"/>
  <c r="AP33" i="1"/>
  <c r="AM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<sst xmlns="http://schemas.openxmlformats.org/spreadsheetml/2006/main" count="272" uniqueCount="151">
  <si>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</si>
  <si>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</si>
  <si>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</si>
  <si>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</si>
  <si>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</si>
  <si>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</si>
  <si>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</si>
  <si>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</si>
  <si>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</si>
  <si>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</si>
  <si>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</si>
  <si>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</si>
  <si>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</si>
  <si>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</si>
  <si>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</si>
  <si>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</si>
  <si>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</si>
  <si>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</si>
  <si>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</si>
  <si>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</si>
  <si>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</si>
  <si>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</si>
  <si>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</si>
  <si>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</si>
  <si>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</si>
  <si>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</si>
  <si>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</si>
  <si>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</si>
  <si>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</si>
  <si>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</si>
  <si>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</si>
  <si>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</si>
  <si>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</si>
  <si>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</si>
  <si>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</si>
  <si>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</si>
  <si>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</si>
  <si>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</si>
  <si>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</si>
  <si>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</si>
  <si>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</si>
  <si>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</si>
  <si>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</si>
  <si>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</si>
  <si>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</si>
  <si>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</si>
  <si>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</si>
  <si>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</si>
  <si>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</si>
  <si>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</si>
  <si>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</si>
  <si>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</si>
  <si>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</si>
  <si>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</si>
  <si>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</si>
  <si>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</si>
  <si>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</si>
  <si>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</si>
  <si>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</si>
  <si>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</si>
  <si>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</si>
  <si>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</si>
  <si>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</si>
  <si>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</si>
  <si>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</si>
  <si>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</si>
  <si>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</si>
  <si>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</si>
  <si>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등수(AVG)</t>
    <phoneticPr fontId="18" type="noConversion"/>
  </si>
  <si>
    <t>재수강여부</t>
    <phoneticPr fontId="18" type="noConversion"/>
  </si>
  <si>
    <t>입학년도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</si>
  <si>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</si>
  <si>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</si>
  <si>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</si>
  <si>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</si>
  <si>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</si>
  <si>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</si>
  <si>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</si>
  <si>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</si>
  <si>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</si>
  <si>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</si>
  <si>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</si>
  <si>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</si>
  <si>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</si>
  <si>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</si>
  <si>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</si>
  <si>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</si>
  <si>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</si>
  <si>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</si>
  <si>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</si>
  <si>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</si>
  <si>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</si>
  <si>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</si>
  <si>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</si>
  <si>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</si>
  <si>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</si>
  <si>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</si>
  <si>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F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</si>
  <si>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</si>
  <si>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</si>
  <si>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</si>
  <si>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</si>
  <si>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</si>
  <si>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</si>
  <si>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</si>
  <si>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</si>
  <si>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</si>
  <si>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</si>
  <si>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</si>
  <si>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</si>
  <si>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</si>
  <si>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 xml:space="preserve">        학과
학점</t>
    <phoneticPr fontId="18" type="noConversion"/>
  </si>
  <si>
    <t>합</t>
    <phoneticPr fontId="18" type="noConversion"/>
  </si>
  <si>
    <t>평균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</si>
  <si>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</si>
  <si>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</si>
  <si>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</si>
  <si>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</si>
  <si>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</si>
  <si>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</si>
  <si>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</si>
  <si>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</si>
  <si>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F</t>
    <phoneticPr fontId="18" type="noConversion"/>
  </si>
  <si>
    <t>인원수</t>
    <phoneticPr fontId="18" type="noConversion"/>
  </si>
  <si>
    <t>합</t>
    <phoneticPr fontId="18" type="noConversion"/>
  </si>
  <si>
    <t>평균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</si>
  <si>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</si>
  <si>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</si>
  <si>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</si>
  <si>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</si>
  <si>
    <t>모집단에 대한 분산</t>
    <phoneticPr fontId="18" type="noConversion"/>
  </si>
  <si>
    <t>표본집단에 대한 분산</t>
    <phoneticPr fontId="18" type="noConversion"/>
  </si>
  <si>
    <t>모집단에 대한 표준편차</t>
    <phoneticPr fontId="18" type="noConversion"/>
  </si>
  <si>
    <t>표본집단에 대한 표준편차</t>
    <phoneticPr fontId="18" type="noConversion"/>
  </si>
  <si>
    <t>최고 점수</t>
    <phoneticPr fontId="18" type="noConversion"/>
  </si>
  <si>
    <t>최저 점수</t>
    <phoneticPr fontId="18" type="noConversion"/>
  </si>
  <si>
    <t>중간 점수</t>
    <phoneticPr fontId="18" type="noConversion"/>
  </si>
  <si>
    <t>13번째로 큰값</t>
    <phoneticPr fontId="18" type="noConversion"/>
  </si>
  <si>
    <t>26번째로 큰 값</t>
    <phoneticPr fontId="18" type="noConversion"/>
  </si>
  <si>
    <t>13번째로 작은 값</t>
    <phoneticPr fontId="18" type="noConversion"/>
  </si>
  <si>
    <t>26번째로 작은 값</t>
    <phoneticPr fontId="18" type="noConversion"/>
  </si>
  <si>
    <t>중간등수
내림차순</t>
    <phoneticPr fontId="18" type="noConversion"/>
  </si>
  <si>
    <t>중간등수
오름차순</t>
    <phoneticPr fontId="18" type="noConversion"/>
  </si>
  <si>
    <t>기말등수
내림차순</t>
    <phoneticPr fontId="18" type="noConversion"/>
  </si>
  <si>
    <t>기말등수
오름차순</t>
    <phoneticPr fontId="18" type="noConversion"/>
  </si>
  <si>
    <t>퀴즈1등수
내림차순</t>
    <phoneticPr fontId="18" type="noConversion"/>
  </si>
  <si>
    <t>퀴즈1등수
오름차순</t>
    <phoneticPr fontId="18" type="noConversion"/>
  </si>
  <si>
    <t>퀴즈2등수
내림차순</t>
    <phoneticPr fontId="18" type="noConversion"/>
  </si>
  <si>
    <t>퀴즈2등수
오름차순</t>
    <phoneticPr fontId="18" type="noConversion"/>
  </si>
  <si>
    <t>등수
내림차순</t>
    <phoneticPr fontId="18" type="noConversion"/>
  </si>
  <si>
    <t>등수
오름차순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</si>
</sst>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</fills>
  <borders count="1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 diagonalDown="1">
      <left style="double">
        <color auto="1"/>
      </left>
      <right/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/>
      <top/>
      <bottom style="double">
        <color auto="1"/>
      </bottom>
      <diagonal style="thin">
        <color auto="1"/>
      </diagonal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 diagonalUp="1" diagonalDown="1">
      <left style="thin">
        <color indexed="64"/>
      </left>
      <right/>
      <top style="thick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thick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/>
      <top/>
      <bottom style="thick">
        <color auto="1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ck">
        <color auto="1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ck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ck">
        <color indexed="64"/>
      </bottom>
      <diagonal style="thin">
        <color indexed="64"/>
      </diagonal>
    </border>
    <border diagonalUp="1" diagonalDown="1">
      <left/>
      <right/>
      <top style="thick">
        <color indexed="64"/>
      </top>
      <bottom/>
      <diagonal style="thin">
        <color indexed="64"/>
      </diagonal>
    </border>
    <border diagonalUp="1" diagonalDown="1">
      <left/>
      <right style="thick">
        <color indexed="64"/>
      </right>
      <top style="thick">
        <color indexed="64"/>
      </top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 style="thick">
        <color indexed="64"/>
      </right>
      <top/>
      <bottom/>
      <diagonal style="thin">
        <color indexed="64"/>
      </diagonal>
    </border>
    <border diagonalUp="1" diagonalDown="1">
      <left/>
      <right/>
      <top/>
      <bottom style="thick">
        <color indexed="64"/>
      </bottom>
      <diagonal style="thin">
        <color indexed="64"/>
      </diagonal>
    </border>
    <border diagonalUp="1" diagonalDown="1">
      <left/>
      <right style="thick">
        <color indexed="64"/>
      </right>
      <top/>
      <bottom style="thick">
        <color indexed="64"/>
      </bottom>
      <diagonal style="thin">
        <color indexed="64"/>
      </diagonal>
    </border>
    <border>
      <left style="thin">
        <color auto="1"/>
      </left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ck">
        <color indexed="64"/>
      </right>
      <top style="thick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ck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 style="thick">
        <color indexed="64"/>
      </right>
      <top/>
      <bottom style="thick">
        <color indexed="64"/>
      </bottom>
      <diagonal style="thin">
        <color indexed="64"/>
      </diagonal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5">
    <xf numFmtId="0" fontId="0" fillId="0" borderId="0" xfId="0">
      <alignment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3" fillId="34" borderId="10" xfId="0" applyFont="1" applyFill="1" applyBorder="1" applyAlignment="1">
      <alignment horizontal="center" vertical="center"/>
    </xf>
    <xf numFmtId="0" fontId="23" fillId="34" borderId="10" xfId="0" applyNumberFormat="1" applyFont="1" applyFill="1" applyBorder="1" applyAlignment="1">
      <alignment horizontal="center" vertical="center"/>
    </xf>
    <xf numFmtId="0" fontId="20" fillId="33" borderId="35" xfId="0" applyFont="1" applyFill="1" applyBorder="1" applyAlignment="1">
      <alignment horizontal="center" vertical="center"/>
    </xf>
    <xf numFmtId="0" fontId="20" fillId="33" borderId="38" xfId="0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20" fillId="33" borderId="41" xfId="0" applyFont="1" applyFill="1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20" fillId="33" borderId="29" xfId="0" applyFont="1" applyFill="1" applyBorder="1" applyAlignment="1">
      <alignment horizontal="center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19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0" fillId="33" borderId="44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0" fillId="35" borderId="31" xfId="0" applyFont="1" applyFill="1" applyBorder="1" applyAlignment="1">
      <alignment horizontal="center" vertical="center"/>
    </xf>
    <xf numFmtId="0" fontId="20" fillId="36" borderId="28" xfId="0" applyFont="1" applyFill="1" applyBorder="1" applyAlignment="1">
      <alignment horizontal="center" vertical="center"/>
    </xf>
    <xf numFmtId="0" fontId="20" fillId="36" borderId="67" xfId="0" applyFont="1" applyFill="1" applyBorder="1" applyAlignment="1">
      <alignment horizontal="center" vertical="center"/>
    </xf>
    <xf numFmtId="0" fontId="20" fillId="36" borderId="68" xfId="0" applyFont="1" applyFill="1" applyBorder="1" applyAlignment="1">
      <alignment horizontal="center" vertical="center"/>
    </xf>
    <xf numFmtId="0" fontId="20" fillId="36" borderId="37" xfId="0" applyFont="1" applyFill="1" applyBorder="1" applyAlignment="1">
      <alignment horizontal="center" vertical="center"/>
    </xf>
    <xf numFmtId="0" fontId="20" fillId="36" borderId="38" xfId="0" applyFont="1" applyFill="1" applyBorder="1" applyAlignment="1">
      <alignment horizontal="center" vertical="center"/>
    </xf>
    <xf numFmtId="0" fontId="20" fillId="36" borderId="77" xfId="0" applyFont="1" applyFill="1" applyBorder="1" applyAlignment="1">
      <alignment horizontal="center" vertical="center"/>
    </xf>
    <xf numFmtId="0" fontId="20" fillId="36" borderId="78" xfId="0" applyFont="1" applyFill="1" applyBorder="1" applyAlignment="1">
      <alignment horizontal="center" vertical="center"/>
    </xf>
    <xf numFmtId="0" fontId="20" fillId="36" borderId="79" xfId="0" applyFont="1" applyFill="1" applyBorder="1" applyAlignment="1">
      <alignment horizontal="center" vertical="center"/>
    </xf>
    <xf numFmtId="0" fontId="20" fillId="36" borderId="80" xfId="0" applyFont="1" applyFill="1" applyBorder="1" applyAlignment="1">
      <alignment horizontal="center" vertical="center"/>
    </xf>
    <xf numFmtId="0" fontId="20" fillId="36" borderId="81" xfId="0" applyFont="1" applyFill="1" applyBorder="1" applyAlignment="1">
      <alignment horizontal="center" vertical="center"/>
    </xf>
    <xf numFmtId="0" fontId="20" fillId="36" borderId="82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6" borderId="101" xfId="0" applyFont="1" applyFill="1" applyBorder="1" applyAlignment="1">
      <alignment horizontal="center" vertical="center"/>
    </xf>
    <xf numFmtId="0" fontId="20" fillId="36" borderId="102" xfId="0" applyFont="1" applyFill="1" applyBorder="1" applyAlignment="1">
      <alignment horizontal="center" vertical="center"/>
    </xf>
    <xf numFmtId="0" fontId="20" fillId="36" borderId="103" xfId="0" applyFont="1" applyFill="1" applyBorder="1" applyAlignment="1">
      <alignment horizontal="center" vertical="center"/>
    </xf>
    <xf numFmtId="0" fontId="20" fillId="35" borderId="35" xfId="0" applyFont="1" applyFill="1" applyBorder="1" applyAlignment="1">
      <alignment horizontal="center" vertical="center"/>
    </xf>
    <xf numFmtId="0" fontId="20" fillId="35" borderId="38" xfId="0" applyFont="1" applyFill="1" applyBorder="1" applyAlignment="1">
      <alignment horizontal="center" vertical="center"/>
    </xf>
    <xf numFmtId="0" fontId="20" fillId="35" borderId="37" xfId="0" applyFont="1" applyFill="1" applyBorder="1" applyAlignment="1">
      <alignment horizontal="center" vertical="center"/>
    </xf>
    <xf numFmtId="0" fontId="20" fillId="35" borderId="41" xfId="0" applyFont="1" applyFill="1" applyBorder="1" applyAlignment="1">
      <alignment horizontal="center" vertical="center"/>
    </xf>
    <xf numFmtId="0" fontId="20" fillId="35" borderId="39" xfId="0" applyFont="1" applyFill="1" applyBorder="1" applyAlignment="1">
      <alignment horizontal="center" vertical="center"/>
    </xf>
    <xf numFmtId="0" fontId="20" fillId="35" borderId="36" xfId="0" applyFont="1" applyFill="1" applyBorder="1" applyAlignment="1">
      <alignment horizontal="center" vertical="center"/>
    </xf>
    <xf numFmtId="0" fontId="20" fillId="35" borderId="40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34" xfId="0" applyFont="1" applyFill="1" applyBorder="1" applyAlignment="1">
      <alignment horizontal="center" vertical="center"/>
    </xf>
    <xf numFmtId="0" fontId="20" fillId="35" borderId="33" xfId="0" applyFont="1" applyFill="1" applyBorder="1" applyAlignment="1">
      <alignment horizontal="center" vertical="center"/>
    </xf>
    <xf numFmtId="0" fontId="20" fillId="35" borderId="29" xfId="0" applyFont="1" applyFill="1" applyBorder="1" applyAlignment="1">
      <alignment horizontal="center" vertical="center"/>
    </xf>
    <xf numFmtId="0" fontId="20" fillId="35" borderId="105" xfId="0" applyFont="1" applyFill="1" applyBorder="1" applyAlignment="1">
      <alignment horizontal="center" vertical="center"/>
    </xf>
    <xf numFmtId="0" fontId="20" fillId="35" borderId="106" xfId="0" applyFont="1" applyFill="1" applyBorder="1" applyAlignment="1">
      <alignment horizontal="center" vertical="center"/>
    </xf>
    <xf numFmtId="0" fontId="20" fillId="35" borderId="107" xfId="0" applyFont="1" applyFill="1" applyBorder="1" applyAlignment="1">
      <alignment horizontal="center" vertical="center"/>
    </xf>
    <xf numFmtId="0" fontId="20" fillId="35" borderId="108" xfId="0" applyFont="1" applyFill="1" applyBorder="1" applyAlignment="1">
      <alignment horizontal="center" vertical="center"/>
    </xf>
    <xf numFmtId="0" fontId="20" fillId="35" borderId="109" xfId="0" applyFont="1" applyFill="1" applyBorder="1" applyAlignment="1">
      <alignment horizontal="center" vertical="center"/>
    </xf>
    <xf numFmtId="0" fontId="20" fillId="35" borderId="104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112" xfId="0" applyFont="1" applyFill="1" applyBorder="1" applyAlignment="1">
      <alignment horizontal="center" vertical="center"/>
    </xf>
    <xf numFmtId="0" fontId="20" fillId="35" borderId="113" xfId="0" applyFont="1" applyFill="1" applyBorder="1" applyAlignment="1">
      <alignment horizontal="center" vertical="center"/>
    </xf>
    <xf numFmtId="0" fontId="20" fillId="35" borderId="114" xfId="0" applyFont="1" applyFill="1" applyBorder="1" applyAlignment="1">
      <alignment horizontal="center" vertical="center"/>
    </xf>
    <xf numFmtId="0" fontId="20" fillId="35" borderId="115" xfId="0" applyFont="1" applyFill="1" applyBorder="1" applyAlignment="1">
      <alignment horizontal="center" vertical="center"/>
    </xf>
    <xf numFmtId="0" fontId="20" fillId="35" borderId="26" xfId="0" applyFont="1" applyFill="1" applyBorder="1" applyAlignment="1">
      <alignment horizontal="center" vertical="center"/>
    </xf>
    <xf numFmtId="0" fontId="20" fillId="35" borderId="47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5" borderId="116" xfId="0" applyFont="1" applyFill="1" applyBorder="1" applyAlignment="1">
      <alignment horizontal="center" vertical="center"/>
    </xf>
    <xf numFmtId="0" fontId="20" fillId="35" borderId="117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118" xfId="0" applyFont="1" applyFill="1" applyBorder="1" applyAlignment="1">
      <alignment horizontal="center" vertical="center"/>
    </xf>
    <xf numFmtId="0" fontId="20" fillId="35" borderId="119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20" fillId="35" borderId="121" xfId="0" applyFont="1" applyFill="1" applyBorder="1" applyAlignment="1">
      <alignment horizontal="center" vertical="center"/>
    </xf>
    <xf numFmtId="0" fontId="20" fillId="35" borderId="122" xfId="0" applyFont="1" applyFill="1" applyBorder="1" applyAlignment="1">
      <alignment horizontal="center" vertical="center"/>
    </xf>
    <xf numFmtId="0" fontId="20" fillId="35" borderId="123" xfId="0" applyFont="1" applyFill="1" applyBorder="1" applyAlignment="1">
      <alignment horizontal="center" vertical="center"/>
    </xf>
    <xf numFmtId="0" fontId="20" fillId="35" borderId="124" xfId="0" applyFont="1" applyFill="1" applyBorder="1" applyAlignment="1">
      <alignment horizontal="center" vertical="center"/>
    </xf>
    <xf numFmtId="0" fontId="20" fillId="35" borderId="56" xfId="0" applyFont="1" applyFill="1" applyBorder="1" applyAlignment="1">
      <alignment horizontal="center" vertical="center"/>
    </xf>
    <xf numFmtId="0" fontId="20" fillId="35" borderId="32" xfId="0" applyFont="1" applyFill="1" applyBorder="1" applyAlignment="1">
      <alignment horizontal="center" vertical="center"/>
    </xf>
    <xf numFmtId="0" fontId="20" fillId="35" borderId="60" xfId="0" applyFont="1" applyFill="1" applyBorder="1" applyAlignment="1">
      <alignment horizontal="center" vertical="center"/>
    </xf>
    <xf numFmtId="0" fontId="20" fillId="35" borderId="62" xfId="0" applyFont="1" applyFill="1" applyBorder="1" applyAlignment="1">
      <alignment horizontal="center" vertical="center"/>
    </xf>
    <xf numFmtId="0" fontId="20" fillId="35" borderId="63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 wrapText="1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21" xfId="0" applyNumberFormat="1" applyFont="1" applyFill="1" applyBorder="1" applyAlignment="1">
      <alignment horizontal="center" vertical="center" wrapText="1"/>
    </xf>
    <xf numFmtId="0" fontId="20" fillId="0" borderId="18" xfId="0" applyNumberFormat="1" applyFont="1" applyFill="1" applyBorder="1" applyAlignment="1">
      <alignment horizontal="center" vertical="center" wrapText="1"/>
    </xf>
    <xf numFmtId="49" fontId="20" fillId="0" borderId="18" xfId="0" applyNumberFormat="1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0" xfId="0" applyNumberFormat="1" applyFont="1" applyFill="1" applyBorder="1" applyAlignment="1">
      <alignment horizontal="center" vertical="center"/>
    </xf>
    <xf numFmtId="0" fontId="20" fillId="0" borderId="22" xfId="0" applyNumberFormat="1" applyFont="1" applyFill="1" applyBorder="1" applyAlignment="1">
      <alignment horizontal="center" vertical="center" wrapText="1"/>
    </xf>
    <xf numFmtId="0" fontId="20" fillId="0" borderId="10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0" fontId="20" fillId="0" borderId="23" xfId="0" applyNumberFormat="1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/>
    </xf>
    <xf numFmtId="0" fontId="20" fillId="0" borderId="13" xfId="0" applyNumberFormat="1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13" xfId="0" applyNumberFormat="1" applyFont="1" applyFill="1" applyBorder="1" applyAlignment="1">
      <alignment horizontal="center" vertical="center" wrapText="1"/>
    </xf>
    <xf numFmtId="0" fontId="20" fillId="0" borderId="25" xfId="0" applyNumberFormat="1" applyFont="1" applyFill="1" applyBorder="1" applyAlignment="1">
      <alignment horizontal="center" vertical="center"/>
    </xf>
    <xf numFmtId="0" fontId="20" fillId="0" borderId="107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20" fillId="0" borderId="131" xfId="0" applyFont="1" applyBorder="1" applyAlignment="1">
      <alignment horizontal="center" vertical="center"/>
    </xf>
    <xf numFmtId="0" fontId="20" fillId="0" borderId="127" xfId="0" applyFont="1" applyBorder="1" applyAlignment="1">
      <alignment horizontal="center" vertical="center"/>
    </xf>
    <xf numFmtId="0" fontId="20" fillId="0" borderId="66" xfId="0" applyFont="1" applyBorder="1" applyAlignment="1">
      <alignment horizontal="center" vertical="center"/>
    </xf>
    <xf numFmtId="0" fontId="20" fillId="0" borderId="132" xfId="0" applyFont="1" applyBorder="1" applyAlignment="1">
      <alignment horizontal="center" vertical="center"/>
    </xf>
    <xf numFmtId="0" fontId="20" fillId="0" borderId="133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125" xfId="0" applyFont="1" applyBorder="1" applyAlignment="1">
      <alignment horizontal="center" vertical="center"/>
    </xf>
    <xf numFmtId="0" fontId="20" fillId="0" borderId="128" xfId="0" applyFont="1" applyBorder="1" applyAlignment="1">
      <alignment horizontal="center" vertical="center"/>
    </xf>
    <xf numFmtId="49" fontId="20" fillId="33" borderId="32" xfId="0" applyNumberFormat="1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3" borderId="3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35" borderId="54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18" xfId="0" applyFont="1" applyFill="1" applyBorder="1" applyAlignment="1">
      <alignment horizontal="center" vertical="center"/>
    </xf>
    <xf numFmtId="0" fontId="20" fillId="35" borderId="53" xfId="0" applyFont="1" applyFill="1" applyBorder="1" applyAlignment="1">
      <alignment horizontal="center" vertical="center"/>
    </xf>
    <xf numFmtId="0" fontId="20" fillId="35" borderId="57" xfId="0" applyFont="1" applyFill="1" applyBorder="1" applyAlignment="1">
      <alignment horizontal="center" vertical="center"/>
    </xf>
    <xf numFmtId="0" fontId="20" fillId="35" borderId="64" xfId="0" applyFont="1" applyFill="1" applyBorder="1" applyAlignment="1">
      <alignment horizontal="center" vertical="center"/>
    </xf>
    <xf numFmtId="0" fontId="20" fillId="35" borderId="65" xfId="0" applyFont="1" applyFill="1" applyBorder="1" applyAlignment="1">
      <alignment horizontal="center" vertical="center"/>
    </xf>
    <xf numFmtId="0" fontId="20" fillId="35" borderId="11" xfId="0" applyFont="1" applyFill="1" applyBorder="1" applyAlignment="1">
      <alignment horizontal="center" vertical="center"/>
    </xf>
    <xf numFmtId="0" fontId="20" fillId="35" borderId="22" xfId="0" applyFont="1" applyFill="1" applyBorder="1" applyAlignment="1">
      <alignment horizontal="center" vertical="center"/>
    </xf>
    <xf numFmtId="0" fontId="20" fillId="35" borderId="66" xfId="0" applyFont="1" applyFill="1" applyBorder="1" applyAlignment="1">
      <alignment horizontal="center" vertical="center"/>
    </xf>
    <xf numFmtId="0" fontId="20" fillId="35" borderId="61" xfId="0" applyFont="1" applyFill="1" applyBorder="1" applyAlignment="1">
      <alignment horizontal="center" vertical="center"/>
    </xf>
    <xf numFmtId="0" fontId="23" fillId="0" borderId="130" xfId="0" applyFont="1" applyBorder="1" applyAlignment="1">
      <alignment horizontal="center" vertical="center"/>
    </xf>
    <xf numFmtId="0" fontId="23" fillId="0" borderId="133" xfId="0" applyFont="1" applyBorder="1" applyAlignment="1">
      <alignment horizontal="center" vertical="center"/>
    </xf>
    <xf numFmtId="0" fontId="23" fillId="0" borderId="128" xfId="0" applyFont="1" applyBorder="1" applyAlignment="1">
      <alignment horizontal="center" vertical="center"/>
    </xf>
    <xf numFmtId="0" fontId="23" fillId="0" borderId="131" xfId="0" applyFont="1" applyBorder="1" applyAlignment="1">
      <alignment horizontal="center" vertical="center"/>
    </xf>
    <xf numFmtId="0" fontId="20" fillId="0" borderId="135" xfId="0" applyFont="1" applyFill="1" applyBorder="1" applyAlignment="1">
      <alignment horizontal="center" vertical="center"/>
    </xf>
    <xf numFmtId="0" fontId="20" fillId="0" borderId="136" xfId="0" applyFont="1" applyFill="1" applyBorder="1" applyAlignment="1">
      <alignment horizontal="center" vertical="center"/>
    </xf>
    <xf numFmtId="0" fontId="20" fillId="0" borderId="137" xfId="0" applyFont="1" applyFill="1" applyBorder="1" applyAlignment="1">
      <alignment horizontal="center" vertical="center"/>
    </xf>
    <xf numFmtId="0" fontId="20" fillId="0" borderId="138" xfId="0" applyFont="1" applyBorder="1" applyAlignment="1">
      <alignment horizontal="center" vertical="center"/>
    </xf>
    <xf numFmtId="0" fontId="20" fillId="0" borderId="136" xfId="0" applyFont="1" applyBorder="1" applyAlignment="1">
      <alignment horizontal="center" vertical="center"/>
    </xf>
    <xf numFmtId="0" fontId="20" fillId="0" borderId="139" xfId="0" applyFont="1" applyBorder="1" applyAlignment="1">
      <alignment horizontal="center" vertical="center"/>
    </xf>
    <xf numFmtId="0" fontId="20" fillId="0" borderId="140" xfId="0" applyFont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66" xfId="0" applyFont="1" applyFill="1" applyBorder="1" applyAlignment="1">
      <alignment horizontal="center" vertical="center"/>
    </xf>
    <xf numFmtId="0" fontId="20" fillId="0" borderId="128" xfId="0" applyFont="1" applyFill="1" applyBorder="1" applyAlignment="1">
      <alignment horizontal="center" vertical="center"/>
    </xf>
    <xf numFmtId="0" fontId="20" fillId="0" borderId="129" xfId="0" applyFont="1" applyFill="1" applyBorder="1" applyAlignment="1">
      <alignment horizontal="center" vertical="center"/>
    </xf>
    <xf numFmtId="0" fontId="20" fillId="0" borderId="130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center" vertical="center"/>
    </xf>
    <xf numFmtId="0" fontId="20" fillId="0" borderId="156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157" xfId="0" applyFont="1" applyFill="1" applyBorder="1" applyAlignment="1">
      <alignment horizontal="center" vertical="center" wrapText="1"/>
    </xf>
    <xf numFmtId="0" fontId="20" fillId="0" borderId="158" xfId="0" applyFont="1" applyBorder="1" applyAlignment="1">
      <alignment horizontal="center" vertical="center"/>
    </xf>
    <xf numFmtId="0" fontId="20" fillId="0" borderId="159" xfId="0" applyFont="1" applyBorder="1" applyAlignment="1">
      <alignment horizontal="center" vertical="center"/>
    </xf>
    <xf numFmtId="0" fontId="23" fillId="0" borderId="160" xfId="0" applyFont="1" applyBorder="1" applyAlignment="1">
      <alignment horizontal="center" vertical="center"/>
    </xf>
    <xf numFmtId="0" fontId="20" fillId="0" borderId="160" xfId="0" applyFont="1" applyBorder="1" applyAlignment="1">
      <alignment horizontal="center" vertical="center"/>
    </xf>
    <xf numFmtId="0" fontId="20" fillId="0" borderId="134" xfId="0" applyFont="1" applyFill="1" applyBorder="1" applyAlignment="1">
      <alignment horizontal="center" vertical="center"/>
    </xf>
    <xf numFmtId="0" fontId="20" fillId="0" borderId="3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0" fillId="0" borderId="161" xfId="0" applyFont="1" applyFill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39" xfId="0" applyFont="1" applyFill="1" applyBorder="1" applyAlignment="1">
      <alignment horizontal="center" vertical="center"/>
    </xf>
    <xf numFmtId="0" fontId="23" fillId="0" borderId="140" xfId="0" applyFont="1" applyBorder="1" applyAlignment="1">
      <alignment horizontal="center" vertical="center"/>
    </xf>
    <xf numFmtId="0" fontId="20" fillId="0" borderId="125" xfId="0" applyFont="1" applyBorder="1" applyAlignment="1">
      <alignment horizontal="center" vertical="center"/>
    </xf>
    <xf numFmtId="0" fontId="20" fillId="0" borderId="126" xfId="0" applyFont="1" applyBorder="1" applyAlignment="1">
      <alignment horizontal="center" vertical="center"/>
    </xf>
    <xf numFmtId="0" fontId="20" fillId="0" borderId="132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8" xfId="0" applyFont="1" applyBorder="1" applyAlignment="1">
      <alignment horizontal="center" vertical="center"/>
    </xf>
    <xf numFmtId="0" fontId="20" fillId="0" borderId="129" xfId="0" applyFont="1" applyBorder="1" applyAlignment="1">
      <alignment horizontal="center" vertical="center"/>
    </xf>
    <xf numFmtId="0" fontId="20" fillId="0" borderId="133" xfId="0" applyFont="1" applyBorder="1" applyAlignment="1">
      <alignment horizontal="center" vertical="center"/>
    </xf>
    <xf numFmtId="0" fontId="20" fillId="0" borderId="141" xfId="0" applyFont="1" applyBorder="1" applyAlignment="1">
      <alignment horizontal="center" vertical="center"/>
    </xf>
    <xf numFmtId="0" fontId="0" fillId="0" borderId="151" xfId="0" applyBorder="1" applyAlignment="1">
      <alignment horizontal="center" vertical="center"/>
    </xf>
    <xf numFmtId="0" fontId="0" fillId="0" borderId="143" xfId="0" applyBorder="1" applyAlignment="1">
      <alignment horizontal="center" vertical="center"/>
    </xf>
    <xf numFmtId="0" fontId="0" fillId="0" borderId="153" xfId="0" applyBorder="1" applyAlignment="1">
      <alignment horizontal="center" vertical="center"/>
    </xf>
    <xf numFmtId="0" fontId="0" fillId="0" borderId="145" xfId="0" applyBorder="1" applyAlignment="1">
      <alignment horizontal="center" vertical="center"/>
    </xf>
    <xf numFmtId="0" fontId="0" fillId="0" borderId="155" xfId="0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76" xfId="0" applyFont="1" applyFill="1" applyBorder="1" applyAlignment="1">
      <alignment horizontal="center" vertical="center"/>
    </xf>
    <xf numFmtId="0" fontId="20" fillId="36" borderId="18" xfId="0" applyFont="1" applyFill="1" applyBorder="1" applyAlignment="1">
      <alignment horizontal="center" vertical="center"/>
    </xf>
    <xf numFmtId="0" fontId="20" fillId="36" borderId="57" xfId="0" applyFont="1" applyFill="1" applyBorder="1" applyAlignment="1">
      <alignment horizontal="center" vertical="center"/>
    </xf>
    <xf numFmtId="0" fontId="20" fillId="36" borderId="74" xfId="0" applyFont="1" applyFill="1" applyBorder="1" applyAlignment="1">
      <alignment horizontal="center" vertical="center"/>
    </xf>
    <xf numFmtId="0" fontId="20" fillId="36" borderId="71" xfId="0" applyFont="1" applyFill="1" applyBorder="1" applyAlignment="1">
      <alignment horizontal="center" vertical="center"/>
    </xf>
    <xf numFmtId="0" fontId="20" fillId="36" borderId="69" xfId="0" applyFont="1" applyFill="1" applyBorder="1" applyAlignment="1">
      <alignment horizontal="center" vertical="center"/>
    </xf>
    <xf numFmtId="0" fontId="20" fillId="36" borderId="56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6" borderId="75" xfId="0" applyFont="1" applyFill="1" applyBorder="1" applyAlignment="1">
      <alignment horizontal="center" vertical="center"/>
    </xf>
    <xf numFmtId="0" fontId="20" fillId="36" borderId="70" xfId="0" applyFont="1" applyFill="1" applyBorder="1" applyAlignment="1">
      <alignment horizontal="center" vertical="center"/>
    </xf>
    <xf numFmtId="0" fontId="20" fillId="0" borderId="66" xfId="0" applyFont="1" applyBorder="1" applyAlignment="1">
      <alignment horizontal="center" vertical="center"/>
    </xf>
    <xf numFmtId="0" fontId="20" fillId="0" borderId="127" xfId="0" applyFont="1" applyBorder="1" applyAlignment="1">
      <alignment horizontal="center" vertical="center"/>
    </xf>
    <xf numFmtId="0" fontId="20" fillId="0" borderId="130" xfId="0" applyFont="1" applyBorder="1" applyAlignment="1">
      <alignment horizontal="center" vertical="center"/>
    </xf>
    <xf numFmtId="0" fontId="20" fillId="0" borderId="147" xfId="0" applyFont="1" applyBorder="1" applyAlignment="1">
      <alignment horizontal="center" vertical="center"/>
    </xf>
    <xf numFmtId="0" fontId="0" fillId="0" borderId="162" xfId="0" applyBorder="1" applyAlignment="1">
      <alignment horizontal="center" vertical="center"/>
    </xf>
    <xf numFmtId="0" fontId="0" fillId="0" borderId="148" xfId="0" applyBorder="1" applyAlignment="1">
      <alignment horizontal="center" vertical="center"/>
    </xf>
    <xf numFmtId="0" fontId="0" fillId="0" borderId="163" xfId="0" applyBorder="1" applyAlignment="1">
      <alignment horizontal="center" vertical="center"/>
    </xf>
    <xf numFmtId="0" fontId="0" fillId="0" borderId="149" xfId="0" applyBorder="1" applyAlignment="1">
      <alignment horizontal="center" vertical="center"/>
    </xf>
    <xf numFmtId="0" fontId="0" fillId="0" borderId="164" xfId="0" applyBorder="1" applyAlignment="1">
      <alignment horizontal="center" vertical="center"/>
    </xf>
    <xf numFmtId="0" fontId="20" fillId="0" borderId="142" xfId="0" applyFont="1" applyBorder="1" applyAlignment="1">
      <alignment horizontal="center" vertical="center"/>
    </xf>
    <xf numFmtId="0" fontId="20" fillId="0" borderId="143" xfId="0" applyFont="1" applyBorder="1" applyAlignment="1">
      <alignment horizontal="center" vertical="center"/>
    </xf>
    <xf numFmtId="0" fontId="20" fillId="0" borderId="144" xfId="0" applyFont="1" applyBorder="1" applyAlignment="1">
      <alignment horizontal="center" vertical="center"/>
    </xf>
    <xf numFmtId="0" fontId="20" fillId="0" borderId="145" xfId="0" applyFont="1" applyBorder="1" applyAlignment="1">
      <alignment horizontal="center" vertical="center"/>
    </xf>
    <xf numFmtId="0" fontId="20" fillId="0" borderId="146" xfId="0" applyFont="1" applyBorder="1" applyAlignment="1">
      <alignment horizontal="center" vertical="center"/>
    </xf>
    <xf numFmtId="0" fontId="20" fillId="35" borderId="62" xfId="0" applyFont="1" applyFill="1" applyBorder="1" applyAlignment="1">
      <alignment horizontal="center" vertical="center"/>
    </xf>
    <xf numFmtId="0" fontId="20" fillId="35" borderId="63" xfId="0" applyFont="1" applyFill="1" applyBorder="1" applyAlignment="1">
      <alignment horizontal="center" vertical="center"/>
    </xf>
    <xf numFmtId="0" fontId="20" fillId="35" borderId="32" xfId="0" applyFont="1" applyFill="1" applyBorder="1" applyAlignment="1">
      <alignment horizontal="center" vertical="center"/>
    </xf>
    <xf numFmtId="0" fontId="20" fillId="35" borderId="60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0" fillId="33" borderId="50" xfId="0" applyFont="1" applyFill="1" applyBorder="1" applyAlignment="1">
      <alignment horizontal="center" vertical="center"/>
    </xf>
    <xf numFmtId="0" fontId="20" fillId="33" borderId="32" xfId="0" applyFont="1" applyFill="1" applyBorder="1" applyAlignment="1">
      <alignment horizontal="center" vertical="center"/>
    </xf>
    <xf numFmtId="0" fontId="20" fillId="33" borderId="51" xfId="0" applyFont="1" applyFill="1" applyBorder="1" applyAlignment="1">
      <alignment horizontal="center" vertical="center" wrapText="1"/>
    </xf>
    <xf numFmtId="0" fontId="20" fillId="33" borderId="52" xfId="0" applyFont="1" applyFill="1" applyBorder="1" applyAlignment="1">
      <alignment horizontal="center" vertical="center" wrapText="1"/>
    </xf>
    <xf numFmtId="0" fontId="20" fillId="33" borderId="53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5" borderId="48" xfId="0" applyFont="1" applyFill="1" applyBorder="1" applyAlignment="1">
      <alignment horizontal="left" vertical="center" wrapText="1"/>
    </xf>
    <xf numFmtId="0" fontId="20" fillId="35" borderId="49" xfId="0" applyFont="1" applyFill="1" applyBorder="1" applyAlignment="1">
      <alignment horizontal="left" vertical="center" wrapText="1"/>
    </xf>
    <xf numFmtId="0" fontId="20" fillId="35" borderId="58" xfId="0" applyFont="1" applyFill="1" applyBorder="1" applyAlignment="1">
      <alignment horizontal="left" vertical="center" wrapText="1"/>
    </xf>
    <xf numFmtId="0" fontId="20" fillId="35" borderId="59" xfId="0" applyFont="1" applyFill="1" applyBorder="1" applyAlignment="1">
      <alignment horizontal="left" vertical="center" wrapText="1"/>
    </xf>
    <xf numFmtId="0" fontId="20" fillId="35" borderId="26" xfId="0" applyFont="1" applyFill="1" applyBorder="1" applyAlignment="1">
      <alignment horizontal="center" vertical="center"/>
    </xf>
    <xf numFmtId="0" fontId="20" fillId="35" borderId="73" xfId="0" applyFont="1" applyFill="1" applyBorder="1" applyAlignment="1">
      <alignment horizontal="center" vertical="center"/>
    </xf>
    <xf numFmtId="0" fontId="20" fillId="35" borderId="69" xfId="0" applyFont="1" applyFill="1" applyBorder="1" applyAlignment="1">
      <alignment horizontal="center" vertical="center"/>
    </xf>
    <xf numFmtId="0" fontId="20" fillId="35" borderId="75" xfId="0" applyFont="1" applyFill="1" applyBorder="1" applyAlignment="1">
      <alignment horizontal="center" vertical="center"/>
    </xf>
    <xf numFmtId="0" fontId="20" fillId="35" borderId="56" xfId="0" applyFont="1" applyFill="1" applyBorder="1" applyAlignment="1">
      <alignment horizontal="center" vertical="center"/>
    </xf>
    <xf numFmtId="0" fontId="20" fillId="35" borderId="70" xfId="0" applyFont="1" applyFill="1" applyBorder="1" applyAlignment="1">
      <alignment horizontal="center" vertical="center"/>
    </xf>
    <xf numFmtId="0" fontId="20" fillId="35" borderId="50" xfId="0" applyFont="1" applyFill="1" applyBorder="1" applyAlignment="1">
      <alignment horizontal="center" vertical="center"/>
    </xf>
    <xf numFmtId="0" fontId="20" fillId="35" borderId="110" xfId="0" applyFont="1" applyFill="1" applyBorder="1" applyAlignment="1">
      <alignment horizontal="center" vertical="center"/>
    </xf>
    <xf numFmtId="0" fontId="20" fillId="35" borderId="111" xfId="0" applyFont="1" applyFill="1" applyBorder="1" applyAlignment="1">
      <alignment horizontal="center" vertical="center"/>
    </xf>
    <xf numFmtId="49" fontId="20" fillId="0" borderId="125" xfId="0" applyNumberFormat="1" applyFont="1" applyBorder="1" applyAlignment="1">
      <alignment horizontal="center" vertical="center" wrapText="1"/>
    </xf>
    <xf numFmtId="49" fontId="20" fillId="0" borderId="126" xfId="0" applyNumberFormat="1" applyFont="1" applyBorder="1" applyAlignment="1">
      <alignment horizontal="center" vertical="center" wrapText="1"/>
    </xf>
    <xf numFmtId="49" fontId="20" fillId="0" borderId="132" xfId="0" applyNumberFormat="1" applyFont="1" applyBorder="1" applyAlignment="1">
      <alignment horizontal="center" vertical="center" wrapText="1"/>
    </xf>
    <xf numFmtId="0" fontId="23" fillId="0" borderId="128" xfId="0" applyFont="1" applyBorder="1" applyAlignment="1">
      <alignment horizontal="center" vertical="center"/>
    </xf>
    <xf numFmtId="0" fontId="23" fillId="0" borderId="129" xfId="0" applyFont="1" applyBorder="1" applyAlignment="1">
      <alignment horizontal="center" vertical="center"/>
    </xf>
    <xf numFmtId="0" fontId="23" fillId="0" borderId="133" xfId="0" applyFont="1" applyBorder="1" applyAlignment="1">
      <alignment horizontal="center" vertical="center"/>
    </xf>
    <xf numFmtId="0" fontId="20" fillId="0" borderId="150" xfId="0" applyFont="1" applyBorder="1" applyAlignment="1">
      <alignment horizontal="center" vertical="center"/>
    </xf>
    <xf numFmtId="0" fontId="0" fillId="0" borderId="150" xfId="0" applyBorder="1" applyAlignment="1">
      <alignment horizontal="center" vertical="center"/>
    </xf>
    <xf numFmtId="0" fontId="0" fillId="0" borderId="152" xfId="0" applyBorder="1" applyAlignment="1">
      <alignment horizontal="center" vertical="center"/>
    </xf>
    <xf numFmtId="0" fontId="0" fillId="0" borderId="154" xfId="0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7"/>
  <sheetViews>
    <sheetView tabSelected="1"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H3" sqref="H3"/>
    </sheetView>
  </sheetViews>
  <sheetFormatPr defaultColWidth="9" defaultRowHeight="19.899999999999999" customHeight="1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6" customWidth="1"/>
    <col min="6" max="6" width="8.625" style="6" hidden="1" customWidth="1"/>
    <col min="7" max="9" width="9.25" style="6" customWidth="1"/>
    <col min="10" max="10" width="9.25" style="6" hidden="1" customWidth="1"/>
    <col min="11" max="13" width="8.625" style="6" customWidth="1"/>
    <col min="14" max="15" width="8.625" style="6" hidden="1" customWidth="1"/>
    <col min="16" max="21" width="8.625" style="6" customWidth="1"/>
    <col min="22" max="22" width="8.625" style="6" hidden="1" customWidth="1"/>
    <col min="23" max="25" width="8.625" style="6" customWidth="1"/>
    <col min="26" max="26" width="9" style="6" hidden="1" customWidth="1"/>
    <col min="27" max="27" width="9" style="4" hidden="1" customWidth="1"/>
    <col min="28" max="28" width="8.625" style="6" hidden="1" customWidth="1"/>
    <col min="29" max="29" width="8.625" style="14" hidden="1" customWidth="1"/>
    <col min="30" max="31" width="8.625" style="6" hidden="1" customWidth="1"/>
    <col min="32" max="32" width="9" style="6" hidden="1" customWidth="1"/>
    <col min="33" max="34" width="9" style="6" customWidth="1"/>
    <col min="35" max="35" width="3.75" style="6" customWidth="1"/>
    <col min="36" max="36" width="9" style="6" customWidth="1"/>
    <col min="37" max="46" width="8.625" style="6" customWidth="1"/>
    <col min="47" max="47" width="4.5" style="6" customWidth="1"/>
    <col min="48" max="48" width="5.625" style="6" customWidth="1"/>
    <col min="49" max="49" width="3.625" style="6" customWidth="1"/>
    <col min="50" max="50" width="6.625" style="6" customWidth="1"/>
    <col min="51" max="59" width="7.625" style="6" customWidth="1"/>
    <col min="60" max="63" width="9" style="6" customWidth="1"/>
    <col min="64" max="66" width="3.625" style="6" customWidth="1"/>
    <col min="67" max="68" width="8.625" style="6" customWidth="1"/>
    <col min="69" max="71" width="3.625" style="6" customWidth="1"/>
    <col min="72" max="80" width="9" style="6" customWidth="1"/>
    <col min="81" max="16384" width="9" style="6"/>
  </cols>
  <sheetData>
    <row r="1" spans="1:79" s="4" customFormat="1" ht="30" customHeight="1" thickTop="1" thickBot="1" x14ac:dyDescent="0.35">
      <c r="A1" s="1" t="s">
        <v>0</v>
      </c>
      <c r="B1" s="2" t="s">
        <v>1</v>
      </c>
      <c r="C1" s="2" t="s">
        <v>2</v>
      </c>
      <c r="D1" s="108" t="s">
        <v>72</v>
      </c>
      <c r="E1" s="2" t="s">
        <v>3</v>
      </c>
      <c r="F1" s="3" t="s">
        <v>6</v>
      </c>
      <c r="G1" s="175" t="s">
        <v>64</v>
      </c>
      <c r="H1" s="165" t="s">
        <v>141</v>
      </c>
      <c r="I1" s="176" t="s">
        <v>142</v>
      </c>
      <c r="J1" s="158" t="s">
        <v>7</v>
      </c>
      <c r="K1" s="175" t="s">
        <v>65</v>
      </c>
      <c r="L1" s="165" t="s">
        <v>143</v>
      </c>
      <c r="M1" s="176" t="s">
        <v>144</v>
      </c>
      <c r="N1" s="181" t="s">
        <v>9</v>
      </c>
      <c r="O1" s="3" t="s">
        <v>8</v>
      </c>
      <c r="P1" s="175" t="s">
        <v>66</v>
      </c>
      <c r="Q1" s="165" t="s">
        <v>145</v>
      </c>
      <c r="R1" s="176" t="s">
        <v>146</v>
      </c>
      <c r="S1" s="181" t="s">
        <v>10</v>
      </c>
      <c r="T1" s="166" t="s">
        <v>147</v>
      </c>
      <c r="U1" s="166" t="s">
        <v>148</v>
      </c>
      <c r="V1" s="3" t="s">
        <v>38</v>
      </c>
      <c r="W1" s="175" t="s">
        <v>67</v>
      </c>
      <c r="X1" s="165" t="s">
        <v>149</v>
      </c>
      <c r="Y1" s="176" t="s">
        <v>150</v>
      </c>
      <c r="Z1" s="8" t="s">
        <v>68</v>
      </c>
      <c r="AA1" s="8" t="s">
        <v>69</v>
      </c>
      <c r="AB1" s="8" t="s">
        <v>70</v>
      </c>
      <c r="AC1" s="109" t="s">
        <v>5</v>
      </c>
      <c r="AD1" s="110" t="s">
        <v>73</v>
      </c>
      <c r="AE1" s="110" t="s">
        <v>86</v>
      </c>
      <c r="AF1" s="8" t="s">
        <v>96</v>
      </c>
    </row>
    <row r="2" spans="1:79" ht="19.899999999999999" customHeight="1" thickTop="1" thickBot="1" x14ac:dyDescent="0.35">
      <c r="A2" s="111">
        <v>1</v>
      </c>
      <c r="B2" s="112">
        <v>2</v>
      </c>
      <c r="C2" s="112">
        <v>201810187</v>
      </c>
      <c r="D2" s="112" t="str">
        <f t="shared" ref="D2:D33" si="0">VLOOKUP(VALUE(AC2),$AJ$4:$AK$8,2,FALSE)&amp;"학과"</f>
        <v>컴퓨터학과</v>
      </c>
      <c r="E2" s="113" t="s">
        <v>11</v>
      </c>
      <c r="F2" s="115">
        <v>41</v>
      </c>
      <c r="G2" s="173">
        <f>ROUND((F2*100)/200,2)</f>
        <v>20.5</v>
      </c>
      <c r="H2" s="114">
        <f>_xlfn.RANK.EQ(G2,$G$2:$G$54)</f>
        <v>52</v>
      </c>
      <c r="I2" s="174">
        <f>_xlfn.RANK.EQ(G2,$G$2:$G$54,1)</f>
        <v>2</v>
      </c>
      <c r="J2" s="159">
        <v>22</v>
      </c>
      <c r="K2" s="173">
        <f>ROUND((J2*100)/110,2)</f>
        <v>20</v>
      </c>
      <c r="L2" s="114">
        <f>_xlfn.RANK.EQ(K2,$K$2:$K$54)</f>
        <v>48</v>
      </c>
      <c r="M2" s="174">
        <f>_xlfn.RANK.EQ(K2,$K$2:$K$54,1)</f>
        <v>6</v>
      </c>
      <c r="N2" s="182">
        <v>92.22</v>
      </c>
      <c r="O2" s="115">
        <v>9</v>
      </c>
      <c r="P2" s="173">
        <f>ROUND((O2*100)/110,2)</f>
        <v>8.18</v>
      </c>
      <c r="Q2" s="114">
        <f>_xlfn.RANK.EQ(P2,$P$2:$P$54)</f>
        <v>53</v>
      </c>
      <c r="R2" s="174">
        <f>_xlfn.RANK.EQ(P2,$P$2:$P$54,1)</f>
        <v>1</v>
      </c>
      <c r="S2" s="182">
        <v>22</v>
      </c>
      <c r="T2" s="114">
        <f>_xlfn.RANK.EQ(S2,$S$2:$S$54)</f>
        <v>45</v>
      </c>
      <c r="U2" s="114">
        <f>_xlfn.RANK.EQ(S2,$S$2:$S$54,1)</f>
        <v>9</v>
      </c>
      <c r="V2" s="115">
        <v>100</v>
      </c>
      <c r="W2" s="173">
        <f t="shared" ref="W2:W33" si="1">ROUND(G2*0.3+K2*0.35+N2*0.1+P2*0.1+S2*0.1+V2*0.05,2)</f>
        <v>30.39</v>
      </c>
      <c r="X2" s="114">
        <f>_xlfn.RANK.EQ(W2,$W$2:$W$54,0)</f>
        <v>50</v>
      </c>
      <c r="Y2" s="174">
        <f>_xlfn.RANK.EQ(W2,$W$2:$W$54,1)</f>
        <v>4</v>
      </c>
      <c r="Z2" s="9">
        <f>_xlfn.RANK.AVG(W2,$W$2:$W$54,0)</f>
        <v>50</v>
      </c>
      <c r="AA2" s="9"/>
      <c r="AB2" s="9" t="str">
        <f t="shared" ref="AB2:AB33" si="2">LEFT(C2,4)</f>
        <v>2018</v>
      </c>
      <c r="AC2" s="116" t="str">
        <f t="shared" ref="AC2:AC33" si="3">MID(C2,5,3)</f>
        <v>101</v>
      </c>
      <c r="AD2" s="9" t="b">
        <f>OR(AA2="", AB2&lt;="2015")</f>
        <v>1</v>
      </c>
      <c r="AE2" s="9" t="str">
        <f t="shared" ref="AE2:AE33" si="4">IF(X2&lt;=$AK$11*0.3, "A", IF(X2&lt;=$AK$11*0.6, "B", IF(X2&lt;=$AK$11*0.8, "C", IF(X2&lt;=$AK$11*0.9, "D","F"))))</f>
        <v>F</v>
      </c>
      <c r="AF2" s="9" t="str">
        <f t="shared" ref="AF2:AF33" si="5">IF(AND(X2&lt;=$AK$11*0.3, W2&gt;=$AP$3, AA2=""), "A+",IF(AND(X2&lt;=$AK$11*0.3, OR(W2&lt;$AP$3, AB2&lt;="2015")), "A0", IF(AND(X2&lt;=$AK$11*0.6, W2&gt;=$AP$4), "B+", IF(AND(X2&lt;=$AK$11*0.6, W2&lt;$AP$4), "B0",IF(AND(X2&lt;=$AK$11*0.8, W2&gt;=$AP$5), "C+", IF(AND(X2&lt;=$AK$11*0.8, W2&lt;$AP$5), "C0", IF(AND(X2&lt;=$AK$11*0.9, W2&gt;=$AP$6), "D+", IF(AND(X2&lt;=$AK$11*0.9, W2&lt;$AP$6), "D0","F"))))))))</f>
        <v>F</v>
      </c>
      <c r="AJ2" s="235" t="s">
        <v>80</v>
      </c>
      <c r="AK2" s="235"/>
      <c r="AL2" s="4"/>
      <c r="AM2" s="4"/>
      <c r="AN2" s="17" t="s">
        <v>87</v>
      </c>
      <c r="AO2" s="18" t="s">
        <v>88</v>
      </c>
      <c r="AP2" s="26" t="s">
        <v>89</v>
      </c>
      <c r="AQ2" s="19" t="s">
        <v>95</v>
      </c>
      <c r="AR2" s="4"/>
      <c r="AV2" s="35"/>
      <c r="AW2" s="36"/>
      <c r="AX2" s="37"/>
      <c r="AY2" s="38" t="s">
        <v>114</v>
      </c>
      <c r="AZ2" s="36" t="s">
        <v>115</v>
      </c>
      <c r="BA2" s="36" t="s">
        <v>116</v>
      </c>
      <c r="BB2" s="36" t="s">
        <v>117</v>
      </c>
      <c r="BC2" s="36" t="s">
        <v>118</v>
      </c>
      <c r="BD2" s="36" t="s">
        <v>119</v>
      </c>
      <c r="BE2" s="36" t="s">
        <v>120</v>
      </c>
      <c r="BF2" s="36" t="s">
        <v>121</v>
      </c>
      <c r="BG2" s="37" t="s">
        <v>122</v>
      </c>
      <c r="BI2" s="66"/>
      <c r="BJ2" s="67" t="s">
        <v>126</v>
      </c>
      <c r="BK2" s="68" t="s">
        <v>129</v>
      </c>
      <c r="BM2" s="82"/>
      <c r="BN2" s="81"/>
      <c r="BO2" s="67" t="s">
        <v>126</v>
      </c>
      <c r="BP2" s="68" t="s">
        <v>129</v>
      </c>
      <c r="BR2" s="84"/>
      <c r="BS2" s="85"/>
      <c r="BT2" s="252">
        <v>2018</v>
      </c>
      <c r="BU2" s="253"/>
      <c r="BV2" s="254">
        <v>2017</v>
      </c>
      <c r="BW2" s="254"/>
      <c r="BX2" s="252">
        <v>2016</v>
      </c>
      <c r="BY2" s="253"/>
      <c r="BZ2" s="254">
        <v>2015</v>
      </c>
      <c r="CA2" s="253"/>
    </row>
    <row r="3" spans="1:79" ht="19.899999999999999" customHeight="1" thickTop="1" thickBot="1" x14ac:dyDescent="0.35">
      <c r="A3" s="117">
        <v>2</v>
      </c>
      <c r="B3" s="118">
        <v>2</v>
      </c>
      <c r="C3" s="118">
        <v>201810488</v>
      </c>
      <c r="D3" s="112" t="str">
        <f t="shared" si="0"/>
        <v>게임학과</v>
      </c>
      <c r="E3" s="119" t="s">
        <v>12</v>
      </c>
      <c r="F3" s="121">
        <v>55</v>
      </c>
      <c r="G3" s="173">
        <f t="shared" ref="G3:G54" si="6">ROUND((F3*100)/200,2)</f>
        <v>27.5</v>
      </c>
      <c r="H3" s="114">
        <f t="shared" ref="H3:H54" si="7">_xlfn.RANK.EQ(G3,$G$2:$G$54)</f>
        <v>49</v>
      </c>
      <c r="I3" s="174">
        <f t="shared" ref="I3:I54" si="8">_xlfn.RANK.EQ(G3,$G$2:$G$54,1)</f>
        <v>5</v>
      </c>
      <c r="J3" s="187">
        <v>47</v>
      </c>
      <c r="K3" s="173">
        <f t="shared" ref="K3:K54" si="9">ROUND((J3*100)/110,2)</f>
        <v>42.73</v>
      </c>
      <c r="L3" s="114">
        <f t="shared" ref="L3:L54" si="10">_xlfn.RANK.EQ(K3,$K$2:$K$54)</f>
        <v>43</v>
      </c>
      <c r="M3" s="174">
        <f t="shared" ref="M3:M54" si="11">_xlfn.RANK.EQ(K3,$K$2:$K$54,1)</f>
        <v>9</v>
      </c>
      <c r="N3" s="183">
        <v>81.11</v>
      </c>
      <c r="O3" s="121">
        <v>47</v>
      </c>
      <c r="P3" s="173">
        <f t="shared" ref="P3:P54" si="12">ROUND((O3*100)/110,2)</f>
        <v>42.73</v>
      </c>
      <c r="Q3" s="114">
        <f t="shared" ref="Q3:Q54" si="13">_xlfn.RANK.EQ(P3,$P$2:$P$54)</f>
        <v>37</v>
      </c>
      <c r="R3" s="174">
        <f t="shared" ref="R3:R54" si="14">_xlfn.RANK.EQ(P3,$P$2:$P$54,1)</f>
        <v>15</v>
      </c>
      <c r="S3" s="183">
        <v>25</v>
      </c>
      <c r="T3" s="114">
        <f t="shared" ref="T3:T54" si="15">_xlfn.RANK.EQ(S3,$S$2:$S$54)</f>
        <v>44</v>
      </c>
      <c r="U3" s="114">
        <f t="shared" ref="U3:U54" si="16">_xlfn.RANK.EQ(S3,$S$2:$S$54,1)</f>
        <v>10</v>
      </c>
      <c r="V3" s="121">
        <v>100</v>
      </c>
      <c r="W3" s="168">
        <f t="shared" si="1"/>
        <v>43.09</v>
      </c>
      <c r="X3" s="120">
        <f t="shared" ref="X3:X54" si="17">_xlfn.RANK.EQ(W3,$W$2:$W$54,0)</f>
        <v>45</v>
      </c>
      <c r="Y3" s="169">
        <f t="shared" ref="Y3:Y54" si="18">_xlfn.RANK.EQ(W3,$W$2:$W$54,1)</f>
        <v>9</v>
      </c>
      <c r="Z3" s="9">
        <f t="shared" ref="Z3:Z54" si="19">_xlfn.RANK.AVG(W3,$W$2:$W$54,0)</f>
        <v>45</v>
      </c>
      <c r="AA3" s="10"/>
      <c r="AB3" s="9" t="str">
        <f t="shared" si="2"/>
        <v>2018</v>
      </c>
      <c r="AC3" s="116" t="str">
        <f t="shared" si="3"/>
        <v>104</v>
      </c>
      <c r="AD3" s="9" t="b">
        <f t="shared" ref="AD3:AD54" si="20">OR(AA3="", AB3&lt;="2015")</f>
        <v>1</v>
      </c>
      <c r="AE3" s="9" t="str">
        <f t="shared" si="4"/>
        <v>D</v>
      </c>
      <c r="AF3" s="9" t="str">
        <f t="shared" si="5"/>
        <v>D+</v>
      </c>
      <c r="AJ3" s="15" t="s">
        <v>5</v>
      </c>
      <c r="AK3" s="15" t="s">
        <v>74</v>
      </c>
      <c r="AN3" s="20" t="s">
        <v>90</v>
      </c>
      <c r="AO3" s="21">
        <f>SUMIF($AE$2:$AE$54, "="&amp;AN3, $W$2:$W$54)</f>
        <v>1178.3400000000001</v>
      </c>
      <c r="AP3" s="27">
        <f>ROUND(AVERAGEIF($AE$2:$AE$54, "="&amp;AN3, $W$2:$W$54),2)</f>
        <v>78.56</v>
      </c>
      <c r="AQ3" s="29">
        <f>COUNTIF($AE$2:$AE$54, "="&amp;AN3)</f>
        <v>15</v>
      </c>
      <c r="AV3" s="215">
        <v>101</v>
      </c>
      <c r="AW3" s="210">
        <v>1</v>
      </c>
      <c r="AX3" s="34" t="s">
        <v>123</v>
      </c>
      <c r="AY3" s="55">
        <f t="shared" ref="AY3:BG3" si="21">COUNTIFS($B$2:$B$54,"="&amp;$AW3,$AC$2:$AC$54,"="&amp;$AV$3,$AF$2:$AF$54,"="&amp;AY$2)</f>
        <v>0</v>
      </c>
      <c r="AZ3" s="40">
        <f t="shared" si="21"/>
        <v>0</v>
      </c>
      <c r="BA3" s="40">
        <f t="shared" si="21"/>
        <v>0</v>
      </c>
      <c r="BB3" s="40">
        <f t="shared" si="21"/>
        <v>0</v>
      </c>
      <c r="BC3" s="40">
        <f t="shared" si="21"/>
        <v>0</v>
      </c>
      <c r="BD3" s="40">
        <f t="shared" si="21"/>
        <v>0</v>
      </c>
      <c r="BE3" s="40">
        <f t="shared" si="21"/>
        <v>0</v>
      </c>
      <c r="BF3" s="40">
        <f t="shared" si="21"/>
        <v>0</v>
      </c>
      <c r="BG3" s="39">
        <f t="shared" si="21"/>
        <v>0</v>
      </c>
      <c r="BI3" s="69" t="s">
        <v>98</v>
      </c>
      <c r="BJ3" s="88">
        <f>_xlfn.MAXIFS($W$2:$W$54,$AF$2:$AF$54,"="&amp;$BI3)</f>
        <v>89.82</v>
      </c>
      <c r="BK3" s="106">
        <f>_xlfn.MINIFS($W$2:$W$54,$AF$2:$AF$54,"="&amp;$BI3)</f>
        <v>81.27</v>
      </c>
      <c r="BM3" s="251">
        <v>101</v>
      </c>
      <c r="BN3" s="71">
        <v>1</v>
      </c>
      <c r="BO3" s="88">
        <f>_xlfn.MAXIFS($W$2:$W$54,$AC$2:$AC$54,"="&amp;$BM$3,$B$2:$B$54,"="&amp;$BN3)</f>
        <v>0</v>
      </c>
      <c r="BP3" s="106">
        <f>_xlfn.MINIFS($W$2:$W$54,$AC$2:$AC$54,"="&amp;$BM$3,$B$2:$B$54,"="&amp;$BN3)</f>
        <v>0</v>
      </c>
      <c r="BR3" s="86"/>
      <c r="BS3" s="87"/>
      <c r="BT3" s="76" t="s">
        <v>126</v>
      </c>
      <c r="BU3" s="33" t="s">
        <v>129</v>
      </c>
      <c r="BV3" s="75" t="s">
        <v>126</v>
      </c>
      <c r="BW3" s="83" t="s">
        <v>129</v>
      </c>
      <c r="BX3" s="76" t="s">
        <v>126</v>
      </c>
      <c r="BY3" s="33" t="s">
        <v>129</v>
      </c>
      <c r="BZ3" s="75" t="s">
        <v>126</v>
      </c>
      <c r="CA3" s="33" t="s">
        <v>129</v>
      </c>
    </row>
    <row r="4" spans="1:79" ht="19.899999999999999" customHeight="1" thickTop="1" x14ac:dyDescent="0.3">
      <c r="A4" s="117">
        <v>3</v>
      </c>
      <c r="B4" s="118">
        <v>2</v>
      </c>
      <c r="C4" s="118">
        <v>201810390</v>
      </c>
      <c r="D4" s="112" t="str">
        <f t="shared" si="0"/>
        <v>전자학과</v>
      </c>
      <c r="E4" s="119" t="s">
        <v>13</v>
      </c>
      <c r="F4" s="121">
        <v>82</v>
      </c>
      <c r="G4" s="173">
        <f t="shared" si="6"/>
        <v>41</v>
      </c>
      <c r="H4" s="114">
        <f t="shared" si="7"/>
        <v>42</v>
      </c>
      <c r="I4" s="174">
        <f t="shared" si="8"/>
        <v>11</v>
      </c>
      <c r="J4" s="187">
        <v>34</v>
      </c>
      <c r="K4" s="173">
        <f t="shared" si="9"/>
        <v>30.91</v>
      </c>
      <c r="L4" s="114">
        <f t="shared" si="10"/>
        <v>47</v>
      </c>
      <c r="M4" s="174">
        <f t="shared" si="11"/>
        <v>7</v>
      </c>
      <c r="N4" s="183">
        <v>100</v>
      </c>
      <c r="O4" s="121">
        <v>34</v>
      </c>
      <c r="P4" s="173">
        <f t="shared" si="12"/>
        <v>30.91</v>
      </c>
      <c r="Q4" s="114">
        <f t="shared" si="13"/>
        <v>44</v>
      </c>
      <c r="R4" s="174">
        <f t="shared" si="14"/>
        <v>10</v>
      </c>
      <c r="S4" s="183">
        <v>45</v>
      </c>
      <c r="T4" s="114">
        <f t="shared" si="15"/>
        <v>34</v>
      </c>
      <c r="U4" s="114">
        <f t="shared" si="16"/>
        <v>20</v>
      </c>
      <c r="V4" s="121">
        <v>100</v>
      </c>
      <c r="W4" s="168">
        <f t="shared" si="1"/>
        <v>45.71</v>
      </c>
      <c r="X4" s="120">
        <f t="shared" si="17"/>
        <v>42</v>
      </c>
      <c r="Y4" s="169">
        <f t="shared" si="18"/>
        <v>12</v>
      </c>
      <c r="Z4" s="9">
        <f t="shared" si="19"/>
        <v>42</v>
      </c>
      <c r="AA4" s="10"/>
      <c r="AB4" s="9" t="str">
        <f t="shared" si="2"/>
        <v>2018</v>
      </c>
      <c r="AC4" s="116" t="str">
        <f t="shared" si="3"/>
        <v>103</v>
      </c>
      <c r="AD4" s="9" t="b">
        <f t="shared" si="20"/>
        <v>1</v>
      </c>
      <c r="AE4" s="9" t="str">
        <f t="shared" si="4"/>
        <v>C</v>
      </c>
      <c r="AF4" s="9" t="str">
        <f t="shared" si="5"/>
        <v>C0</v>
      </c>
      <c r="AJ4" s="16">
        <v>101</v>
      </c>
      <c r="AK4" s="15" t="s">
        <v>75</v>
      </c>
      <c r="AN4" s="23" t="s">
        <v>91</v>
      </c>
      <c r="AO4" s="21">
        <f t="shared" ref="AO4:AO7" si="22">SUMIF($AE$2:$AE$54, "="&amp;AN4, $W$2:$W$54)</f>
        <v>1092.4499999999998</v>
      </c>
      <c r="AP4" s="27">
        <f t="shared" ref="AP4:AP7" si="23">ROUND(AVERAGEIF($AE$2:$AE$54, "="&amp;AN4, $W$2:$W$54),2)</f>
        <v>68.28</v>
      </c>
      <c r="AQ4" s="22">
        <f t="shared" ref="AQ4:AQ7" si="24">COUNTIF($AE$2:$AE$54, "="&amp;AN4)</f>
        <v>16</v>
      </c>
      <c r="AV4" s="211"/>
      <c r="AW4" s="205"/>
      <c r="AX4" s="49" t="s">
        <v>124</v>
      </c>
      <c r="AY4" s="56">
        <f t="shared" ref="AY4:BG4" si="25">SUMIFS($W$2:$W$54,$B$2:$B$54,"="&amp;$AW3,$AC$2:$AC$54,"="&amp;$AV$3,$AF$2:$AF$54,"="&amp;AY$2)</f>
        <v>0</v>
      </c>
      <c r="AZ4" s="42">
        <f t="shared" si="25"/>
        <v>0</v>
      </c>
      <c r="BA4" s="42">
        <f t="shared" si="25"/>
        <v>0</v>
      </c>
      <c r="BB4" s="42">
        <f t="shared" si="25"/>
        <v>0</v>
      </c>
      <c r="BC4" s="42">
        <f t="shared" si="25"/>
        <v>0</v>
      </c>
      <c r="BD4" s="42">
        <f t="shared" si="25"/>
        <v>0</v>
      </c>
      <c r="BE4" s="42">
        <f t="shared" si="25"/>
        <v>0</v>
      </c>
      <c r="BF4" s="42">
        <f t="shared" si="25"/>
        <v>0</v>
      </c>
      <c r="BG4" s="41">
        <f t="shared" si="25"/>
        <v>0</v>
      </c>
      <c r="BI4" s="72" t="s">
        <v>99</v>
      </c>
      <c r="BJ4" s="89">
        <f t="shared" ref="BJ4:BJ11" si="26">_xlfn.MAXIFS($W$2:$W$54,$AF$2:$AF$54,"="&amp;$BI4)</f>
        <v>78.84</v>
      </c>
      <c r="BK4" s="71">
        <f t="shared" ref="BK4:BK11" si="27">_xlfn.MINIFS($W$2:$W$54,$AF$2:$AF$54,"="&amp;$BI4)</f>
        <v>72.69</v>
      </c>
      <c r="BM4" s="248"/>
      <c r="BN4" s="73">
        <v>2</v>
      </c>
      <c r="BO4" s="93">
        <f>_xlfn.MAXIFS($W$2:$W$54,$AC$2:$AC$54,"="&amp;$BM$3,$B$2:$B$54,"="&amp;$BN4)</f>
        <v>89.82</v>
      </c>
      <c r="BP4" s="73">
        <f>_xlfn.MINIFS($W$2:$W$54,$AC$2:$AC$54,"="&amp;$BM$3,$B$2:$B$54,"="&amp;$BN4)</f>
        <v>30.39</v>
      </c>
      <c r="BR4" s="248">
        <v>101</v>
      </c>
      <c r="BS4" s="71">
        <v>1</v>
      </c>
      <c r="BT4" s="70">
        <f>_xlfn.MAXIFS($W$2:$W$54,$AC$2:$AC$54,"="&amp;$BR$4,$B$2:$B$54,"="&amp;$BS4,$AB$2:$AB$54,"="&amp;BT$2)</f>
        <v>0</v>
      </c>
      <c r="BU4" s="71">
        <f>_xlfn.MINIFS($W$2:$W$54,$AC$2:$AC$54,"="&amp;$BR$4,$B$2:$B$54,"="&amp;$BS4,$AB$2:$AB$54,"="&amp;BT$2)</f>
        <v>0</v>
      </c>
      <c r="BV4" s="70">
        <f>_xlfn.MAXIFS($W$2:$W$54,$AC$2:$AC$54,"="&amp;$BR$4,$B$2:$B$54,"="&amp;$BS4,$AB$2:$AB$54,"="&amp;BV$2)</f>
        <v>0</v>
      </c>
      <c r="BW4" s="71">
        <f>_xlfn.MINIFS($W$2:$W$54,$AC$2:$AC$54,"="&amp;$BR$4,$B$2:$B$54,"="&amp;$BS4,$AB$2:$AB$54,"="&amp;BV$2)</f>
        <v>0</v>
      </c>
      <c r="BX4" s="70">
        <f>_xlfn.MAXIFS($W$2:$W$54,$AC$2:$AC$54,"="&amp;$BR$4,$B$2:$B$54,"="&amp;$BS4,$AB$2:$AB$54,"="&amp;BX$2)</f>
        <v>0</v>
      </c>
      <c r="BY4" s="71">
        <f>_xlfn.MINIFS($W$2:$W$54,$AC$2:$AC$54,"="&amp;$BR$4,$B$2:$B$54,"="&amp;$BS4,$AB$2:$AB$54,"="&amp;BX$2)</f>
        <v>0</v>
      </c>
      <c r="BZ4" s="70">
        <f>_xlfn.MAXIFS($W$2:$W$54,$AC$2:$AC$54,"="&amp;$BR$4,$B$2:$B$54,"="&amp;$BS4,$AB$2:$AB$54,"="&amp;BZ$2)</f>
        <v>0</v>
      </c>
      <c r="CA4" s="71">
        <f>_xlfn.MINIFS($W$2:$W$54,$AC$2:$AC$54,"="&amp;$BR$4,$B$2:$B$54,"="&amp;$BS4,$AB$2:$AB$54,"="&amp;BZ$2)</f>
        <v>0</v>
      </c>
    </row>
    <row r="5" spans="1:79" ht="19.899999999999999" customHeight="1" x14ac:dyDescent="0.3">
      <c r="A5" s="117">
        <v>4</v>
      </c>
      <c r="B5" s="118">
        <v>2</v>
      </c>
      <c r="C5" s="118">
        <v>201710239</v>
      </c>
      <c r="D5" s="112" t="str">
        <f t="shared" si="0"/>
        <v>보안학과</v>
      </c>
      <c r="E5" s="119" t="s">
        <v>14</v>
      </c>
      <c r="F5" s="121">
        <v>126</v>
      </c>
      <c r="G5" s="173">
        <f t="shared" si="6"/>
        <v>63</v>
      </c>
      <c r="H5" s="114">
        <f t="shared" si="7"/>
        <v>27</v>
      </c>
      <c r="I5" s="174">
        <f t="shared" si="8"/>
        <v>27</v>
      </c>
      <c r="J5" s="187">
        <v>79</v>
      </c>
      <c r="K5" s="173">
        <f t="shared" si="9"/>
        <v>71.819999999999993</v>
      </c>
      <c r="L5" s="114">
        <f t="shared" si="10"/>
        <v>18</v>
      </c>
      <c r="M5" s="174">
        <f t="shared" si="11"/>
        <v>35</v>
      </c>
      <c r="N5" s="183">
        <v>97.78</v>
      </c>
      <c r="O5" s="121">
        <v>54</v>
      </c>
      <c r="P5" s="173">
        <f t="shared" si="12"/>
        <v>49.09</v>
      </c>
      <c r="Q5" s="114">
        <f t="shared" si="13"/>
        <v>31</v>
      </c>
      <c r="R5" s="174">
        <f t="shared" si="14"/>
        <v>22</v>
      </c>
      <c r="S5" s="183">
        <v>39</v>
      </c>
      <c r="T5" s="114">
        <f t="shared" si="15"/>
        <v>37</v>
      </c>
      <c r="U5" s="114">
        <f t="shared" si="16"/>
        <v>17</v>
      </c>
      <c r="V5" s="121">
        <v>100</v>
      </c>
      <c r="W5" s="168">
        <f t="shared" si="1"/>
        <v>67.62</v>
      </c>
      <c r="X5" s="120">
        <f t="shared" si="17"/>
        <v>26</v>
      </c>
      <c r="Y5" s="169">
        <f t="shared" si="18"/>
        <v>28</v>
      </c>
      <c r="Z5" s="9">
        <f t="shared" si="19"/>
        <v>26</v>
      </c>
      <c r="AA5" s="10"/>
      <c r="AB5" s="9" t="str">
        <f t="shared" si="2"/>
        <v>2017</v>
      </c>
      <c r="AC5" s="116" t="str">
        <f t="shared" si="3"/>
        <v>102</v>
      </c>
      <c r="AD5" s="9" t="b">
        <f t="shared" si="20"/>
        <v>1</v>
      </c>
      <c r="AE5" s="9" t="str">
        <f t="shared" si="4"/>
        <v>B</v>
      </c>
      <c r="AF5" s="9" t="str">
        <f t="shared" si="5"/>
        <v>B0</v>
      </c>
      <c r="AJ5" s="16">
        <v>102</v>
      </c>
      <c r="AK5" s="15" t="s">
        <v>76</v>
      </c>
      <c r="AN5" s="23" t="s">
        <v>92</v>
      </c>
      <c r="AO5" s="21">
        <f t="shared" si="22"/>
        <v>603.79</v>
      </c>
      <c r="AP5" s="27">
        <f t="shared" si="23"/>
        <v>54.89</v>
      </c>
      <c r="AQ5" s="22">
        <f t="shared" si="24"/>
        <v>11</v>
      </c>
      <c r="AV5" s="211"/>
      <c r="AW5" s="207"/>
      <c r="AX5" s="43" t="s">
        <v>125</v>
      </c>
      <c r="AY5" s="58" t="str">
        <f t="shared" ref="AY5:BG5" si="28">IFERROR(ROUND(AVERAGEIFS($W$2:$W$54,$B$2:$B$54,"="&amp;$AW3,$AC$2:$AC$54,"="&amp;$AV$3,$AF$2:$AF$54,"="&amp;AY$2),2),"-")</f>
        <v>-</v>
      </c>
      <c r="AZ5" s="46" t="str">
        <f t="shared" si="28"/>
        <v>-</v>
      </c>
      <c r="BA5" s="46" t="str">
        <f t="shared" si="28"/>
        <v>-</v>
      </c>
      <c r="BB5" s="46" t="str">
        <f t="shared" si="28"/>
        <v>-</v>
      </c>
      <c r="BC5" s="46" t="str">
        <f t="shared" si="28"/>
        <v>-</v>
      </c>
      <c r="BD5" s="46" t="str">
        <f t="shared" si="28"/>
        <v>-</v>
      </c>
      <c r="BE5" s="46" t="str">
        <f t="shared" si="28"/>
        <v>-</v>
      </c>
      <c r="BF5" s="46" t="str">
        <f t="shared" si="28"/>
        <v>-</v>
      </c>
      <c r="BG5" s="45" t="str">
        <f t="shared" si="28"/>
        <v>-</v>
      </c>
      <c r="BI5" s="72" t="s">
        <v>100</v>
      </c>
      <c r="BJ5" s="89">
        <f t="shared" si="26"/>
        <v>82.26</v>
      </c>
      <c r="BK5" s="71">
        <f t="shared" si="27"/>
        <v>68.739999999999995</v>
      </c>
      <c r="BM5" s="248"/>
      <c r="BN5" s="73">
        <v>3</v>
      </c>
      <c r="BO5" s="93">
        <f>_xlfn.MAXIFS($W$2:$W$54,$AC$2:$AC$54,"="&amp;$BM$3,$B$2:$B$54,"="&amp;$BN5)</f>
        <v>78.84</v>
      </c>
      <c r="BP5" s="73">
        <f>_xlfn.MINIFS($W$2:$W$54,$AC$2:$AC$54,"="&amp;$BM$3,$B$2:$B$54,"="&amp;$BN5)</f>
        <v>56.46</v>
      </c>
      <c r="BR5" s="248"/>
      <c r="BS5" s="73">
        <v>2</v>
      </c>
      <c r="BT5" s="70">
        <f>_xlfn.MAXIFS($W$2:$W$54,$AC$2:$AC$54,"="&amp;$BR$4,$B$2:$B$54,"="&amp;$BS5,$AB$2:$AB$54,"="&amp;BT$2)</f>
        <v>77.989999999999995</v>
      </c>
      <c r="BU5" s="71">
        <f>_xlfn.MINIFS($W$2:$W$54,$AC$2:$AC$54,"="&amp;$BR$4,$B$2:$B$54,"="&amp;$BS5,$AB$2:$AB$54,"="&amp;BT$2)</f>
        <v>30.39</v>
      </c>
      <c r="BV5" s="70">
        <f>_xlfn.MAXIFS($W$2:$W$54,$AC$2:$AC$54,"="&amp;$BR$4,$B$2:$B$54,"="&amp;$BS5,$AB$2:$AB$54,"="&amp;BV$2)</f>
        <v>89.82</v>
      </c>
      <c r="BW5" s="71">
        <f>_xlfn.MINIFS($W$2:$W$54,$AC$2:$AC$54,"="&amp;$BR$4,$B$2:$B$54,"="&amp;$BS5,$AB$2:$AB$54,"="&amp;BV$2)</f>
        <v>30.68</v>
      </c>
      <c r="BX5" s="70">
        <f>_xlfn.MAXIFS($W$2:$W$54,$AC$2:$AC$54,"="&amp;$BR$4,$B$2:$B$54,"="&amp;$BS5,$AB$2:$AB$54,"="&amp;BX$2)</f>
        <v>77.72</v>
      </c>
      <c r="BY5" s="71">
        <f>_xlfn.MINIFS($W$2:$W$54,$AC$2:$AC$54,"="&amp;$BR$4,$B$2:$B$54,"="&amp;$BS5,$AB$2:$AB$54,"="&amp;BX$2)</f>
        <v>72.3</v>
      </c>
      <c r="BZ5" s="70">
        <f>_xlfn.MAXIFS($W$2:$W$54,$AC$2:$AC$54,"="&amp;$BR$4,$B$2:$B$54,"="&amp;$BS5,$AB$2:$AB$54,"="&amp;BZ$2)</f>
        <v>0</v>
      </c>
      <c r="CA5" s="71">
        <f>_xlfn.MINIFS($W$2:$W$54,$AC$2:$AC$54,"="&amp;$BR$4,$B$2:$B$54,"="&amp;$BS5,$AB$2:$AB$54,"="&amp;BZ$2)</f>
        <v>0</v>
      </c>
    </row>
    <row r="6" spans="1:79" ht="19.899999999999999" customHeight="1" thickBot="1" x14ac:dyDescent="0.35">
      <c r="A6" s="117">
        <v>5</v>
      </c>
      <c r="B6" s="118">
        <v>3</v>
      </c>
      <c r="C6" s="118">
        <v>201710275</v>
      </c>
      <c r="D6" s="112" t="str">
        <f t="shared" si="0"/>
        <v>보안학과</v>
      </c>
      <c r="E6" s="119" t="s">
        <v>15</v>
      </c>
      <c r="F6" s="121">
        <v>131</v>
      </c>
      <c r="G6" s="173">
        <f t="shared" si="6"/>
        <v>65.5</v>
      </c>
      <c r="H6" s="114">
        <f t="shared" si="7"/>
        <v>20</v>
      </c>
      <c r="I6" s="174">
        <f t="shared" si="8"/>
        <v>33</v>
      </c>
      <c r="J6" s="187">
        <v>88</v>
      </c>
      <c r="K6" s="173">
        <f t="shared" si="9"/>
        <v>80</v>
      </c>
      <c r="L6" s="114">
        <f t="shared" si="10"/>
        <v>11</v>
      </c>
      <c r="M6" s="174">
        <f t="shared" si="11"/>
        <v>43</v>
      </c>
      <c r="N6" s="183">
        <v>88.89</v>
      </c>
      <c r="O6" s="121">
        <v>53</v>
      </c>
      <c r="P6" s="173">
        <f t="shared" si="12"/>
        <v>48.18</v>
      </c>
      <c r="Q6" s="114">
        <f t="shared" si="13"/>
        <v>33</v>
      </c>
      <c r="R6" s="174">
        <f t="shared" si="14"/>
        <v>21</v>
      </c>
      <c r="S6" s="183">
        <v>61</v>
      </c>
      <c r="T6" s="114">
        <f t="shared" si="15"/>
        <v>20</v>
      </c>
      <c r="U6" s="114">
        <f t="shared" si="16"/>
        <v>34</v>
      </c>
      <c r="V6" s="121">
        <v>100</v>
      </c>
      <c r="W6" s="168">
        <f t="shared" si="1"/>
        <v>72.459999999999994</v>
      </c>
      <c r="X6" s="120">
        <f t="shared" si="17"/>
        <v>16</v>
      </c>
      <c r="Y6" s="169">
        <f t="shared" si="18"/>
        <v>38</v>
      </c>
      <c r="Z6" s="9">
        <f t="shared" si="19"/>
        <v>16</v>
      </c>
      <c r="AA6" s="10"/>
      <c r="AB6" s="9" t="str">
        <f t="shared" si="2"/>
        <v>2017</v>
      </c>
      <c r="AC6" s="116" t="str">
        <f t="shared" si="3"/>
        <v>102</v>
      </c>
      <c r="AD6" s="9" t="b">
        <f t="shared" si="20"/>
        <v>1</v>
      </c>
      <c r="AE6" s="9" t="str">
        <f t="shared" si="4"/>
        <v>B</v>
      </c>
      <c r="AF6" s="9" t="str">
        <f t="shared" si="5"/>
        <v>B+</v>
      </c>
      <c r="AJ6" s="16">
        <v>103</v>
      </c>
      <c r="AK6" s="15" t="s">
        <v>77</v>
      </c>
      <c r="AN6" s="23" t="s">
        <v>93</v>
      </c>
      <c r="AO6" s="21">
        <f t="shared" si="22"/>
        <v>210.53000000000003</v>
      </c>
      <c r="AP6" s="27">
        <f t="shared" si="23"/>
        <v>42.11</v>
      </c>
      <c r="AQ6" s="22">
        <f t="shared" si="24"/>
        <v>5</v>
      </c>
      <c r="AV6" s="211"/>
      <c r="AW6" s="204">
        <v>2</v>
      </c>
      <c r="AX6" s="49" t="s">
        <v>123</v>
      </c>
      <c r="AY6" s="59">
        <f t="shared" ref="AY6:BG6" si="29">COUNTIFS($B$2:$B$54,"="&amp;$AW6,$AC$2:$AC$54,"="&amp;$AV$3,$AF$2:$AF$54,"="&amp;AY$2)</f>
        <v>1</v>
      </c>
      <c r="AZ6" s="48">
        <f t="shared" si="29"/>
        <v>2</v>
      </c>
      <c r="BA6" s="48">
        <f t="shared" si="29"/>
        <v>1</v>
      </c>
      <c r="BB6" s="48">
        <f t="shared" si="29"/>
        <v>0</v>
      </c>
      <c r="BC6" s="48">
        <f t="shared" si="29"/>
        <v>1</v>
      </c>
      <c r="BD6" s="48">
        <f t="shared" si="29"/>
        <v>0</v>
      </c>
      <c r="BE6" s="48">
        <f t="shared" si="29"/>
        <v>0</v>
      </c>
      <c r="BF6" s="48">
        <f t="shared" si="29"/>
        <v>0</v>
      </c>
      <c r="BG6" s="47">
        <f t="shared" si="29"/>
        <v>3</v>
      </c>
      <c r="BI6" s="72" t="s">
        <v>101</v>
      </c>
      <c r="BJ6" s="89">
        <f t="shared" si="26"/>
        <v>68.150000000000006</v>
      </c>
      <c r="BK6" s="71">
        <f t="shared" si="27"/>
        <v>62.86</v>
      </c>
      <c r="BM6" s="248"/>
      <c r="BN6" s="77">
        <v>4</v>
      </c>
      <c r="BO6" s="94">
        <f>_xlfn.MAXIFS($W$2:$W$54,$AC$2:$AC$54,"="&amp;$BM$3,$B$2:$B$54,"="&amp;$BN6)</f>
        <v>77.959999999999994</v>
      </c>
      <c r="BP6" s="77">
        <f>_xlfn.MINIFS($W$2:$W$54,$AC$2:$AC$54,"="&amp;$BM$3,$B$2:$B$54,"="&amp;$BN6)</f>
        <v>38.93</v>
      </c>
      <c r="BR6" s="248"/>
      <c r="BS6" s="73">
        <v>3</v>
      </c>
      <c r="BT6" s="70">
        <f>_xlfn.MAXIFS($W$2:$W$54,$AC$2:$AC$54,"="&amp;$BR$4,$B$2:$B$54,"="&amp;$BS6,$AB$2:$AB$54,"="&amp;BT$2)</f>
        <v>0</v>
      </c>
      <c r="BU6" s="71">
        <f>_xlfn.MINIFS($W$2:$W$54,$AC$2:$AC$54,"="&amp;$BR$4,$B$2:$B$54,"="&amp;$BS6,$AB$2:$AB$54,"="&amp;BT$2)</f>
        <v>0</v>
      </c>
      <c r="BV6" s="70">
        <f>_xlfn.MAXIFS($W$2:$W$54,$AC$2:$AC$54,"="&amp;$BR$4,$B$2:$B$54,"="&amp;$BS6,$AB$2:$AB$54,"="&amp;BV$2)</f>
        <v>0</v>
      </c>
      <c r="BW6" s="71">
        <f>_xlfn.MINIFS($W$2:$W$54,$AC$2:$AC$54,"="&amp;$BR$4,$B$2:$B$54,"="&amp;$BS6,$AB$2:$AB$54,"="&amp;BV$2)</f>
        <v>0</v>
      </c>
      <c r="BX6" s="70">
        <f>_xlfn.MAXIFS($W$2:$W$54,$AC$2:$AC$54,"="&amp;$BR$4,$B$2:$B$54,"="&amp;$BS6,$AB$2:$AB$54,"="&amp;BX$2)</f>
        <v>56.46</v>
      </c>
      <c r="BY6" s="71">
        <f>_xlfn.MINIFS($W$2:$W$54,$AC$2:$AC$54,"="&amp;$BR$4,$B$2:$B$54,"="&amp;$BS6,$AB$2:$AB$54,"="&amp;BX$2)</f>
        <v>56.46</v>
      </c>
      <c r="BZ6" s="70">
        <f>_xlfn.MAXIFS($W$2:$W$54,$AC$2:$AC$54,"="&amp;$BR$4,$B$2:$B$54,"="&amp;$BS6,$AB$2:$AB$54,"="&amp;BZ$2)</f>
        <v>78.84</v>
      </c>
      <c r="CA6" s="71">
        <f>_xlfn.MINIFS($W$2:$W$54,$AC$2:$AC$54,"="&amp;$BR$4,$B$2:$B$54,"="&amp;$BS6,$AB$2:$AB$54,"="&amp;BZ$2)</f>
        <v>78.84</v>
      </c>
    </row>
    <row r="7" spans="1:79" ht="19.899999999999999" customHeight="1" thickTop="1" thickBot="1" x14ac:dyDescent="0.35">
      <c r="A7" s="117">
        <v>6</v>
      </c>
      <c r="B7" s="118">
        <v>4</v>
      </c>
      <c r="C7" s="118">
        <v>201610177</v>
      </c>
      <c r="D7" s="112" t="str">
        <f t="shared" si="0"/>
        <v>컴퓨터학과</v>
      </c>
      <c r="E7" s="119" t="s">
        <v>16</v>
      </c>
      <c r="F7" s="121">
        <v>156</v>
      </c>
      <c r="G7" s="173">
        <f t="shared" si="6"/>
        <v>78</v>
      </c>
      <c r="H7" s="114">
        <f t="shared" si="7"/>
        <v>5</v>
      </c>
      <c r="I7" s="174">
        <f t="shared" si="8"/>
        <v>49</v>
      </c>
      <c r="J7" s="187">
        <v>63</v>
      </c>
      <c r="K7" s="173">
        <f t="shared" si="9"/>
        <v>57.27</v>
      </c>
      <c r="L7" s="114">
        <f t="shared" si="10"/>
        <v>31</v>
      </c>
      <c r="M7" s="174">
        <f t="shared" si="11"/>
        <v>23</v>
      </c>
      <c r="N7" s="183">
        <v>95.56</v>
      </c>
      <c r="O7" s="121">
        <v>55</v>
      </c>
      <c r="P7" s="173">
        <f t="shared" si="12"/>
        <v>50</v>
      </c>
      <c r="Q7" s="114">
        <f t="shared" si="13"/>
        <v>29</v>
      </c>
      <c r="R7" s="174">
        <f t="shared" si="14"/>
        <v>24</v>
      </c>
      <c r="S7" s="183">
        <v>70</v>
      </c>
      <c r="T7" s="114">
        <f t="shared" si="15"/>
        <v>16</v>
      </c>
      <c r="U7" s="114">
        <f t="shared" si="16"/>
        <v>38</v>
      </c>
      <c r="V7" s="121">
        <v>80</v>
      </c>
      <c r="W7" s="168">
        <f t="shared" si="1"/>
        <v>69</v>
      </c>
      <c r="X7" s="120">
        <f>_xlfn.RANK.EQ(W7,$W$2:$W$54,0)</f>
        <v>21</v>
      </c>
      <c r="Y7" s="169">
        <f t="shared" si="18"/>
        <v>33</v>
      </c>
      <c r="Z7" s="9">
        <f t="shared" si="19"/>
        <v>21</v>
      </c>
      <c r="AA7" s="10" t="s">
        <v>71</v>
      </c>
      <c r="AB7" s="9" t="str">
        <f t="shared" si="2"/>
        <v>2016</v>
      </c>
      <c r="AC7" s="116" t="str">
        <f t="shared" si="3"/>
        <v>101</v>
      </c>
      <c r="AD7" s="9" t="b">
        <f t="shared" si="20"/>
        <v>0</v>
      </c>
      <c r="AE7" s="9" t="str">
        <f t="shared" si="4"/>
        <v>B</v>
      </c>
      <c r="AF7" s="9" t="str">
        <f t="shared" si="5"/>
        <v>B+</v>
      </c>
      <c r="AJ7" s="16">
        <v>104</v>
      </c>
      <c r="AK7" s="15" t="s">
        <v>78</v>
      </c>
      <c r="AN7" s="24" t="s">
        <v>94</v>
      </c>
      <c r="AO7" s="25">
        <f t="shared" si="22"/>
        <v>181.76999999999998</v>
      </c>
      <c r="AP7" s="28">
        <f t="shared" si="23"/>
        <v>30.3</v>
      </c>
      <c r="AQ7" s="30">
        <f t="shared" si="24"/>
        <v>6</v>
      </c>
      <c r="AV7" s="211"/>
      <c r="AW7" s="205"/>
      <c r="AX7" s="41" t="s">
        <v>124</v>
      </c>
      <c r="AY7" s="56">
        <f t="shared" ref="AY7:BG7" si="30">SUMIFS($W$2:$W$54,$B$2:$B$54,"="&amp;$AW6,$AC$2:$AC$54,"="&amp;$AV$3,$AF$2:$AF$54,"="&amp;AY$2)</f>
        <v>89.82</v>
      </c>
      <c r="AZ7" s="42">
        <f t="shared" si="30"/>
        <v>155.70999999999998</v>
      </c>
      <c r="BA7" s="42">
        <f t="shared" si="30"/>
        <v>72.3</v>
      </c>
      <c r="BB7" s="42">
        <f t="shared" si="30"/>
        <v>0</v>
      </c>
      <c r="BC7" s="42">
        <f t="shared" si="30"/>
        <v>60.7</v>
      </c>
      <c r="BD7" s="42">
        <f t="shared" si="30"/>
        <v>0</v>
      </c>
      <c r="BE7" s="42">
        <f t="shared" si="30"/>
        <v>0</v>
      </c>
      <c r="BF7" s="42">
        <f t="shared" si="30"/>
        <v>0</v>
      </c>
      <c r="BG7" s="41">
        <f t="shared" si="30"/>
        <v>96.93</v>
      </c>
      <c r="BI7" s="72" t="s">
        <v>102</v>
      </c>
      <c r="BJ7" s="89">
        <f t="shared" si="26"/>
        <v>60.7</v>
      </c>
      <c r="BK7" s="71">
        <f t="shared" si="27"/>
        <v>55.31</v>
      </c>
      <c r="BM7" s="247">
        <v>102</v>
      </c>
      <c r="BN7" s="78">
        <v>1</v>
      </c>
      <c r="BO7" s="92">
        <f>_xlfn.MAXIFS($W$2:$W$54,$AC$2:$AC$54,"="&amp;$BM$7,$B$2:$B$54,"="&amp;$BN7)</f>
        <v>0</v>
      </c>
      <c r="BP7" s="78">
        <f>_xlfn.MINIFS($W$2:$W$54,$AC$2:$AC$54,"="&amp;$BM$7,$B$2:$B$54,"="&amp;$BN7)</f>
        <v>0</v>
      </c>
      <c r="BR7" s="248"/>
      <c r="BS7" s="77">
        <v>4</v>
      </c>
      <c r="BT7" s="97">
        <f>_xlfn.MAXIFS($W$2:$W$54,$AC$2:$AC$54,"="&amp;$BR$4,$B$2:$B$54,"="&amp;$BS7,$AB$2:$AB$54,"="&amp;BT$2)</f>
        <v>0</v>
      </c>
      <c r="BU7" s="98">
        <f>_xlfn.MINIFS($W$2:$W$54,$AC$2:$AC$54,"="&amp;$BR$4,$B$2:$B$54,"="&amp;$BS7,$AB$2:$AB$54,"="&amp;BT$2)</f>
        <v>0</v>
      </c>
      <c r="BV7" s="97">
        <f>_xlfn.MAXIFS($W$2:$W$54,$AC$2:$AC$54,"="&amp;$BR$4,$B$2:$B$54,"="&amp;$BS7,$AB$2:$AB$54,"="&amp;BV$2)</f>
        <v>0</v>
      </c>
      <c r="BW7" s="98">
        <f>_xlfn.MINIFS($W$2:$W$54,$AC$2:$AC$54,"="&amp;$BR$4,$B$2:$B$54,"="&amp;$BS7,$AB$2:$AB$54,"="&amp;BV$2)</f>
        <v>0</v>
      </c>
      <c r="BX7" s="97">
        <f>_xlfn.MAXIFS($W$2:$W$54,$AC$2:$AC$54,"="&amp;$BR$4,$B$2:$B$54,"="&amp;$BS7,$AB$2:$AB$54,"="&amp;BX$2)</f>
        <v>77.959999999999994</v>
      </c>
      <c r="BY7" s="98">
        <f>_xlfn.MINIFS($W$2:$W$54,$AC$2:$AC$54,"="&amp;$BR$4,$B$2:$B$54,"="&amp;$BS7,$AB$2:$AB$54,"="&amp;BX$2)</f>
        <v>38.93</v>
      </c>
      <c r="BZ7" s="97">
        <f>_xlfn.MAXIFS($W$2:$W$54,$AC$2:$AC$54,"="&amp;$BR$4,$B$2:$B$54,"="&amp;$BS7,$AB$2:$AB$54,"="&amp;BZ$2)</f>
        <v>0</v>
      </c>
      <c r="CA7" s="98">
        <f>_xlfn.MINIFS($W$2:$W$54,$AC$2:$AC$54,"="&amp;$BR$4,$B$2:$B$54,"="&amp;$BS7,$AB$2:$AB$54,"="&amp;BZ$2)</f>
        <v>0</v>
      </c>
    </row>
    <row r="8" spans="1:79" ht="19.899999999999999" customHeight="1" thickTop="1" x14ac:dyDescent="0.3">
      <c r="A8" s="117">
        <v>7</v>
      </c>
      <c r="B8" s="118">
        <v>4</v>
      </c>
      <c r="C8" s="118">
        <v>201610179</v>
      </c>
      <c r="D8" s="112" t="str">
        <f t="shared" si="0"/>
        <v>컴퓨터학과</v>
      </c>
      <c r="E8" s="119" t="s">
        <v>17</v>
      </c>
      <c r="F8" s="121">
        <v>120</v>
      </c>
      <c r="G8" s="173">
        <f t="shared" si="6"/>
        <v>60</v>
      </c>
      <c r="H8" s="114">
        <f t="shared" si="7"/>
        <v>29</v>
      </c>
      <c r="I8" s="174">
        <f t="shared" si="8"/>
        <v>25</v>
      </c>
      <c r="J8" s="187">
        <v>47</v>
      </c>
      <c r="K8" s="173">
        <f t="shared" si="9"/>
        <v>42.73</v>
      </c>
      <c r="L8" s="114">
        <f t="shared" si="10"/>
        <v>43</v>
      </c>
      <c r="M8" s="174">
        <f t="shared" si="11"/>
        <v>9</v>
      </c>
      <c r="N8" s="183">
        <v>88.89</v>
      </c>
      <c r="O8" s="121">
        <v>59</v>
      </c>
      <c r="P8" s="173">
        <f t="shared" si="12"/>
        <v>53.64</v>
      </c>
      <c r="Q8" s="114">
        <f t="shared" si="13"/>
        <v>21</v>
      </c>
      <c r="R8" s="174">
        <f t="shared" si="14"/>
        <v>31</v>
      </c>
      <c r="S8" s="183">
        <v>51</v>
      </c>
      <c r="T8" s="114">
        <f t="shared" si="15"/>
        <v>28</v>
      </c>
      <c r="U8" s="114">
        <f t="shared" si="16"/>
        <v>25</v>
      </c>
      <c r="V8" s="121">
        <v>60</v>
      </c>
      <c r="W8" s="168">
        <f t="shared" si="1"/>
        <v>55.31</v>
      </c>
      <c r="X8" s="120">
        <f t="shared" si="17"/>
        <v>37</v>
      </c>
      <c r="Y8" s="169">
        <f t="shared" si="18"/>
        <v>17</v>
      </c>
      <c r="Z8" s="9">
        <f t="shared" si="19"/>
        <v>37</v>
      </c>
      <c r="AA8" s="10"/>
      <c r="AB8" s="9" t="str">
        <f t="shared" si="2"/>
        <v>2016</v>
      </c>
      <c r="AC8" s="116" t="str">
        <f t="shared" si="3"/>
        <v>101</v>
      </c>
      <c r="AD8" s="9" t="b">
        <f t="shared" si="20"/>
        <v>1</v>
      </c>
      <c r="AE8" s="9" t="str">
        <f t="shared" si="4"/>
        <v>C</v>
      </c>
      <c r="AF8" s="9" t="str">
        <f t="shared" si="5"/>
        <v>C+</v>
      </c>
      <c r="AJ8" s="16">
        <v>105</v>
      </c>
      <c r="AK8" s="15" t="s">
        <v>79</v>
      </c>
      <c r="AV8" s="211"/>
      <c r="AW8" s="207"/>
      <c r="AX8" s="43" t="s">
        <v>125</v>
      </c>
      <c r="AY8" s="57">
        <f t="shared" ref="AY8:BG8" si="31">IFERROR(ROUND(AVERAGEIFS($W$2:$W$54,$B$2:$B$54,"="&amp;$AW6,$AC$2:$AC$54,"="&amp;$AV$3,$AF$2:$AF$54,"="&amp;AY$2),2),"-")</f>
        <v>89.82</v>
      </c>
      <c r="AZ8" s="44">
        <f t="shared" si="31"/>
        <v>77.86</v>
      </c>
      <c r="BA8" s="44">
        <f t="shared" si="31"/>
        <v>72.3</v>
      </c>
      <c r="BB8" s="44" t="str">
        <f t="shared" si="31"/>
        <v>-</v>
      </c>
      <c r="BC8" s="44">
        <f t="shared" si="31"/>
        <v>60.7</v>
      </c>
      <c r="BD8" s="44" t="str">
        <f t="shared" si="31"/>
        <v>-</v>
      </c>
      <c r="BE8" s="44" t="str">
        <f t="shared" si="31"/>
        <v>-</v>
      </c>
      <c r="BF8" s="44" t="str">
        <f t="shared" si="31"/>
        <v>-</v>
      </c>
      <c r="BG8" s="43">
        <f t="shared" si="31"/>
        <v>32.31</v>
      </c>
      <c r="BI8" s="72" t="s">
        <v>103</v>
      </c>
      <c r="BJ8" s="89">
        <f t="shared" si="26"/>
        <v>54.35</v>
      </c>
      <c r="BK8" s="71">
        <f t="shared" si="27"/>
        <v>45.71</v>
      </c>
      <c r="BM8" s="248"/>
      <c r="BN8" s="73">
        <v>2</v>
      </c>
      <c r="BO8" s="93">
        <f>_xlfn.MAXIFS($W$2:$W$54,$AC$2:$AC$54,"="&amp;$BM$7,$B$2:$B$54,"="&amp;$BN8)</f>
        <v>76.010000000000005</v>
      </c>
      <c r="BP8" s="73">
        <f>_xlfn.MINIFS($W$2:$W$54,$AC$2:$AC$54,"="&amp;$BM$7,$B$2:$B$54,"="&amp;$BN8)</f>
        <v>39.770000000000003</v>
      </c>
      <c r="BR8" s="247">
        <v>102</v>
      </c>
      <c r="BS8" s="78">
        <v>1</v>
      </c>
      <c r="BT8" s="79">
        <f>_xlfn.MAXIFS($W$2:$W$54,$AC$2:$AC$54,"="&amp;$BR$8,$B$2:$B$54,"="&amp;$BS8,$AB$2:$AB$54,"="&amp;BT$2)</f>
        <v>0</v>
      </c>
      <c r="BU8" s="78">
        <f>_xlfn.MINIFS($W$2:$W$54,$AC$2:$AC$54,"="&amp;$BR$8,$B$2:$B$54,"="&amp;$BS8,$AB$2:$AB$54,"="&amp;BT$2)</f>
        <v>0</v>
      </c>
      <c r="BV8" s="79">
        <f>_xlfn.MAXIFS($W$2:$W$54,$AC$2:$AC$54,"="&amp;$BR$8,$B$2:$B$54,"="&amp;$BS8,$AB$2:$AB$54,"="&amp;BV$2)</f>
        <v>0</v>
      </c>
      <c r="BW8" s="78">
        <f>_xlfn.MINIFS($W$2:$W$54,$AC$2:$AC$54,"="&amp;$BR$8,$B$2:$B$54,"="&amp;$BS8,$AB$2:$AB$54,"="&amp;BV$2)</f>
        <v>0</v>
      </c>
      <c r="BX8" s="79">
        <f>_xlfn.MAXIFS($W$2:$W$54,$AC$2:$AC$54,"="&amp;$BR$8,$B$2:$B$54,"="&amp;$BS8,$AB$2:$AB$54,"="&amp;BX$2)</f>
        <v>0</v>
      </c>
      <c r="BY8" s="78">
        <f>_xlfn.MINIFS($W$2:$W$54,$AC$2:$AC$54,"="&amp;$BR$8,$B$2:$B$54,"="&amp;$BS8,$AB$2:$AB$54,"="&amp;BX$2)</f>
        <v>0</v>
      </c>
      <c r="BZ8" s="79">
        <f>_xlfn.MAXIFS($W$2:$W$54,$AC$2:$AC$54,"="&amp;$BR$8,$B$2:$B$54,"="&amp;$BS8,$AB$2:$AB$54,"="&amp;BZ$2)</f>
        <v>0</v>
      </c>
      <c r="CA8" s="78">
        <f>_xlfn.MINIFS($W$2:$W$54,$AC$2:$AC$54,"="&amp;$BR$8,$B$2:$B$54,"="&amp;$BS8,$AB$2:$AB$54,"="&amp;BZ$2)</f>
        <v>0</v>
      </c>
    </row>
    <row r="9" spans="1:79" ht="19.899999999999999" customHeight="1" thickBot="1" x14ac:dyDescent="0.35">
      <c r="A9" s="117">
        <v>8</v>
      </c>
      <c r="B9" s="118">
        <v>3</v>
      </c>
      <c r="C9" s="118">
        <v>201510585</v>
      </c>
      <c r="D9" s="112" t="str">
        <f t="shared" si="0"/>
        <v>통신학과</v>
      </c>
      <c r="E9" s="119" t="s">
        <v>18</v>
      </c>
      <c r="F9" s="121">
        <v>136</v>
      </c>
      <c r="G9" s="173">
        <f t="shared" si="6"/>
        <v>68</v>
      </c>
      <c r="H9" s="114">
        <f t="shared" si="7"/>
        <v>17</v>
      </c>
      <c r="I9" s="174">
        <f t="shared" si="8"/>
        <v>37</v>
      </c>
      <c r="J9" s="187">
        <v>64</v>
      </c>
      <c r="K9" s="173">
        <f t="shared" si="9"/>
        <v>58.18</v>
      </c>
      <c r="L9" s="114">
        <f t="shared" si="10"/>
        <v>28</v>
      </c>
      <c r="M9" s="174">
        <f t="shared" si="11"/>
        <v>24</v>
      </c>
      <c r="N9" s="183">
        <v>100</v>
      </c>
      <c r="O9" s="121">
        <v>80</v>
      </c>
      <c r="P9" s="173">
        <f t="shared" si="12"/>
        <v>72.73</v>
      </c>
      <c r="Q9" s="114">
        <f t="shared" si="13"/>
        <v>4</v>
      </c>
      <c r="R9" s="174">
        <f t="shared" si="14"/>
        <v>49</v>
      </c>
      <c r="S9" s="183">
        <v>44</v>
      </c>
      <c r="T9" s="114">
        <f t="shared" si="15"/>
        <v>35</v>
      </c>
      <c r="U9" s="114">
        <f t="shared" si="16"/>
        <v>19</v>
      </c>
      <c r="V9" s="121">
        <v>100</v>
      </c>
      <c r="W9" s="168">
        <f t="shared" si="1"/>
        <v>67.44</v>
      </c>
      <c r="X9" s="120">
        <f t="shared" si="17"/>
        <v>27</v>
      </c>
      <c r="Y9" s="169">
        <f t="shared" si="18"/>
        <v>27</v>
      </c>
      <c r="Z9" s="9">
        <f t="shared" si="19"/>
        <v>27</v>
      </c>
      <c r="AA9" s="10"/>
      <c r="AB9" s="9" t="str">
        <f t="shared" si="2"/>
        <v>2015</v>
      </c>
      <c r="AC9" s="116" t="str">
        <f t="shared" si="3"/>
        <v>105</v>
      </c>
      <c r="AD9" s="9" t="b">
        <f t="shared" si="20"/>
        <v>1</v>
      </c>
      <c r="AE9" s="9" t="str">
        <f t="shared" si="4"/>
        <v>B</v>
      </c>
      <c r="AF9" s="9" t="str">
        <f t="shared" si="5"/>
        <v>B0</v>
      </c>
      <c r="AV9" s="211"/>
      <c r="AW9" s="204">
        <v>3</v>
      </c>
      <c r="AX9" s="47" t="s">
        <v>123</v>
      </c>
      <c r="AY9" s="59">
        <f t="shared" ref="AY9:BG9" si="32">COUNTIFS($B$2:$B$54,"="&amp;$AW9,$AC$2:$AC$54,"="&amp;$AV$3,$AF$2:$AF$54,"="&amp;AY$2)</f>
        <v>0</v>
      </c>
      <c r="AZ9" s="48">
        <f t="shared" si="32"/>
        <v>1</v>
      </c>
      <c r="BA9" s="48">
        <f t="shared" si="32"/>
        <v>0</v>
      </c>
      <c r="BB9" s="48">
        <f t="shared" si="32"/>
        <v>0</v>
      </c>
      <c r="BC9" s="48">
        <f t="shared" si="32"/>
        <v>1</v>
      </c>
      <c r="BD9" s="48">
        <f t="shared" si="32"/>
        <v>0</v>
      </c>
      <c r="BE9" s="48">
        <f t="shared" si="32"/>
        <v>0</v>
      </c>
      <c r="BF9" s="48">
        <f t="shared" si="32"/>
        <v>0</v>
      </c>
      <c r="BG9" s="47">
        <f t="shared" si="32"/>
        <v>0</v>
      </c>
      <c r="BI9" s="72" t="s">
        <v>104</v>
      </c>
      <c r="BJ9" s="89">
        <f t="shared" si="26"/>
        <v>44.88</v>
      </c>
      <c r="BK9" s="71">
        <f t="shared" si="27"/>
        <v>43.09</v>
      </c>
      <c r="BM9" s="248"/>
      <c r="BN9" s="73">
        <v>3</v>
      </c>
      <c r="BO9" s="93">
        <f>_xlfn.MAXIFS($W$2:$W$54,$AC$2:$AC$54,"="&amp;$BM$7,$B$2:$B$54,"="&amp;$BN9)</f>
        <v>72.459999999999994</v>
      </c>
      <c r="BP9" s="73">
        <f>_xlfn.MINIFS($W$2:$W$54,$AC$2:$AC$54,"="&amp;$BM$7,$B$2:$B$54,"="&amp;$BN9)</f>
        <v>60.36</v>
      </c>
      <c r="BR9" s="248"/>
      <c r="BS9" s="73">
        <v>2</v>
      </c>
      <c r="BT9" s="70">
        <f>_xlfn.MAXIFS($W$2:$W$54,$AC$2:$AC$54,"="&amp;$BR$8,$B$2:$B$54,"="&amp;$BS9,$AB$2:$AB$54,"="&amp;BT$2)</f>
        <v>73.41</v>
      </c>
      <c r="BU9" s="71">
        <f>_xlfn.MINIFS($W$2:$W$54,$AC$2:$AC$54,"="&amp;$BR$8,$B$2:$B$54,"="&amp;$BS9,$AB$2:$AB$54,"="&amp;BT$2)</f>
        <v>65.81</v>
      </c>
      <c r="BV9" s="70">
        <f>_xlfn.MAXIFS($W$2:$W$54,$AC$2:$AC$54,"="&amp;$BR$8,$B$2:$B$54,"="&amp;$BS9,$AB$2:$AB$54,"="&amp;BV$2)</f>
        <v>67.62</v>
      </c>
      <c r="BW9" s="71">
        <f>_xlfn.MINIFS($W$2:$W$54,$AC$2:$AC$54,"="&amp;$BR$8,$B$2:$B$54,"="&amp;$BS9,$AB$2:$AB$54,"="&amp;BV$2)</f>
        <v>39.770000000000003</v>
      </c>
      <c r="BX9" s="70">
        <f>_xlfn.MAXIFS($W$2:$W$54,$AC$2:$AC$54,"="&amp;$BR$8,$B$2:$B$54,"="&amp;$BS9,$AB$2:$AB$54,"="&amp;BX$2)</f>
        <v>76.010000000000005</v>
      </c>
      <c r="BY9" s="71">
        <f>_xlfn.MINIFS($W$2:$W$54,$AC$2:$AC$54,"="&amp;$BR$8,$B$2:$B$54,"="&amp;$BS9,$AB$2:$AB$54,"="&amp;BX$2)</f>
        <v>76.010000000000005</v>
      </c>
      <c r="BZ9" s="70">
        <f>_xlfn.MAXIFS($W$2:$W$54,$AC$2:$AC$54,"="&amp;$BR$8,$B$2:$B$54,"="&amp;$BS9,$AB$2:$AB$54,"="&amp;BZ$2)</f>
        <v>0</v>
      </c>
      <c r="CA9" s="71">
        <f>_xlfn.MINIFS($W$2:$W$54,$AC$2:$AC$54,"="&amp;$BR$8,$B$2:$B$54,"="&amp;$BS9,$AB$2:$AB$54,"="&amp;BZ$2)</f>
        <v>0</v>
      </c>
    </row>
    <row r="10" spans="1:79" ht="19.899999999999999" customHeight="1" thickTop="1" thickBot="1" x14ac:dyDescent="0.35">
      <c r="A10" s="117">
        <v>9</v>
      </c>
      <c r="B10" s="118">
        <v>2</v>
      </c>
      <c r="C10" s="118">
        <v>201610586</v>
      </c>
      <c r="D10" s="112" t="str">
        <f t="shared" si="0"/>
        <v>통신학과</v>
      </c>
      <c r="E10" s="119" t="s">
        <v>19</v>
      </c>
      <c r="F10" s="121">
        <v>129</v>
      </c>
      <c r="G10" s="173">
        <f t="shared" si="6"/>
        <v>64.5</v>
      </c>
      <c r="H10" s="114">
        <f t="shared" si="7"/>
        <v>23</v>
      </c>
      <c r="I10" s="174">
        <f t="shared" si="8"/>
        <v>30</v>
      </c>
      <c r="J10" s="187">
        <v>73</v>
      </c>
      <c r="K10" s="173">
        <f t="shared" si="9"/>
        <v>66.36</v>
      </c>
      <c r="L10" s="114">
        <f t="shared" si="10"/>
        <v>21</v>
      </c>
      <c r="M10" s="174">
        <f t="shared" si="11"/>
        <v>33</v>
      </c>
      <c r="N10" s="183">
        <v>100</v>
      </c>
      <c r="O10" s="121">
        <v>61</v>
      </c>
      <c r="P10" s="173">
        <f t="shared" si="12"/>
        <v>55.45</v>
      </c>
      <c r="Q10" s="114">
        <f t="shared" si="13"/>
        <v>16</v>
      </c>
      <c r="R10" s="174">
        <f t="shared" si="14"/>
        <v>37</v>
      </c>
      <c r="S10" s="183">
        <v>74</v>
      </c>
      <c r="T10" s="114">
        <f t="shared" si="15"/>
        <v>12</v>
      </c>
      <c r="U10" s="114">
        <f t="shared" si="16"/>
        <v>39</v>
      </c>
      <c r="V10" s="121">
        <v>100</v>
      </c>
      <c r="W10" s="168">
        <f t="shared" si="1"/>
        <v>70.52</v>
      </c>
      <c r="X10" s="120">
        <f t="shared" si="17"/>
        <v>19</v>
      </c>
      <c r="Y10" s="169">
        <f t="shared" si="18"/>
        <v>35</v>
      </c>
      <c r="Z10" s="9">
        <f t="shared" si="19"/>
        <v>19</v>
      </c>
      <c r="AA10" s="10"/>
      <c r="AB10" s="9" t="str">
        <f t="shared" si="2"/>
        <v>2016</v>
      </c>
      <c r="AC10" s="116" t="str">
        <f t="shared" si="3"/>
        <v>105</v>
      </c>
      <c r="AD10" s="9" t="b">
        <f t="shared" si="20"/>
        <v>1</v>
      </c>
      <c r="AE10" s="9" t="str">
        <f t="shared" si="4"/>
        <v>B</v>
      </c>
      <c r="AF10" s="9" t="str">
        <f t="shared" si="5"/>
        <v>B+</v>
      </c>
      <c r="AJ10" s="238" t="s">
        <v>81</v>
      </c>
      <c r="AK10" s="139" t="s">
        <v>82</v>
      </c>
      <c r="AL10" s="29" t="s">
        <v>83</v>
      </c>
      <c r="AV10" s="211"/>
      <c r="AW10" s="205"/>
      <c r="AX10" s="41" t="s">
        <v>124</v>
      </c>
      <c r="AY10" s="56">
        <f t="shared" ref="AY10:BG10" si="33">SUMIFS($W$2:$W$54,$B$2:$B$54,"="&amp;$AW9,$AC$2:$AC$54,"="&amp;$AV$3,$AF$2:$AF$54,"="&amp;AY$2)</f>
        <v>0</v>
      </c>
      <c r="AZ10" s="42">
        <f t="shared" si="33"/>
        <v>78.84</v>
      </c>
      <c r="BA10" s="42">
        <f t="shared" si="33"/>
        <v>0</v>
      </c>
      <c r="BB10" s="42">
        <f t="shared" si="33"/>
        <v>0</v>
      </c>
      <c r="BC10" s="42">
        <f t="shared" si="33"/>
        <v>56.46</v>
      </c>
      <c r="BD10" s="42">
        <f t="shared" si="33"/>
        <v>0</v>
      </c>
      <c r="BE10" s="42">
        <f t="shared" si="33"/>
        <v>0</v>
      </c>
      <c r="BF10" s="42">
        <f t="shared" si="33"/>
        <v>0</v>
      </c>
      <c r="BG10" s="41">
        <f t="shared" si="33"/>
        <v>0</v>
      </c>
      <c r="BI10" s="72" t="s">
        <v>105</v>
      </c>
      <c r="BJ10" s="89">
        <f t="shared" si="26"/>
        <v>39.770000000000003</v>
      </c>
      <c r="BK10" s="71">
        <f t="shared" si="27"/>
        <v>38.93</v>
      </c>
      <c r="BM10" s="249"/>
      <c r="BN10" s="80">
        <v>4</v>
      </c>
      <c r="BO10" s="95">
        <f>_xlfn.MAXIFS($W$2:$W$54,$AC$2:$AC$54,"="&amp;$BM$7,$B$2:$B$54,"="&amp;$BN10)</f>
        <v>68.88</v>
      </c>
      <c r="BP10" s="80">
        <f>_xlfn.MINIFS($W$2:$W$54,$AC$2:$AC$54,"="&amp;$BM$7,$B$2:$B$54,"="&amp;$BN10)</f>
        <v>44.88</v>
      </c>
      <c r="BR10" s="248"/>
      <c r="BS10" s="73">
        <v>3</v>
      </c>
      <c r="BT10" s="70">
        <f>_xlfn.MAXIFS($W$2:$W$54,$AC$2:$AC$54,"="&amp;$BR$8,$B$2:$B$54,"="&amp;$BS10,$AB$2:$AB$54,"="&amp;BT$2)</f>
        <v>0</v>
      </c>
      <c r="BU10" s="71">
        <f>_xlfn.MINIFS($W$2:$W$54,$AC$2:$AC$54,"="&amp;$BR$8,$B$2:$B$54,"="&amp;$BS10,$AB$2:$AB$54,"="&amp;BT$2)</f>
        <v>0</v>
      </c>
      <c r="BV10" s="70">
        <f>_xlfn.MAXIFS($W$2:$W$54,$AC$2:$AC$54,"="&amp;$BR$8,$B$2:$B$54,"="&amp;$BS10,$AB$2:$AB$54,"="&amp;BV$2)</f>
        <v>72.459999999999994</v>
      </c>
      <c r="BW10" s="71">
        <f>_xlfn.MINIFS($W$2:$W$54,$AC$2:$AC$54,"="&amp;$BR$8,$B$2:$B$54,"="&amp;$BS10,$AB$2:$AB$54,"="&amp;BV$2)</f>
        <v>69.819999999999993</v>
      </c>
      <c r="BX10" s="70">
        <f>_xlfn.MAXIFS($W$2:$W$54,$AC$2:$AC$54,"="&amp;$BR$8,$B$2:$B$54,"="&amp;$BS10,$AB$2:$AB$54,"="&amp;BX$2)</f>
        <v>60.36</v>
      </c>
      <c r="BY10" s="71">
        <f>_xlfn.MINIFS($W$2:$W$54,$AC$2:$AC$54,"="&amp;$BR$8,$B$2:$B$54,"="&amp;$BS10,$AB$2:$AB$54,"="&amp;BX$2)</f>
        <v>60.36</v>
      </c>
      <c r="BZ10" s="70">
        <f>_xlfn.MAXIFS($W$2:$W$54,$AC$2:$AC$54,"="&amp;$BR$8,$B$2:$B$54,"="&amp;$BS10,$AB$2:$AB$54,"="&amp;BZ$2)</f>
        <v>0</v>
      </c>
      <c r="CA10" s="71">
        <f>_xlfn.MINIFS($W$2:$W$54,$AC$2:$AC$54,"="&amp;$BR$8,$B$2:$B$54,"="&amp;$BS10,$AB$2:$AB$54,"="&amp;BZ$2)</f>
        <v>0</v>
      </c>
    </row>
    <row r="11" spans="1:79" ht="19.899999999999999" customHeight="1" thickTop="1" thickBot="1" x14ac:dyDescent="0.35">
      <c r="A11" s="117">
        <v>10</v>
      </c>
      <c r="B11" s="118">
        <v>2</v>
      </c>
      <c r="C11" s="118">
        <v>201710388</v>
      </c>
      <c r="D11" s="112" t="str">
        <f t="shared" si="0"/>
        <v>전자학과</v>
      </c>
      <c r="E11" s="119" t="s">
        <v>20</v>
      </c>
      <c r="F11" s="121">
        <v>150</v>
      </c>
      <c r="G11" s="173">
        <f t="shared" si="6"/>
        <v>75</v>
      </c>
      <c r="H11" s="114">
        <f t="shared" si="7"/>
        <v>9</v>
      </c>
      <c r="I11" s="174">
        <f t="shared" si="8"/>
        <v>45</v>
      </c>
      <c r="J11" s="187">
        <v>72</v>
      </c>
      <c r="K11" s="173">
        <f t="shared" si="9"/>
        <v>65.45</v>
      </c>
      <c r="L11" s="114">
        <f t="shared" si="10"/>
        <v>22</v>
      </c>
      <c r="M11" s="174">
        <f t="shared" si="11"/>
        <v>32</v>
      </c>
      <c r="N11" s="183">
        <v>96.67</v>
      </c>
      <c r="O11" s="121">
        <v>59</v>
      </c>
      <c r="P11" s="173">
        <f t="shared" si="12"/>
        <v>53.64</v>
      </c>
      <c r="Q11" s="114">
        <f t="shared" si="13"/>
        <v>21</v>
      </c>
      <c r="R11" s="174">
        <f t="shared" si="14"/>
        <v>31</v>
      </c>
      <c r="S11" s="183">
        <v>67</v>
      </c>
      <c r="T11" s="114">
        <f t="shared" si="15"/>
        <v>17</v>
      </c>
      <c r="U11" s="114">
        <f t="shared" si="16"/>
        <v>37</v>
      </c>
      <c r="V11" s="121">
        <v>100</v>
      </c>
      <c r="W11" s="168">
        <f t="shared" si="1"/>
        <v>72.14</v>
      </c>
      <c r="X11" s="120">
        <f t="shared" si="17"/>
        <v>18</v>
      </c>
      <c r="Y11" s="169">
        <f t="shared" si="18"/>
        <v>36</v>
      </c>
      <c r="Z11" s="9">
        <f t="shared" si="19"/>
        <v>18</v>
      </c>
      <c r="AA11" s="10"/>
      <c r="AB11" s="9" t="str">
        <f t="shared" si="2"/>
        <v>2017</v>
      </c>
      <c r="AC11" s="116" t="str">
        <f t="shared" si="3"/>
        <v>103</v>
      </c>
      <c r="AD11" s="9" t="b">
        <f t="shared" si="20"/>
        <v>1</v>
      </c>
      <c r="AE11" s="9" t="str">
        <f t="shared" si="4"/>
        <v>B</v>
      </c>
      <c r="AF11" s="9" t="str">
        <f t="shared" si="5"/>
        <v>B+</v>
      </c>
      <c r="AJ11" s="239"/>
      <c r="AK11" s="140">
        <f>COUNT(B2:B54)</f>
        <v>53</v>
      </c>
      <c r="AL11" s="141">
        <f>COUNTA(E2:E54)</f>
        <v>53</v>
      </c>
      <c r="AV11" s="211"/>
      <c r="AW11" s="207"/>
      <c r="AX11" s="43" t="s">
        <v>125</v>
      </c>
      <c r="AY11" s="57" t="str">
        <f t="shared" ref="AY11:BG11" si="34">IFERROR(ROUND(AVERAGEIFS($W$2:$W$54,$B$2:$B$54,"="&amp;$AW9,$AC$2:$AC$54,"="&amp;$AV$3,$AF$2:$AF$54,"="&amp;AY$2),2),"-")</f>
        <v>-</v>
      </c>
      <c r="AZ11" s="44">
        <f t="shared" si="34"/>
        <v>78.84</v>
      </c>
      <c r="BA11" s="44" t="str">
        <f t="shared" si="34"/>
        <v>-</v>
      </c>
      <c r="BB11" s="44" t="str">
        <f t="shared" si="34"/>
        <v>-</v>
      </c>
      <c r="BC11" s="44">
        <f t="shared" si="34"/>
        <v>56.46</v>
      </c>
      <c r="BD11" s="44" t="str">
        <f t="shared" si="34"/>
        <v>-</v>
      </c>
      <c r="BE11" s="44" t="str">
        <f t="shared" si="34"/>
        <v>-</v>
      </c>
      <c r="BF11" s="44" t="str">
        <f t="shared" si="34"/>
        <v>-</v>
      </c>
      <c r="BG11" s="43" t="str">
        <f t="shared" si="34"/>
        <v>-</v>
      </c>
      <c r="BI11" s="74" t="s">
        <v>94</v>
      </c>
      <c r="BJ11" s="101">
        <f t="shared" si="26"/>
        <v>35.86</v>
      </c>
      <c r="BK11" s="90">
        <f t="shared" si="27"/>
        <v>26.57</v>
      </c>
      <c r="BM11" s="248">
        <v>103</v>
      </c>
      <c r="BN11" s="71">
        <v>1</v>
      </c>
      <c r="BO11" s="89">
        <f>_xlfn.MAXIFS($W$2:$W$54,$AC$2:$AC$54,"="&amp;$BM$11,$B$2:$B$54,"="&amp;$BN11)</f>
        <v>0</v>
      </c>
      <c r="BP11" s="71">
        <f>_xlfn.MINIFS($W$2:$W$54,$AC$2:$AC$54,"="&amp;$BM$11,$B$2:$B$54,"="&amp;$BN11)</f>
        <v>0</v>
      </c>
      <c r="BR11" s="249"/>
      <c r="BS11" s="80">
        <v>4</v>
      </c>
      <c r="BT11" s="99">
        <f>_xlfn.MAXIFS($W$2:$W$54,$AC$2:$AC$54,"="&amp;$BR$8,$B$2:$B$54,"="&amp;$BS11,$AB$2:$AB$54,"="&amp;BT$2)</f>
        <v>0</v>
      </c>
      <c r="BU11" s="100">
        <f>_xlfn.MINIFS($W$2:$W$54,$AC$2:$AC$54,"="&amp;$BR$8,$B$2:$B$54,"="&amp;$BS11,$AB$2:$AB$54,"="&amp;BT$2)</f>
        <v>0</v>
      </c>
      <c r="BV11" s="99">
        <f>_xlfn.MAXIFS($W$2:$W$54,$AC$2:$AC$54,"="&amp;$BR$8,$B$2:$B$54,"="&amp;$BS11,$AB$2:$AB$54,"="&amp;BV$2)</f>
        <v>0</v>
      </c>
      <c r="BW11" s="100">
        <f>_xlfn.MINIFS($W$2:$W$54,$AC$2:$AC$54,"="&amp;$BR$8,$B$2:$B$54,"="&amp;$BS11,$AB$2:$AB$54,"="&amp;BV$2)</f>
        <v>0</v>
      </c>
      <c r="BX11" s="99">
        <f>_xlfn.MAXIFS($W$2:$W$54,$AC$2:$AC$54,"="&amp;$BR$8,$B$2:$B$54,"="&amp;$BS11,$AB$2:$AB$54,"="&amp;BX$2)</f>
        <v>68.88</v>
      </c>
      <c r="BY11" s="100">
        <f>_xlfn.MINIFS($W$2:$W$54,$AC$2:$AC$54,"="&amp;$BR$8,$B$2:$B$54,"="&amp;$BS11,$AB$2:$AB$54,"="&amp;BX$2)</f>
        <v>44.88</v>
      </c>
      <c r="BZ11" s="99">
        <f>_xlfn.MAXIFS($W$2:$W$54,$AC$2:$AC$54,"="&amp;$BR$8,$B$2:$B$54,"="&amp;$BS11,$AB$2:$AB$54,"="&amp;BZ$2)</f>
        <v>0</v>
      </c>
      <c r="CA11" s="100">
        <f>_xlfn.MINIFS($W$2:$W$54,$AC$2:$AC$54,"="&amp;$BR$8,$B$2:$B$54,"="&amp;$BS11,$AB$2:$AB$54,"="&amp;BZ$2)</f>
        <v>0</v>
      </c>
    </row>
    <row r="12" spans="1:79" ht="19.899999999999999" customHeight="1" thickTop="1" thickBot="1" x14ac:dyDescent="0.35">
      <c r="A12" s="117">
        <v>11</v>
      </c>
      <c r="B12" s="118">
        <v>2</v>
      </c>
      <c r="C12" s="118">
        <v>201810189</v>
      </c>
      <c r="D12" s="112" t="str">
        <f t="shared" si="0"/>
        <v>컴퓨터학과</v>
      </c>
      <c r="E12" s="119" t="s">
        <v>21</v>
      </c>
      <c r="F12" s="121">
        <v>134</v>
      </c>
      <c r="G12" s="173">
        <f t="shared" si="6"/>
        <v>67</v>
      </c>
      <c r="H12" s="114">
        <f t="shared" si="7"/>
        <v>18</v>
      </c>
      <c r="I12" s="174">
        <f t="shared" si="8"/>
        <v>35</v>
      </c>
      <c r="J12" s="187">
        <v>62</v>
      </c>
      <c r="K12" s="173">
        <f t="shared" si="9"/>
        <v>56.36</v>
      </c>
      <c r="L12" s="114">
        <f t="shared" si="10"/>
        <v>32</v>
      </c>
      <c r="M12" s="174">
        <f t="shared" si="11"/>
        <v>21</v>
      </c>
      <c r="N12" s="183">
        <v>98.89</v>
      </c>
      <c r="O12" s="121">
        <v>46</v>
      </c>
      <c r="P12" s="173">
        <f t="shared" si="12"/>
        <v>41.82</v>
      </c>
      <c r="Q12" s="114">
        <f t="shared" si="13"/>
        <v>40</v>
      </c>
      <c r="R12" s="174">
        <f t="shared" si="14"/>
        <v>14</v>
      </c>
      <c r="S12" s="183">
        <v>28</v>
      </c>
      <c r="T12" s="114">
        <f t="shared" si="15"/>
        <v>41</v>
      </c>
      <c r="U12" s="114">
        <f t="shared" si="16"/>
        <v>13</v>
      </c>
      <c r="V12" s="121">
        <v>80</v>
      </c>
      <c r="W12" s="168">
        <f t="shared" si="1"/>
        <v>60.7</v>
      </c>
      <c r="X12" s="120">
        <f t="shared" si="17"/>
        <v>32</v>
      </c>
      <c r="Y12" s="169">
        <f t="shared" si="18"/>
        <v>22</v>
      </c>
      <c r="Z12" s="9">
        <f t="shared" si="19"/>
        <v>32</v>
      </c>
      <c r="AA12" s="10"/>
      <c r="AB12" s="9" t="str">
        <f t="shared" si="2"/>
        <v>2018</v>
      </c>
      <c r="AC12" s="116" t="str">
        <f t="shared" si="3"/>
        <v>101</v>
      </c>
      <c r="AD12" s="9" t="b">
        <f t="shared" si="20"/>
        <v>1</v>
      </c>
      <c r="AE12" s="9" t="str">
        <f t="shared" si="4"/>
        <v>C</v>
      </c>
      <c r="AF12" s="9" t="str">
        <f t="shared" si="5"/>
        <v>C+</v>
      </c>
      <c r="AV12" s="211"/>
      <c r="AW12" s="204">
        <v>4</v>
      </c>
      <c r="AX12" s="47" t="s">
        <v>123</v>
      </c>
      <c r="AY12" s="60">
        <f t="shared" ref="AY12:BG12" si="35">COUNTIFS($B$2:$B$54,"="&amp;$AW12,$AC$2:$AC$54,"="&amp;$AV$3,$AF$2:$AF$54,"="&amp;AY$2)</f>
        <v>0</v>
      </c>
      <c r="AZ12" s="50">
        <f t="shared" si="35"/>
        <v>1</v>
      </c>
      <c r="BA12" s="50">
        <f t="shared" si="35"/>
        <v>1</v>
      </c>
      <c r="BB12" s="50">
        <f t="shared" si="35"/>
        <v>0</v>
      </c>
      <c r="BC12" s="50">
        <f t="shared" si="35"/>
        <v>1</v>
      </c>
      <c r="BD12" s="50">
        <f t="shared" si="35"/>
        <v>2</v>
      </c>
      <c r="BE12" s="50">
        <f t="shared" si="35"/>
        <v>0</v>
      </c>
      <c r="BF12" s="50">
        <f t="shared" si="35"/>
        <v>1</v>
      </c>
      <c r="BG12" s="49">
        <f t="shared" si="35"/>
        <v>0</v>
      </c>
      <c r="BM12" s="248"/>
      <c r="BN12" s="73">
        <v>2</v>
      </c>
      <c r="BO12" s="93">
        <f>_xlfn.MAXIFS($W$2:$W$54,$AC$2:$AC$54,"="&amp;$BM$11,$B$2:$B$54,"="&amp;$BN12)</f>
        <v>72.14</v>
      </c>
      <c r="BP12" s="73">
        <f>_xlfn.MINIFS($W$2:$W$54,$AC$2:$AC$54,"="&amp;$BM$11,$B$2:$B$54,"="&amp;$BN12)</f>
        <v>26.57</v>
      </c>
      <c r="BR12" s="248">
        <v>103</v>
      </c>
      <c r="BS12" s="71">
        <v>1</v>
      </c>
      <c r="BT12" s="70">
        <f>_xlfn.MAXIFS($W$2:$W$54,$AC$2:$AC$54,"="&amp;$BR$12,$B$2:$B$54,"="&amp;$BS12,$AB$2:$AB$54,"="&amp;BT$2)</f>
        <v>0</v>
      </c>
      <c r="BU12" s="71">
        <f>_xlfn.MINIFS($W$2:$W$54,$AC$2:$AC$54,"="&amp;$BR$12,$B$2:$B$54,"="&amp;$BS12,$AB$2:$AB$54,"="&amp;BT$2)</f>
        <v>0</v>
      </c>
      <c r="BV12" s="70">
        <f>_xlfn.MAXIFS($W$2:$W$54,$AC$2:$AC$54,"="&amp;$BR$12,$B$2:$B$54,"="&amp;$BS12,$AB$2:$AB$54,"="&amp;BV$2)</f>
        <v>0</v>
      </c>
      <c r="BW12" s="71">
        <f>_xlfn.MINIFS($W$2:$W$54,$AC$2:$AC$54,"="&amp;$BR$12,$B$2:$B$54,"="&amp;$BS12,$AB$2:$AB$54,"="&amp;BV$2)</f>
        <v>0</v>
      </c>
      <c r="BX12" s="70">
        <f>_xlfn.MAXIFS($W$2:$W$54,$AC$2:$AC$54,"="&amp;$BR$12,$B$2:$B$54,"="&amp;$BS12,$AB$2:$AB$54,"="&amp;BX$2)</f>
        <v>0</v>
      </c>
      <c r="BY12" s="71">
        <f>_xlfn.MINIFS($W$2:$W$54,$AC$2:$AC$54,"="&amp;$BR$12,$B$2:$B$54,"="&amp;$BS12,$AB$2:$AB$54,"="&amp;BX$2)</f>
        <v>0</v>
      </c>
      <c r="BZ12" s="70">
        <f>_xlfn.MAXIFS($W$2:$W$54,$AC$2:$AC$54,"="&amp;$BR$12,$B$2:$B$54,"="&amp;$BS12,$AB$2:$AB$54,"="&amp;BZ$2)</f>
        <v>0</v>
      </c>
      <c r="CA12" s="71">
        <f>_xlfn.MINIFS($W$2:$W$54,$AC$2:$AC$54,"="&amp;$BR$12,$B$2:$B$54,"="&amp;$BS12,$AB$2:$AB$54,"="&amp;BZ$2)</f>
        <v>0</v>
      </c>
    </row>
    <row r="13" spans="1:79" ht="19.899999999999999" customHeight="1" thickTop="1" thickBot="1" x14ac:dyDescent="0.35">
      <c r="A13" s="117">
        <v>12</v>
      </c>
      <c r="B13" s="118">
        <v>2</v>
      </c>
      <c r="C13" s="118">
        <v>201810293</v>
      </c>
      <c r="D13" s="112" t="str">
        <f t="shared" si="0"/>
        <v>보안학과</v>
      </c>
      <c r="E13" s="119" t="s">
        <v>22</v>
      </c>
      <c r="F13" s="121">
        <v>106</v>
      </c>
      <c r="G13" s="173">
        <f t="shared" si="6"/>
        <v>53</v>
      </c>
      <c r="H13" s="114">
        <f t="shared" si="7"/>
        <v>36</v>
      </c>
      <c r="I13" s="174">
        <f t="shared" si="8"/>
        <v>18</v>
      </c>
      <c r="J13" s="187">
        <v>92</v>
      </c>
      <c r="K13" s="173">
        <f t="shared" si="9"/>
        <v>83.64</v>
      </c>
      <c r="L13" s="114">
        <f t="shared" si="10"/>
        <v>6</v>
      </c>
      <c r="M13" s="174">
        <f t="shared" si="11"/>
        <v>47</v>
      </c>
      <c r="N13" s="183">
        <v>98.89</v>
      </c>
      <c r="O13" s="121">
        <v>28</v>
      </c>
      <c r="P13" s="173">
        <f t="shared" si="12"/>
        <v>25.45</v>
      </c>
      <c r="Q13" s="114">
        <f t="shared" si="13"/>
        <v>47</v>
      </c>
      <c r="R13" s="174">
        <f t="shared" si="14"/>
        <v>7</v>
      </c>
      <c r="S13" s="183">
        <v>42</v>
      </c>
      <c r="T13" s="114">
        <f t="shared" si="15"/>
        <v>36</v>
      </c>
      <c r="U13" s="114">
        <f t="shared" si="16"/>
        <v>18</v>
      </c>
      <c r="V13" s="121">
        <v>80</v>
      </c>
      <c r="W13" s="168">
        <f t="shared" si="1"/>
        <v>65.81</v>
      </c>
      <c r="X13" s="120">
        <f t="shared" si="17"/>
        <v>28</v>
      </c>
      <c r="Y13" s="169">
        <f t="shared" si="18"/>
        <v>26</v>
      </c>
      <c r="Z13" s="9">
        <f t="shared" si="19"/>
        <v>28</v>
      </c>
      <c r="AA13" s="10"/>
      <c r="AB13" s="9" t="str">
        <f t="shared" si="2"/>
        <v>2018</v>
      </c>
      <c r="AC13" s="116" t="str">
        <f t="shared" si="3"/>
        <v>102</v>
      </c>
      <c r="AD13" s="9" t="b">
        <f t="shared" si="20"/>
        <v>1</v>
      </c>
      <c r="AE13" s="9" t="str">
        <f t="shared" si="4"/>
        <v>B</v>
      </c>
      <c r="AF13" s="9" t="str">
        <f t="shared" si="5"/>
        <v>B0</v>
      </c>
      <c r="AJ13" s="236" t="s">
        <v>84</v>
      </c>
      <c r="AK13" s="237"/>
      <c r="AL13" s="29">
        <f>COUNTA(AA2:AA54)</f>
        <v>11</v>
      </c>
      <c r="AV13" s="211"/>
      <c r="AW13" s="205"/>
      <c r="AX13" s="41" t="s">
        <v>124</v>
      </c>
      <c r="AY13" s="56">
        <f t="shared" ref="AY13:BG13" si="36">SUMIFS($W$2:$W$54,$B$2:$B$54,"="&amp;$AW12,$AC$2:$AC$54,"="&amp;$AV$3,$AF$2:$AF$54,"="&amp;AY$2)</f>
        <v>0</v>
      </c>
      <c r="AZ13" s="42">
        <f t="shared" si="36"/>
        <v>77.959999999999994</v>
      </c>
      <c r="BA13" s="42">
        <f t="shared" si="36"/>
        <v>69</v>
      </c>
      <c r="BB13" s="42">
        <f t="shared" si="36"/>
        <v>0</v>
      </c>
      <c r="BC13" s="42">
        <f t="shared" si="36"/>
        <v>55.31</v>
      </c>
      <c r="BD13" s="42">
        <f t="shared" si="36"/>
        <v>107.03999999999999</v>
      </c>
      <c r="BE13" s="42">
        <f t="shared" si="36"/>
        <v>0</v>
      </c>
      <c r="BF13" s="42">
        <f t="shared" si="36"/>
        <v>38.93</v>
      </c>
      <c r="BG13" s="41">
        <f t="shared" si="36"/>
        <v>0</v>
      </c>
      <c r="BI13" s="66"/>
      <c r="BJ13" s="67" t="s">
        <v>126</v>
      </c>
      <c r="BK13" s="68" t="s">
        <v>129</v>
      </c>
      <c r="BM13" s="248"/>
      <c r="BN13" s="73">
        <v>3</v>
      </c>
      <c r="BO13" s="93">
        <f>_xlfn.MAXIFS($W$2:$W$54,$AC$2:$AC$54,"="&amp;$BM$11,$B$2:$B$54,"="&amp;$BN13)</f>
        <v>81.27</v>
      </c>
      <c r="BP13" s="73">
        <f>_xlfn.MINIFS($W$2:$W$54,$AC$2:$AC$54,"="&amp;$BM$11,$B$2:$B$54,"="&amp;$BN13)</f>
        <v>73.77</v>
      </c>
      <c r="BR13" s="248"/>
      <c r="BS13" s="73">
        <v>2</v>
      </c>
      <c r="BT13" s="70">
        <f>_xlfn.MAXIFS($W$2:$W$54,$AC$2:$AC$54,"="&amp;$BR$12,$B$2:$B$54,"="&amp;$BS13,$AB$2:$AB$54,"="&amp;BT$2)</f>
        <v>59.99</v>
      </c>
      <c r="BU13" s="71">
        <f>_xlfn.MINIFS($W$2:$W$54,$AC$2:$AC$54,"="&amp;$BR$12,$B$2:$B$54,"="&amp;$BS13,$AB$2:$AB$54,"="&amp;BT$2)</f>
        <v>45.71</v>
      </c>
      <c r="BV13" s="70">
        <f>_xlfn.MAXIFS($W$2:$W$54,$AC$2:$AC$54,"="&amp;$BR$12,$B$2:$B$54,"="&amp;$BS13,$AB$2:$AB$54,"="&amp;BV$2)</f>
        <v>72.14</v>
      </c>
      <c r="BW13" s="71">
        <f>_xlfn.MINIFS($W$2:$W$54,$AC$2:$AC$54,"="&amp;$BR$12,$B$2:$B$54,"="&amp;$BS13,$AB$2:$AB$54,"="&amp;BV$2)</f>
        <v>26.57</v>
      </c>
      <c r="BX13" s="70">
        <f>_xlfn.MAXIFS($W$2:$W$54,$AC$2:$AC$54,"="&amp;$BR$12,$B$2:$B$54,"="&amp;$BS13,$AB$2:$AB$54,"="&amp;BX$2)</f>
        <v>0</v>
      </c>
      <c r="BY13" s="71">
        <f>_xlfn.MINIFS($W$2:$W$54,$AC$2:$AC$54,"="&amp;$BR$12,$B$2:$B$54,"="&amp;$BS13,$AB$2:$AB$54,"="&amp;BX$2)</f>
        <v>0</v>
      </c>
      <c r="BZ13" s="70">
        <f>_xlfn.MAXIFS($W$2:$W$54,$AC$2:$AC$54,"="&amp;$BR$12,$B$2:$B$54,"="&amp;$BS13,$AB$2:$AB$54,"="&amp;BZ$2)</f>
        <v>0</v>
      </c>
      <c r="CA13" s="71">
        <f>_xlfn.MINIFS($W$2:$W$54,$AC$2:$AC$54,"="&amp;$BR$12,$B$2:$B$54,"="&amp;$BS13,$AB$2:$AB$54,"="&amp;BZ$2)</f>
        <v>0</v>
      </c>
    </row>
    <row r="14" spans="1:79" ht="19.899999999999999" customHeight="1" thickTop="1" thickBot="1" x14ac:dyDescent="0.35">
      <c r="A14" s="117">
        <v>13</v>
      </c>
      <c r="B14" s="118">
        <v>2</v>
      </c>
      <c r="C14" s="118">
        <v>201810402</v>
      </c>
      <c r="D14" s="112" t="str">
        <f t="shared" si="0"/>
        <v>게임학과</v>
      </c>
      <c r="E14" s="119" t="s">
        <v>23</v>
      </c>
      <c r="F14" s="121">
        <v>65</v>
      </c>
      <c r="G14" s="173">
        <f t="shared" si="6"/>
        <v>32.5</v>
      </c>
      <c r="H14" s="114">
        <f t="shared" si="7"/>
        <v>46</v>
      </c>
      <c r="I14" s="174">
        <f t="shared" si="8"/>
        <v>8</v>
      </c>
      <c r="J14" s="187">
        <v>18</v>
      </c>
      <c r="K14" s="173">
        <f t="shared" si="9"/>
        <v>16.36</v>
      </c>
      <c r="L14" s="114">
        <f t="shared" si="10"/>
        <v>51</v>
      </c>
      <c r="M14" s="174">
        <f t="shared" si="11"/>
        <v>3</v>
      </c>
      <c r="N14" s="183">
        <v>87.78</v>
      </c>
      <c r="O14" s="121">
        <v>15</v>
      </c>
      <c r="P14" s="173">
        <f t="shared" si="12"/>
        <v>13.64</v>
      </c>
      <c r="Q14" s="114">
        <f t="shared" si="13"/>
        <v>51</v>
      </c>
      <c r="R14" s="174">
        <f t="shared" si="14"/>
        <v>3</v>
      </c>
      <c r="S14" s="183">
        <v>14</v>
      </c>
      <c r="T14" s="114">
        <f t="shared" si="15"/>
        <v>48</v>
      </c>
      <c r="U14" s="114">
        <f t="shared" si="16"/>
        <v>6</v>
      </c>
      <c r="V14" s="121">
        <v>60</v>
      </c>
      <c r="W14" s="168">
        <f t="shared" si="1"/>
        <v>30.02</v>
      </c>
      <c r="X14" s="120">
        <f t="shared" si="17"/>
        <v>51</v>
      </c>
      <c r="Y14" s="169">
        <f t="shared" si="18"/>
        <v>3</v>
      </c>
      <c r="Z14" s="9">
        <f t="shared" si="19"/>
        <v>51</v>
      </c>
      <c r="AA14" s="10"/>
      <c r="AB14" s="9" t="str">
        <f t="shared" si="2"/>
        <v>2018</v>
      </c>
      <c r="AC14" s="116" t="str">
        <f t="shared" si="3"/>
        <v>104</v>
      </c>
      <c r="AD14" s="9" t="b">
        <f t="shared" si="20"/>
        <v>1</v>
      </c>
      <c r="AE14" s="9" t="str">
        <f t="shared" si="4"/>
        <v>F</v>
      </c>
      <c r="AF14" s="9" t="str">
        <f t="shared" si="5"/>
        <v>F</v>
      </c>
      <c r="AJ14" s="240" t="s">
        <v>85</v>
      </c>
      <c r="AK14" s="241"/>
      <c r="AL14" s="141">
        <f>COUNTBLANK(AA2:AA54)</f>
        <v>42</v>
      </c>
      <c r="AV14" s="211"/>
      <c r="AW14" s="205"/>
      <c r="AX14" s="45" t="s">
        <v>125</v>
      </c>
      <c r="AY14" s="58" t="str">
        <f t="shared" ref="AY14:BG14" si="37">IFERROR(ROUND(AVERAGEIFS($W$2:$W$54,$B$2:$B$54,"="&amp;$AW12,$AC$2:$AC$54,"="&amp;$AV$3,$AF$2:$AF$54,"="&amp;AY$2),2),"-")</f>
        <v>-</v>
      </c>
      <c r="AZ14" s="46">
        <f t="shared" si="37"/>
        <v>77.959999999999994</v>
      </c>
      <c r="BA14" s="46">
        <f t="shared" si="37"/>
        <v>69</v>
      </c>
      <c r="BB14" s="46" t="str">
        <f t="shared" si="37"/>
        <v>-</v>
      </c>
      <c r="BC14" s="46">
        <f t="shared" si="37"/>
        <v>55.31</v>
      </c>
      <c r="BD14" s="46">
        <f t="shared" si="37"/>
        <v>53.52</v>
      </c>
      <c r="BE14" s="46" t="str">
        <f t="shared" si="37"/>
        <v>-</v>
      </c>
      <c r="BF14" s="46">
        <f t="shared" si="37"/>
        <v>38.93</v>
      </c>
      <c r="BG14" s="45" t="str">
        <f t="shared" si="37"/>
        <v>-</v>
      </c>
      <c r="BI14" s="69" t="s">
        <v>128</v>
      </c>
      <c r="BJ14" s="70">
        <f>_xlfn.MAXIFS($W$2:$W$54,$AA$2:$AA$54,"=Y")</f>
        <v>82.26</v>
      </c>
      <c r="BK14" s="91">
        <f>_xlfn.MINIFS($W$2:$W$54,$AA$2:$AA$54,"=Y")</f>
        <v>39.770000000000003</v>
      </c>
      <c r="BM14" s="248"/>
      <c r="BN14" s="77">
        <v>4</v>
      </c>
      <c r="BO14" s="94">
        <f>_xlfn.MAXIFS($W$2:$W$54,$AC$2:$AC$54,"="&amp;$BM$11,$B$2:$B$54,"="&amp;$BN14)</f>
        <v>75.33</v>
      </c>
      <c r="BP14" s="77">
        <f>_xlfn.MINIFS($W$2:$W$54,$AC$2:$AC$54,"="&amp;$BM$11,$B$2:$B$54,"="&amp;$BN14)</f>
        <v>62.86</v>
      </c>
      <c r="BR14" s="248"/>
      <c r="BS14" s="73">
        <v>3</v>
      </c>
      <c r="BT14" s="70">
        <f>_xlfn.MAXIFS($W$2:$W$54,$AC$2:$AC$54,"="&amp;$BR$12,$B$2:$B$54,"="&amp;$BS14,$AB$2:$AB$54,"="&amp;BT$2)</f>
        <v>0</v>
      </c>
      <c r="BU14" s="71">
        <f>_xlfn.MINIFS($W$2:$W$54,$AC$2:$AC$54,"="&amp;$BR$12,$B$2:$B$54,"="&amp;$BS14,$AB$2:$AB$54,"="&amp;BT$2)</f>
        <v>0</v>
      </c>
      <c r="BV14" s="70">
        <f>_xlfn.MAXIFS($W$2:$W$54,$AC$2:$AC$54,"="&amp;$BR$12,$B$2:$B$54,"="&amp;$BS14,$AB$2:$AB$54,"="&amp;BV$2)</f>
        <v>73.77</v>
      </c>
      <c r="BW14" s="71">
        <f>_xlfn.MINIFS($W$2:$W$54,$AC$2:$AC$54,"="&amp;$BR$12,$B$2:$B$54,"="&amp;$BS14,$AB$2:$AB$54,"="&amp;BV$2)</f>
        <v>73.77</v>
      </c>
      <c r="BX14" s="70">
        <f>_xlfn.MAXIFS($W$2:$W$54,$AC$2:$AC$54,"="&amp;$BR$12,$B$2:$B$54,"="&amp;$BS14,$AB$2:$AB$54,"="&amp;BX$2)</f>
        <v>0</v>
      </c>
      <c r="BY14" s="71">
        <f>_xlfn.MINIFS($W$2:$W$54,$AC$2:$AC$54,"="&amp;$BR$12,$B$2:$B$54,"="&amp;$BS14,$AB$2:$AB$54,"="&amp;BX$2)</f>
        <v>0</v>
      </c>
      <c r="BZ14" s="70">
        <f>_xlfn.MAXIFS($W$2:$W$54,$AC$2:$AC$54,"="&amp;$BR$12,$B$2:$B$54,"="&amp;$BS14,$AB$2:$AB$54,"="&amp;BZ$2)</f>
        <v>81.27</v>
      </c>
      <c r="CA14" s="71">
        <f>_xlfn.MINIFS($W$2:$W$54,$AC$2:$AC$54,"="&amp;$BR$12,$B$2:$B$54,"="&amp;$BS14,$AB$2:$AB$54,"="&amp;BZ$2)</f>
        <v>81.27</v>
      </c>
    </row>
    <row r="15" spans="1:79" ht="19.899999999999999" customHeight="1" thickTop="1" thickBot="1" x14ac:dyDescent="0.35">
      <c r="A15" s="117">
        <v>14</v>
      </c>
      <c r="B15" s="118">
        <v>1</v>
      </c>
      <c r="C15" s="118">
        <v>201710504</v>
      </c>
      <c r="D15" s="112" t="str">
        <f t="shared" si="0"/>
        <v>통신학과</v>
      </c>
      <c r="E15" s="119" t="s">
        <v>24</v>
      </c>
      <c r="F15" s="121">
        <v>71</v>
      </c>
      <c r="G15" s="173">
        <f t="shared" si="6"/>
        <v>35.5</v>
      </c>
      <c r="H15" s="114">
        <f t="shared" si="7"/>
        <v>45</v>
      </c>
      <c r="I15" s="174">
        <f t="shared" si="8"/>
        <v>9</v>
      </c>
      <c r="J15" s="187">
        <v>0</v>
      </c>
      <c r="K15" s="173">
        <f t="shared" si="9"/>
        <v>0</v>
      </c>
      <c r="L15" s="114">
        <f t="shared" si="10"/>
        <v>52</v>
      </c>
      <c r="M15" s="174">
        <f t="shared" si="11"/>
        <v>1</v>
      </c>
      <c r="N15" s="183">
        <v>93.33</v>
      </c>
      <c r="O15" s="121">
        <v>26</v>
      </c>
      <c r="P15" s="173">
        <f t="shared" si="12"/>
        <v>23.64</v>
      </c>
      <c r="Q15" s="114">
        <f t="shared" si="13"/>
        <v>48</v>
      </c>
      <c r="R15" s="174">
        <f t="shared" si="14"/>
        <v>6</v>
      </c>
      <c r="S15" s="183">
        <v>29</v>
      </c>
      <c r="T15" s="114">
        <f t="shared" si="15"/>
        <v>40</v>
      </c>
      <c r="U15" s="114">
        <f t="shared" si="16"/>
        <v>14</v>
      </c>
      <c r="V15" s="121">
        <v>60</v>
      </c>
      <c r="W15" s="168">
        <f t="shared" si="1"/>
        <v>28.25</v>
      </c>
      <c r="X15" s="120">
        <f t="shared" si="17"/>
        <v>52</v>
      </c>
      <c r="Y15" s="169">
        <f t="shared" si="18"/>
        <v>2</v>
      </c>
      <c r="Z15" s="9">
        <f t="shared" si="19"/>
        <v>52</v>
      </c>
      <c r="AA15" s="10"/>
      <c r="AB15" s="9" t="str">
        <f t="shared" si="2"/>
        <v>2017</v>
      </c>
      <c r="AC15" s="116" t="str">
        <f t="shared" si="3"/>
        <v>105</v>
      </c>
      <c r="AD15" s="9" t="b">
        <f t="shared" si="20"/>
        <v>1</v>
      </c>
      <c r="AE15" s="9" t="str">
        <f t="shared" si="4"/>
        <v>F</v>
      </c>
      <c r="AF15" s="9" t="str">
        <f t="shared" si="5"/>
        <v>F</v>
      </c>
      <c r="AV15" s="213">
        <v>102</v>
      </c>
      <c r="AW15" s="209">
        <v>1</v>
      </c>
      <c r="AX15" s="51" t="s">
        <v>123</v>
      </c>
      <c r="AY15" s="61">
        <f t="shared" ref="AY15:BG15" si="38">COUNTIFS($B$2:$B$54,"="&amp;$AW15,$AC$2:$AC$54,"="&amp;$AV$15,$AF$2:$AF$54,"="&amp;AY$2)</f>
        <v>0</v>
      </c>
      <c r="AZ15" s="52">
        <f t="shared" si="38"/>
        <v>0</v>
      </c>
      <c r="BA15" s="52">
        <f t="shared" si="38"/>
        <v>0</v>
      </c>
      <c r="BB15" s="52">
        <f t="shared" si="38"/>
        <v>0</v>
      </c>
      <c r="BC15" s="52">
        <f t="shared" si="38"/>
        <v>0</v>
      </c>
      <c r="BD15" s="52">
        <f t="shared" si="38"/>
        <v>0</v>
      </c>
      <c r="BE15" s="52">
        <f t="shared" si="38"/>
        <v>0</v>
      </c>
      <c r="BF15" s="52">
        <f t="shared" si="38"/>
        <v>0</v>
      </c>
      <c r="BG15" s="51">
        <f t="shared" si="38"/>
        <v>0</v>
      </c>
      <c r="BI15" s="74" t="s">
        <v>127</v>
      </c>
      <c r="BJ15" s="76">
        <f>_xlfn.MAXIFS($W$2:$W$54,$AA$2:$AA$54,"=")</f>
        <v>89.82</v>
      </c>
      <c r="BK15" s="33">
        <f>_xlfn.MINIFS($W$2:$W$54,$AA$2:$AA$54,"=")</f>
        <v>26.57</v>
      </c>
      <c r="BM15" s="247">
        <v>104</v>
      </c>
      <c r="BN15" s="78">
        <v>1</v>
      </c>
      <c r="BO15" s="92">
        <f>_xlfn.MAXIFS($W$2:$W$54,$AC$2:$AC$54,"="&amp;$BM$15,$B$2:$B$54,"="&amp;$BN15)</f>
        <v>53.09</v>
      </c>
      <c r="BP15" s="78">
        <f>_xlfn.MINIFS($W$2:$W$54,$AC$2:$AC$54,"="&amp;$BM$15,$B$2:$B$54,"="&amp;$BN15)</f>
        <v>53.09</v>
      </c>
      <c r="BR15" s="248"/>
      <c r="BS15" s="77">
        <v>4</v>
      </c>
      <c r="BT15" s="97">
        <f>_xlfn.MAXIFS($W$2:$W$54,$AC$2:$AC$54,"="&amp;$BR$12,$B$2:$B$54,"="&amp;$BS15,$AB$2:$AB$54,"="&amp;BT$2)</f>
        <v>0</v>
      </c>
      <c r="BU15" s="98">
        <f>_xlfn.MINIFS($W$2:$W$54,$AC$2:$AC$54,"="&amp;$BR$12,$B$2:$B$54,"="&amp;$BS15,$AB$2:$AB$54,"="&amp;BT$2)</f>
        <v>0</v>
      </c>
      <c r="BV15" s="97">
        <f>_xlfn.MAXIFS($W$2:$W$54,$AC$2:$AC$54,"="&amp;$BR$12,$B$2:$B$54,"="&amp;$BS15,$AB$2:$AB$54,"="&amp;BV$2)</f>
        <v>0</v>
      </c>
      <c r="BW15" s="98">
        <f>_xlfn.MINIFS($W$2:$W$54,$AC$2:$AC$54,"="&amp;$BR$12,$B$2:$B$54,"="&amp;$BS15,$AB$2:$AB$54,"="&amp;BV$2)</f>
        <v>0</v>
      </c>
      <c r="BX15" s="97">
        <f>_xlfn.MAXIFS($W$2:$W$54,$AC$2:$AC$54,"="&amp;$BR$12,$B$2:$B$54,"="&amp;$BS15,$AB$2:$AB$54,"="&amp;BX$2)</f>
        <v>0</v>
      </c>
      <c r="BY15" s="98">
        <f>_xlfn.MINIFS($W$2:$W$54,$AC$2:$AC$54,"="&amp;$BR$12,$B$2:$B$54,"="&amp;$BS15,$AB$2:$AB$54,"="&amp;BX$2)</f>
        <v>0</v>
      </c>
      <c r="BZ15" s="97">
        <f>_xlfn.MAXIFS($W$2:$W$54,$AC$2:$AC$54,"="&amp;$BR$12,$B$2:$B$54,"="&amp;$BS15,$AB$2:$AB$54,"="&amp;BZ$2)</f>
        <v>75.33</v>
      </c>
      <c r="CA15" s="98">
        <f>_xlfn.MINIFS($W$2:$W$54,$AC$2:$AC$54,"="&amp;$BR$12,$B$2:$B$54,"="&amp;$BS15,$AB$2:$AB$54,"="&amp;BZ$2)</f>
        <v>62.86</v>
      </c>
    </row>
    <row r="16" spans="1:79" ht="19.899999999999999" customHeight="1" thickTop="1" thickBot="1" x14ac:dyDescent="0.35">
      <c r="A16" s="117">
        <v>15</v>
      </c>
      <c r="B16" s="118">
        <v>3</v>
      </c>
      <c r="C16" s="118">
        <v>201610205</v>
      </c>
      <c r="D16" s="112" t="str">
        <f t="shared" si="0"/>
        <v>보안학과</v>
      </c>
      <c r="E16" s="119" t="s">
        <v>25</v>
      </c>
      <c r="F16" s="121">
        <v>108</v>
      </c>
      <c r="G16" s="173">
        <f t="shared" si="6"/>
        <v>54</v>
      </c>
      <c r="H16" s="114">
        <f t="shared" si="7"/>
        <v>35</v>
      </c>
      <c r="I16" s="174">
        <f t="shared" si="8"/>
        <v>19</v>
      </c>
      <c r="J16" s="187">
        <v>64</v>
      </c>
      <c r="K16" s="173">
        <f t="shared" si="9"/>
        <v>58.18</v>
      </c>
      <c r="L16" s="114">
        <f t="shared" si="10"/>
        <v>28</v>
      </c>
      <c r="M16" s="174">
        <f t="shared" si="11"/>
        <v>24</v>
      </c>
      <c r="N16" s="183">
        <v>100</v>
      </c>
      <c r="O16" s="121">
        <v>44</v>
      </c>
      <c r="P16" s="173">
        <f t="shared" si="12"/>
        <v>40</v>
      </c>
      <c r="Q16" s="114">
        <f t="shared" si="13"/>
        <v>41</v>
      </c>
      <c r="R16" s="174">
        <f t="shared" si="14"/>
        <v>13</v>
      </c>
      <c r="S16" s="183">
        <v>48</v>
      </c>
      <c r="T16" s="114">
        <f t="shared" si="15"/>
        <v>32</v>
      </c>
      <c r="U16" s="114">
        <f t="shared" si="16"/>
        <v>21</v>
      </c>
      <c r="V16" s="121">
        <v>100</v>
      </c>
      <c r="W16" s="168">
        <f t="shared" si="1"/>
        <v>60.36</v>
      </c>
      <c r="X16" s="120">
        <f t="shared" si="17"/>
        <v>33</v>
      </c>
      <c r="Y16" s="169">
        <f t="shared" si="18"/>
        <v>21</v>
      </c>
      <c r="Z16" s="9">
        <f t="shared" si="19"/>
        <v>33</v>
      </c>
      <c r="AA16" s="10" t="s">
        <v>71</v>
      </c>
      <c r="AB16" s="9" t="str">
        <f t="shared" si="2"/>
        <v>2016</v>
      </c>
      <c r="AC16" s="116" t="str">
        <f t="shared" si="3"/>
        <v>102</v>
      </c>
      <c r="AD16" s="9" t="b">
        <f t="shared" si="20"/>
        <v>0</v>
      </c>
      <c r="AE16" s="9" t="str">
        <f t="shared" si="4"/>
        <v>C</v>
      </c>
      <c r="AF16" s="9" t="str">
        <f t="shared" si="5"/>
        <v>C+</v>
      </c>
      <c r="AJ16" s="142"/>
      <c r="AV16" s="211"/>
      <c r="AW16" s="205"/>
      <c r="AX16" s="41" t="s">
        <v>124</v>
      </c>
      <c r="AY16" s="56">
        <f t="shared" ref="AY16:BG16" si="39">SUMIFS($W$2:$W$54,$B$2:$B$54,"="&amp;$AW15,$AC$2:$AC$54,"="&amp;$AV$15,$AF$2:$AF$54,"="&amp;AY$2)</f>
        <v>0</v>
      </c>
      <c r="AZ16" s="42">
        <f t="shared" si="39"/>
        <v>0</v>
      </c>
      <c r="BA16" s="42">
        <f t="shared" si="39"/>
        <v>0</v>
      </c>
      <c r="BB16" s="42">
        <f t="shared" si="39"/>
        <v>0</v>
      </c>
      <c r="BC16" s="42">
        <f t="shared" si="39"/>
        <v>0</v>
      </c>
      <c r="BD16" s="42">
        <f t="shared" si="39"/>
        <v>0</v>
      </c>
      <c r="BE16" s="42">
        <f t="shared" si="39"/>
        <v>0</v>
      </c>
      <c r="BF16" s="42">
        <f t="shared" si="39"/>
        <v>0</v>
      </c>
      <c r="BG16" s="41">
        <f t="shared" si="39"/>
        <v>0</v>
      </c>
      <c r="BM16" s="248"/>
      <c r="BN16" s="73">
        <v>2</v>
      </c>
      <c r="BO16" s="93">
        <f>_xlfn.MAXIFS($W$2:$W$54,$AC$2:$AC$54,"="&amp;$BM$15,$B$2:$B$54,"="&amp;$BN16)</f>
        <v>68.099999999999994</v>
      </c>
      <c r="BP16" s="73">
        <f>_xlfn.MINIFS($W$2:$W$54,$AC$2:$AC$54,"="&amp;$BM$15,$B$2:$B$54,"="&amp;$BN16)</f>
        <v>30.02</v>
      </c>
      <c r="BR16" s="247">
        <v>104</v>
      </c>
      <c r="BS16" s="78">
        <v>1</v>
      </c>
      <c r="BT16" s="79">
        <f>_xlfn.MAXIFS($W$2:$W$54,$AC$2:$AC$54,"="&amp;$BR$16,$B$2:$B$54,"="&amp;$BS16,$AB$2:$AB$54,"="&amp;BT$2)</f>
        <v>53.09</v>
      </c>
      <c r="BU16" s="78">
        <f>_xlfn.MINIFS($W$2:$W$54,$AC$2:$AC$54,"="&amp;$BR$16,$B$2:$B$54,"="&amp;$BS16,$AB$2:$AB$54,"="&amp;BT$2)</f>
        <v>53.09</v>
      </c>
      <c r="BV16" s="79">
        <f>_xlfn.MAXIFS($W$2:$W$54,$AC$2:$AC$54,"="&amp;$BR$16,$B$2:$B$54,"="&amp;$BS16,$AB$2:$AB$54,"="&amp;BV$2)</f>
        <v>0</v>
      </c>
      <c r="BW16" s="78">
        <f>_xlfn.MINIFS($W$2:$W$54,$AC$2:$AC$54,"="&amp;$BR$16,$B$2:$B$54,"="&amp;$BS16,$AB$2:$AB$54,"="&amp;BV$2)</f>
        <v>0</v>
      </c>
      <c r="BX16" s="79">
        <f>_xlfn.MAXIFS($W$2:$W$54,$AC$2:$AC$54,"="&amp;$BR$16,$B$2:$B$54,"="&amp;$BS16,$AB$2:$AB$54,"="&amp;BX$2)</f>
        <v>0</v>
      </c>
      <c r="BY16" s="78">
        <f>_xlfn.MINIFS($W$2:$W$54,$AC$2:$AC$54,"="&amp;$BR$16,$B$2:$B$54,"="&amp;$BS16,$AB$2:$AB$54,"="&amp;BX$2)</f>
        <v>0</v>
      </c>
      <c r="BZ16" s="79">
        <f>_xlfn.MAXIFS($W$2:$W$54,$AC$2:$AC$54,"="&amp;$BR$16,$B$2:$B$54,"="&amp;$BS16,$AB$2:$AB$54,"="&amp;BZ$2)</f>
        <v>0</v>
      </c>
      <c r="CA16" s="78">
        <f>_xlfn.MINIFS($W$2:$W$54,$AC$2:$AC$54,"="&amp;$BR$16,$B$2:$B$54,"="&amp;$BS16,$AB$2:$AB$54,"="&amp;BZ$2)</f>
        <v>0</v>
      </c>
    </row>
    <row r="17" spans="1:79" ht="19.899999999999999" customHeight="1" thickTop="1" x14ac:dyDescent="0.3">
      <c r="A17" s="117">
        <v>16</v>
      </c>
      <c r="B17" s="118">
        <v>2</v>
      </c>
      <c r="C17" s="118">
        <v>201710306</v>
      </c>
      <c r="D17" s="112" t="str">
        <f t="shared" si="0"/>
        <v>전자학과</v>
      </c>
      <c r="E17" s="119" t="s">
        <v>4</v>
      </c>
      <c r="F17" s="121">
        <v>134</v>
      </c>
      <c r="G17" s="173">
        <f t="shared" si="6"/>
        <v>67</v>
      </c>
      <c r="H17" s="114">
        <f t="shared" si="7"/>
        <v>18</v>
      </c>
      <c r="I17" s="174">
        <f t="shared" si="8"/>
        <v>35</v>
      </c>
      <c r="J17" s="187">
        <v>54</v>
      </c>
      <c r="K17" s="173">
        <f t="shared" si="9"/>
        <v>49.09</v>
      </c>
      <c r="L17" s="114">
        <f t="shared" si="10"/>
        <v>40</v>
      </c>
      <c r="M17" s="174">
        <f t="shared" si="11"/>
        <v>14</v>
      </c>
      <c r="N17" s="183">
        <v>100</v>
      </c>
      <c r="O17" s="121">
        <v>59</v>
      </c>
      <c r="P17" s="173">
        <f t="shared" si="12"/>
        <v>53.64</v>
      </c>
      <c r="Q17" s="114">
        <f t="shared" si="13"/>
        <v>21</v>
      </c>
      <c r="R17" s="174">
        <f t="shared" si="14"/>
        <v>31</v>
      </c>
      <c r="S17" s="183">
        <v>63</v>
      </c>
      <c r="T17" s="114">
        <f t="shared" si="15"/>
        <v>19</v>
      </c>
      <c r="U17" s="114">
        <f t="shared" si="16"/>
        <v>35</v>
      </c>
      <c r="V17" s="121">
        <v>100</v>
      </c>
      <c r="W17" s="168">
        <f t="shared" si="1"/>
        <v>63.95</v>
      </c>
      <c r="X17" s="120">
        <f t="shared" si="17"/>
        <v>30</v>
      </c>
      <c r="Y17" s="169">
        <f t="shared" si="18"/>
        <v>24</v>
      </c>
      <c r="Z17" s="9">
        <f t="shared" si="19"/>
        <v>30</v>
      </c>
      <c r="AA17" s="10"/>
      <c r="AB17" s="9" t="str">
        <f t="shared" si="2"/>
        <v>2017</v>
      </c>
      <c r="AC17" s="116" t="str">
        <f t="shared" si="3"/>
        <v>103</v>
      </c>
      <c r="AD17" s="9" t="b">
        <f t="shared" si="20"/>
        <v>1</v>
      </c>
      <c r="AE17" s="9" t="str">
        <f t="shared" si="4"/>
        <v>B</v>
      </c>
      <c r="AF17" s="9" t="str">
        <f t="shared" si="5"/>
        <v>B0</v>
      </c>
      <c r="AJ17" s="242" t="s">
        <v>111</v>
      </c>
      <c r="AK17" s="31">
        <v>101</v>
      </c>
      <c r="AL17" s="31">
        <v>102</v>
      </c>
      <c r="AM17" s="31">
        <v>103</v>
      </c>
      <c r="AN17" s="31">
        <v>104</v>
      </c>
      <c r="AO17" s="106">
        <v>105</v>
      </c>
      <c r="AV17" s="211"/>
      <c r="AW17" s="207"/>
      <c r="AX17" s="43" t="s">
        <v>125</v>
      </c>
      <c r="AY17" s="58" t="str">
        <f t="shared" ref="AY17:BG17" si="40">IFERROR(ROUND(AVERAGEIFS($W$2:$W$54,$B$2:$B$54,"="&amp;$AW15,$AC$2:$AC$54,"="&amp;$AV$15,$AF$2:$AF$54,"="&amp;AY$2),2),"-")</f>
        <v>-</v>
      </c>
      <c r="AZ17" s="46" t="str">
        <f t="shared" si="40"/>
        <v>-</v>
      </c>
      <c r="BA17" s="46" t="str">
        <f t="shared" si="40"/>
        <v>-</v>
      </c>
      <c r="BB17" s="46" t="str">
        <f t="shared" si="40"/>
        <v>-</v>
      </c>
      <c r="BC17" s="46" t="str">
        <f t="shared" si="40"/>
        <v>-</v>
      </c>
      <c r="BD17" s="46" t="str">
        <f t="shared" si="40"/>
        <v>-</v>
      </c>
      <c r="BE17" s="46" t="str">
        <f t="shared" si="40"/>
        <v>-</v>
      </c>
      <c r="BF17" s="46" t="str">
        <f t="shared" si="40"/>
        <v>-</v>
      </c>
      <c r="BG17" s="45" t="str">
        <f t="shared" si="40"/>
        <v>-</v>
      </c>
      <c r="BM17" s="248"/>
      <c r="BN17" s="73">
        <v>3</v>
      </c>
      <c r="BO17" s="93">
        <f>_xlfn.MAXIFS($W$2:$W$54,$AC$2:$AC$54,"="&amp;$BM$15,$B$2:$B$54,"="&amp;$BN17)</f>
        <v>82.26</v>
      </c>
      <c r="BP17" s="73">
        <f>_xlfn.MINIFS($W$2:$W$54,$AC$2:$AC$54,"="&amp;$BM$15,$B$2:$B$54,"="&amp;$BN17)</f>
        <v>82.26</v>
      </c>
      <c r="BR17" s="248"/>
      <c r="BS17" s="73">
        <v>2</v>
      </c>
      <c r="BT17" s="70">
        <f>_xlfn.MAXIFS($W$2:$W$54,$AC$2:$AC$54,"="&amp;$BR$16,$B$2:$B$54,"="&amp;$BS17,$AB$2:$AB$54,"="&amp;BT$2)</f>
        <v>43.09</v>
      </c>
      <c r="BU17" s="71">
        <f>_xlfn.MINIFS($W$2:$W$54,$AC$2:$AC$54,"="&amp;$BR$16,$B$2:$B$54,"="&amp;$BS17,$AB$2:$AB$54,"="&amp;BT$2)</f>
        <v>30.02</v>
      </c>
      <c r="BV17" s="70">
        <f>_xlfn.MAXIFS($W$2:$W$54,$AC$2:$AC$54,"="&amp;$BR$16,$B$2:$B$54,"="&amp;$BS17,$AB$2:$AB$54,"="&amp;BV$2)</f>
        <v>68.099999999999994</v>
      </c>
      <c r="BW17" s="71">
        <f>_xlfn.MINIFS($W$2:$W$54,$AC$2:$AC$54,"="&amp;$BR$16,$B$2:$B$54,"="&amp;$BS17,$AB$2:$AB$54,"="&amp;BV$2)</f>
        <v>68.099999999999994</v>
      </c>
      <c r="BX17" s="70">
        <f>_xlfn.MAXIFS($W$2:$W$54,$AC$2:$AC$54,"="&amp;$BR$16,$B$2:$B$54,"="&amp;$BS17,$AB$2:$AB$54,"="&amp;BX$2)</f>
        <v>0</v>
      </c>
      <c r="BY17" s="71">
        <f>_xlfn.MINIFS($W$2:$W$54,$AC$2:$AC$54,"="&amp;$BR$16,$B$2:$B$54,"="&amp;$BS17,$AB$2:$AB$54,"="&amp;BX$2)</f>
        <v>0</v>
      </c>
      <c r="BZ17" s="70">
        <f>_xlfn.MAXIFS($W$2:$W$54,$AC$2:$AC$54,"="&amp;$BR$16,$B$2:$B$54,"="&amp;$BS17,$AB$2:$AB$54,"="&amp;BZ$2)</f>
        <v>0</v>
      </c>
      <c r="CA17" s="71">
        <f>_xlfn.MINIFS($W$2:$W$54,$AC$2:$AC$54,"="&amp;$BR$16,$B$2:$B$54,"="&amp;$BS17,$AB$2:$AB$54,"="&amp;BZ$2)</f>
        <v>0</v>
      </c>
    </row>
    <row r="18" spans="1:79" ht="19.899999999999999" customHeight="1" thickBot="1" x14ac:dyDescent="0.35">
      <c r="A18" s="117">
        <v>17</v>
      </c>
      <c r="B18" s="118">
        <v>4</v>
      </c>
      <c r="C18" s="118">
        <v>201510412</v>
      </c>
      <c r="D18" s="112" t="str">
        <f t="shared" si="0"/>
        <v>게임학과</v>
      </c>
      <c r="E18" s="119" t="s">
        <v>26</v>
      </c>
      <c r="F18" s="121">
        <v>141</v>
      </c>
      <c r="G18" s="173">
        <f t="shared" si="6"/>
        <v>70.5</v>
      </c>
      <c r="H18" s="114">
        <f t="shared" si="7"/>
        <v>13</v>
      </c>
      <c r="I18" s="174">
        <f t="shared" si="8"/>
        <v>39</v>
      </c>
      <c r="J18" s="187">
        <v>64</v>
      </c>
      <c r="K18" s="173">
        <f t="shared" si="9"/>
        <v>58.18</v>
      </c>
      <c r="L18" s="114">
        <f t="shared" si="10"/>
        <v>28</v>
      </c>
      <c r="M18" s="174">
        <f t="shared" si="11"/>
        <v>24</v>
      </c>
      <c r="N18" s="183">
        <v>100</v>
      </c>
      <c r="O18" s="121">
        <v>61</v>
      </c>
      <c r="P18" s="173">
        <f t="shared" si="12"/>
        <v>55.45</v>
      </c>
      <c r="Q18" s="114">
        <f t="shared" si="13"/>
        <v>16</v>
      </c>
      <c r="R18" s="174">
        <f t="shared" si="14"/>
        <v>37</v>
      </c>
      <c r="S18" s="183">
        <v>26</v>
      </c>
      <c r="T18" s="114">
        <f t="shared" si="15"/>
        <v>42</v>
      </c>
      <c r="U18" s="114">
        <f t="shared" si="16"/>
        <v>11</v>
      </c>
      <c r="V18" s="121">
        <v>100</v>
      </c>
      <c r="W18" s="168">
        <f t="shared" si="1"/>
        <v>64.66</v>
      </c>
      <c r="X18" s="120">
        <f t="shared" si="17"/>
        <v>29</v>
      </c>
      <c r="Y18" s="169">
        <f t="shared" si="18"/>
        <v>25</v>
      </c>
      <c r="Z18" s="9">
        <f t="shared" si="19"/>
        <v>29</v>
      </c>
      <c r="AA18" s="10"/>
      <c r="AB18" s="9" t="str">
        <f t="shared" si="2"/>
        <v>2015</v>
      </c>
      <c r="AC18" s="116" t="str">
        <f t="shared" si="3"/>
        <v>104</v>
      </c>
      <c r="AD18" s="9" t="b">
        <f t="shared" si="20"/>
        <v>1</v>
      </c>
      <c r="AE18" s="9" t="str">
        <f t="shared" si="4"/>
        <v>B</v>
      </c>
      <c r="AF18" s="9" t="str">
        <f t="shared" si="5"/>
        <v>B0</v>
      </c>
      <c r="AJ18" s="243"/>
      <c r="AK18" s="32" t="s">
        <v>106</v>
      </c>
      <c r="AL18" s="32" t="s">
        <v>107</v>
      </c>
      <c r="AM18" s="32" t="s">
        <v>108</v>
      </c>
      <c r="AN18" s="32" t="s">
        <v>109</v>
      </c>
      <c r="AO18" s="33" t="s">
        <v>110</v>
      </c>
      <c r="AV18" s="211"/>
      <c r="AW18" s="204">
        <v>2</v>
      </c>
      <c r="AX18" s="47" t="s">
        <v>123</v>
      </c>
      <c r="AY18" s="59">
        <f t="shared" ref="AY18:BG18" si="41">COUNTIFS($B$2:$B$54,"="&amp;$AW18,$AC$2:$AC$54,"="&amp;$AV$15,$AF$2:$AF$54,"="&amp;AY$2)</f>
        <v>0</v>
      </c>
      <c r="AZ18" s="48">
        <f t="shared" si="41"/>
        <v>2</v>
      </c>
      <c r="BA18" s="48">
        <f t="shared" si="41"/>
        <v>0</v>
      </c>
      <c r="BB18" s="48">
        <f t="shared" si="41"/>
        <v>2</v>
      </c>
      <c r="BC18" s="48">
        <f t="shared" si="41"/>
        <v>1</v>
      </c>
      <c r="BD18" s="48">
        <f t="shared" si="41"/>
        <v>0</v>
      </c>
      <c r="BE18" s="48">
        <f t="shared" si="41"/>
        <v>0</v>
      </c>
      <c r="BF18" s="48">
        <f t="shared" si="41"/>
        <v>1</v>
      </c>
      <c r="BG18" s="47">
        <f t="shared" si="41"/>
        <v>0</v>
      </c>
      <c r="BM18" s="249"/>
      <c r="BN18" s="80">
        <v>4</v>
      </c>
      <c r="BO18" s="95">
        <f>_xlfn.MAXIFS($W$2:$W$54,$AC$2:$AC$54,"="&amp;$BM$15,$B$2:$B$54,"="&amp;$BN18)</f>
        <v>64.66</v>
      </c>
      <c r="BP18" s="80">
        <f>_xlfn.MINIFS($W$2:$W$54,$AC$2:$AC$54,"="&amp;$BM$15,$B$2:$B$54,"="&amp;$BN18)</f>
        <v>48.16</v>
      </c>
      <c r="BR18" s="248"/>
      <c r="BS18" s="73">
        <v>3</v>
      </c>
      <c r="BT18" s="70">
        <f>_xlfn.MAXIFS($W$2:$W$54,$AC$2:$AC$54,"="&amp;$BR$16,$B$2:$B$54,"="&amp;$BS18,$AB$2:$AB$54,"="&amp;BT$2)</f>
        <v>0</v>
      </c>
      <c r="BU18" s="71">
        <f>_xlfn.MINIFS($W$2:$W$54,$AC$2:$AC$54,"="&amp;$BR$16,$B$2:$B$54,"="&amp;$BS18,$AB$2:$AB$54,"="&amp;BT$2)</f>
        <v>0</v>
      </c>
      <c r="BV18" s="70">
        <f>_xlfn.MAXIFS($W$2:$W$54,$AC$2:$AC$54,"="&amp;$BR$16,$B$2:$B$54,"="&amp;$BS18,$AB$2:$AB$54,"="&amp;BV$2)</f>
        <v>82.26</v>
      </c>
      <c r="BW18" s="71">
        <f>_xlfn.MINIFS($W$2:$W$54,$AC$2:$AC$54,"="&amp;$BR$16,$B$2:$B$54,"="&amp;$BS18,$AB$2:$AB$54,"="&amp;BV$2)</f>
        <v>82.26</v>
      </c>
      <c r="BX18" s="70">
        <f>_xlfn.MAXIFS($W$2:$W$54,$AC$2:$AC$54,"="&amp;$BR$16,$B$2:$B$54,"="&amp;$BS18,$AB$2:$AB$54,"="&amp;BX$2)</f>
        <v>0</v>
      </c>
      <c r="BY18" s="71">
        <f>_xlfn.MINIFS($W$2:$W$54,$AC$2:$AC$54,"="&amp;$BR$16,$B$2:$B$54,"="&amp;$BS18,$AB$2:$AB$54,"="&amp;BX$2)</f>
        <v>0</v>
      </c>
      <c r="BZ18" s="70">
        <f>_xlfn.MAXIFS($W$2:$W$54,$AC$2:$AC$54,"="&amp;$BR$16,$B$2:$B$54,"="&amp;$BS18,$AB$2:$AB$54,"="&amp;BZ$2)</f>
        <v>0</v>
      </c>
      <c r="CA18" s="71">
        <f>_xlfn.MINIFS($W$2:$W$54,$AC$2:$AC$54,"="&amp;$BR$16,$B$2:$B$54,"="&amp;$BS18,$AB$2:$AB$54,"="&amp;BZ$2)</f>
        <v>0</v>
      </c>
    </row>
    <row r="19" spans="1:79" ht="19.899999999999999" customHeight="1" thickTop="1" thickBot="1" x14ac:dyDescent="0.35">
      <c r="A19" s="117">
        <v>18</v>
      </c>
      <c r="B19" s="118">
        <v>3</v>
      </c>
      <c r="C19" s="118">
        <v>201710214</v>
      </c>
      <c r="D19" s="112" t="str">
        <f t="shared" si="0"/>
        <v>보안학과</v>
      </c>
      <c r="E19" s="119" t="s">
        <v>27</v>
      </c>
      <c r="F19" s="121">
        <v>117</v>
      </c>
      <c r="G19" s="173">
        <f t="shared" si="6"/>
        <v>58.5</v>
      </c>
      <c r="H19" s="114">
        <f t="shared" si="7"/>
        <v>30</v>
      </c>
      <c r="I19" s="174">
        <f t="shared" si="8"/>
        <v>24</v>
      </c>
      <c r="J19" s="187">
        <v>71</v>
      </c>
      <c r="K19" s="173">
        <f t="shared" si="9"/>
        <v>64.55</v>
      </c>
      <c r="L19" s="114">
        <f t="shared" si="10"/>
        <v>23</v>
      </c>
      <c r="M19" s="174">
        <f t="shared" si="11"/>
        <v>31</v>
      </c>
      <c r="N19" s="183">
        <v>100</v>
      </c>
      <c r="O19" s="121">
        <v>80</v>
      </c>
      <c r="P19" s="173">
        <f t="shared" si="12"/>
        <v>72.73</v>
      </c>
      <c r="Q19" s="114">
        <f t="shared" si="13"/>
        <v>4</v>
      </c>
      <c r="R19" s="174">
        <f t="shared" si="14"/>
        <v>49</v>
      </c>
      <c r="S19" s="183">
        <v>74</v>
      </c>
      <c r="T19" s="114">
        <f t="shared" si="15"/>
        <v>12</v>
      </c>
      <c r="U19" s="114">
        <f t="shared" si="16"/>
        <v>39</v>
      </c>
      <c r="V19" s="121">
        <v>100</v>
      </c>
      <c r="W19" s="168">
        <f t="shared" si="1"/>
        <v>69.819999999999993</v>
      </c>
      <c r="X19" s="120">
        <f t="shared" si="17"/>
        <v>20</v>
      </c>
      <c r="Y19" s="169">
        <f t="shared" si="18"/>
        <v>34</v>
      </c>
      <c r="Z19" s="9">
        <f t="shared" si="19"/>
        <v>20</v>
      </c>
      <c r="AA19" s="10"/>
      <c r="AB19" s="9" t="str">
        <f t="shared" si="2"/>
        <v>2017</v>
      </c>
      <c r="AC19" s="116" t="str">
        <f t="shared" si="3"/>
        <v>102</v>
      </c>
      <c r="AD19" s="9" t="b">
        <f t="shared" si="20"/>
        <v>1</v>
      </c>
      <c r="AE19" s="9" t="str">
        <f t="shared" si="4"/>
        <v>B</v>
      </c>
      <c r="AF19" s="9" t="str">
        <f t="shared" si="5"/>
        <v>B+</v>
      </c>
      <c r="AJ19" s="143" t="s">
        <v>98</v>
      </c>
      <c r="AK19" s="88">
        <f>COUNTIFS($AC$2:$AC$54,"="&amp;AK$17, $AF$2:$AF$54,"="&amp;$AJ19)</f>
        <v>1</v>
      </c>
      <c r="AL19" s="31">
        <f t="shared" ref="AL19:AO27" si="42">COUNTIFS($AC$2:$AC$54,"="&amp;AL$17, $AF$2:$AF$54,"="&amp;$AJ19)</f>
        <v>0</v>
      </c>
      <c r="AM19" s="31">
        <f t="shared" si="42"/>
        <v>1</v>
      </c>
      <c r="AN19" s="31">
        <f t="shared" si="42"/>
        <v>0</v>
      </c>
      <c r="AO19" s="106">
        <f t="shared" si="42"/>
        <v>1</v>
      </c>
      <c r="AV19" s="211"/>
      <c r="AW19" s="205"/>
      <c r="AX19" s="41" t="s">
        <v>124</v>
      </c>
      <c r="AY19" s="56">
        <f t="shared" ref="AY19:BG19" si="43">SUMIFS($W$2:$W$54,$B$2:$B$54,"="&amp;$AW18,$AC$2:$AC$54,"="&amp;$AV$15,$AF$2:$AF$54,"="&amp;AY$2)</f>
        <v>0</v>
      </c>
      <c r="AZ19" s="42">
        <f t="shared" si="43"/>
        <v>149.42000000000002</v>
      </c>
      <c r="BA19" s="42">
        <f t="shared" si="43"/>
        <v>0</v>
      </c>
      <c r="BB19" s="42">
        <f t="shared" si="43"/>
        <v>133.43</v>
      </c>
      <c r="BC19" s="42">
        <f t="shared" si="43"/>
        <v>56.97</v>
      </c>
      <c r="BD19" s="42">
        <f t="shared" si="43"/>
        <v>0</v>
      </c>
      <c r="BE19" s="42">
        <f t="shared" si="43"/>
        <v>0</v>
      </c>
      <c r="BF19" s="42">
        <f t="shared" si="43"/>
        <v>39.770000000000003</v>
      </c>
      <c r="BG19" s="41">
        <f t="shared" si="43"/>
        <v>0</v>
      </c>
      <c r="BM19" s="248">
        <v>105</v>
      </c>
      <c r="BN19" s="71">
        <v>1</v>
      </c>
      <c r="BO19" s="89">
        <f>_xlfn.MAXIFS($W$2:$W$54,$AC$2:$AC$54,"="&amp;$BM$19,$B$2:$B$54,"="&amp;$BN19)</f>
        <v>72.69</v>
      </c>
      <c r="BP19" s="71">
        <f>_xlfn.MINIFS($W$2:$W$54,$AC$2:$AC$54,"="&amp;$BM$19,$B$2:$B$54,"="&amp;$BN19)</f>
        <v>28.25</v>
      </c>
      <c r="BR19" s="249"/>
      <c r="BS19" s="80">
        <v>4</v>
      </c>
      <c r="BT19" s="99">
        <f>_xlfn.MAXIFS($W$2:$W$54,$AC$2:$AC$54,"="&amp;$BR$16,$B$2:$B$54,"="&amp;$BS19,$AB$2:$AB$54,"="&amp;BT$2)</f>
        <v>0</v>
      </c>
      <c r="BU19" s="100">
        <f>_xlfn.MINIFS($W$2:$W$54,$AC$2:$AC$54,"="&amp;$BR$16,$B$2:$B$54,"="&amp;$BS19,$AB$2:$AB$54,"="&amp;BT$2)</f>
        <v>0</v>
      </c>
      <c r="BV19" s="99">
        <f>_xlfn.MAXIFS($W$2:$W$54,$AC$2:$AC$54,"="&amp;$BR$16,$B$2:$B$54,"="&amp;$BS19,$AB$2:$AB$54,"="&amp;BV$2)</f>
        <v>0</v>
      </c>
      <c r="BW19" s="100">
        <f>_xlfn.MINIFS($W$2:$W$54,$AC$2:$AC$54,"="&amp;$BR$16,$B$2:$B$54,"="&amp;$BS19,$AB$2:$AB$54,"="&amp;BV$2)</f>
        <v>0</v>
      </c>
      <c r="BX19" s="99">
        <f>_xlfn.MAXIFS($W$2:$W$54,$AC$2:$AC$54,"="&amp;$BR$16,$B$2:$B$54,"="&amp;$BS19,$AB$2:$AB$54,"="&amp;BX$2)</f>
        <v>0</v>
      </c>
      <c r="BY19" s="100">
        <f>_xlfn.MINIFS($W$2:$W$54,$AC$2:$AC$54,"="&amp;$BR$16,$B$2:$B$54,"="&amp;$BS19,$AB$2:$AB$54,"="&amp;BX$2)</f>
        <v>0</v>
      </c>
      <c r="BZ19" s="99">
        <f>_xlfn.MAXIFS($W$2:$W$54,$AC$2:$AC$54,"="&amp;$BR$16,$B$2:$B$54,"="&amp;$BS19,$AB$2:$AB$54,"="&amp;BZ$2)</f>
        <v>64.66</v>
      </c>
      <c r="CA19" s="100">
        <f>_xlfn.MINIFS($W$2:$W$54,$AC$2:$AC$54,"="&amp;$BR$16,$B$2:$B$54,"="&amp;$BS19,$AB$2:$AB$54,"="&amp;BZ$2)</f>
        <v>48.16</v>
      </c>
    </row>
    <row r="20" spans="1:79" ht="19.899999999999999" customHeight="1" thickTop="1" x14ac:dyDescent="0.3">
      <c r="A20" s="117">
        <v>19</v>
      </c>
      <c r="B20" s="118">
        <v>2</v>
      </c>
      <c r="C20" s="118">
        <v>201810117</v>
      </c>
      <c r="D20" s="112" t="str">
        <f t="shared" si="0"/>
        <v>컴퓨터학과</v>
      </c>
      <c r="E20" s="119" t="s">
        <v>28</v>
      </c>
      <c r="F20" s="121">
        <v>139</v>
      </c>
      <c r="G20" s="173">
        <f t="shared" si="6"/>
        <v>69.5</v>
      </c>
      <c r="H20" s="114">
        <f t="shared" si="7"/>
        <v>16</v>
      </c>
      <c r="I20" s="174">
        <f t="shared" si="8"/>
        <v>38</v>
      </c>
      <c r="J20" s="187">
        <v>89</v>
      </c>
      <c r="K20" s="173">
        <f t="shared" si="9"/>
        <v>80.91</v>
      </c>
      <c r="L20" s="114">
        <f t="shared" si="10"/>
        <v>9</v>
      </c>
      <c r="M20" s="174">
        <f t="shared" si="11"/>
        <v>44</v>
      </c>
      <c r="N20" s="183">
        <v>96.67</v>
      </c>
      <c r="O20" s="121">
        <v>60</v>
      </c>
      <c r="P20" s="173">
        <f t="shared" si="12"/>
        <v>54.55</v>
      </c>
      <c r="Q20" s="114">
        <f t="shared" si="13"/>
        <v>18</v>
      </c>
      <c r="R20" s="174">
        <f t="shared" si="14"/>
        <v>34</v>
      </c>
      <c r="S20" s="183">
        <v>87</v>
      </c>
      <c r="T20" s="114">
        <f t="shared" si="15"/>
        <v>6</v>
      </c>
      <c r="U20" s="114">
        <f t="shared" si="16"/>
        <v>48</v>
      </c>
      <c r="V20" s="121">
        <v>100</v>
      </c>
      <c r="W20" s="168">
        <f t="shared" si="1"/>
        <v>77.989999999999995</v>
      </c>
      <c r="X20" s="120">
        <f t="shared" si="17"/>
        <v>6</v>
      </c>
      <c r="Y20" s="169">
        <f t="shared" si="18"/>
        <v>48</v>
      </c>
      <c r="Z20" s="9">
        <f t="shared" si="19"/>
        <v>6</v>
      </c>
      <c r="AA20" s="10"/>
      <c r="AB20" s="9" t="str">
        <f t="shared" si="2"/>
        <v>2018</v>
      </c>
      <c r="AC20" s="116" t="str">
        <f t="shared" si="3"/>
        <v>101</v>
      </c>
      <c r="AD20" s="9" t="b">
        <f t="shared" si="20"/>
        <v>1</v>
      </c>
      <c r="AE20" s="9" t="str">
        <f t="shared" si="4"/>
        <v>A</v>
      </c>
      <c r="AF20" s="9" t="str">
        <f t="shared" si="5"/>
        <v>A0</v>
      </c>
      <c r="AJ20" s="144" t="s">
        <v>99</v>
      </c>
      <c r="AK20" s="89">
        <f t="shared" ref="AK20:AK27" si="44">COUNTIFS($AC$2:$AC$54,"="&amp;AK$17, $AF$2:$AF$54,"="&amp;$AJ20)</f>
        <v>4</v>
      </c>
      <c r="AL20" s="145">
        <f t="shared" si="42"/>
        <v>2</v>
      </c>
      <c r="AM20" s="145">
        <f t="shared" si="42"/>
        <v>2</v>
      </c>
      <c r="AN20" s="145">
        <f t="shared" si="42"/>
        <v>0</v>
      </c>
      <c r="AO20" s="71">
        <f t="shared" si="42"/>
        <v>3</v>
      </c>
      <c r="AV20" s="211"/>
      <c r="AW20" s="207"/>
      <c r="AX20" s="43" t="s">
        <v>125</v>
      </c>
      <c r="AY20" s="57" t="str">
        <f t="shared" ref="AY20:BG20" si="45">IFERROR(ROUND(AVERAGEIFS($W$2:$W$54,$B$2:$B$54,"="&amp;$AW18,$AC$2:$AC$54,"="&amp;$AV$15,$AF$2:$AF$54,"="&amp;AY$2),2),"-")</f>
        <v>-</v>
      </c>
      <c r="AZ20" s="44">
        <f t="shared" si="45"/>
        <v>74.709999999999994</v>
      </c>
      <c r="BA20" s="44" t="str">
        <f t="shared" si="45"/>
        <v>-</v>
      </c>
      <c r="BB20" s="44">
        <f t="shared" si="45"/>
        <v>66.72</v>
      </c>
      <c r="BC20" s="44">
        <f t="shared" si="45"/>
        <v>56.97</v>
      </c>
      <c r="BD20" s="44" t="str">
        <f t="shared" si="45"/>
        <v>-</v>
      </c>
      <c r="BE20" s="44" t="str">
        <f t="shared" si="45"/>
        <v>-</v>
      </c>
      <c r="BF20" s="44">
        <f t="shared" si="45"/>
        <v>39.770000000000003</v>
      </c>
      <c r="BG20" s="43" t="str">
        <f t="shared" si="45"/>
        <v>-</v>
      </c>
      <c r="BM20" s="248"/>
      <c r="BN20" s="73">
        <v>2</v>
      </c>
      <c r="BO20" s="93">
        <f>_xlfn.MAXIFS($W$2:$W$54,$AC$2:$AC$54,"="&amp;$BM$19,$B$2:$B$54,"="&amp;$BN20)</f>
        <v>87.02</v>
      </c>
      <c r="BP20" s="73">
        <f>_xlfn.MINIFS($W$2:$W$54,$AC$2:$AC$54,"="&amp;$BM$19,$B$2:$B$54,"="&amp;$BN20)</f>
        <v>43.86</v>
      </c>
      <c r="BR20" s="248">
        <v>105</v>
      </c>
      <c r="BS20" s="71">
        <v>1</v>
      </c>
      <c r="BT20" s="89">
        <f>_xlfn.MAXIFS($W$2:$W$54,$AC$2:$AC$54,"="&amp;$BR$20,$B$2:$B$54,"="&amp;$BS20,$AB$2:$AB$54,"="&amp;BT$2)</f>
        <v>72.69</v>
      </c>
      <c r="BU20" s="71">
        <f>_xlfn.MINIFS($W$2:$W$54,$AC$2:$AC$54,"="&amp;$BR$20,$B$2:$B$54,"="&amp;$BS20,$AB$2:$AB$54,"="&amp;BT$2)</f>
        <v>72.69</v>
      </c>
      <c r="BV20" s="70">
        <f>_xlfn.MAXIFS($W$2:$W$54,$AC$2:$AC$54,"="&amp;$BR$20,$B$2:$B$54,"="&amp;$BS20,$AB$2:$AB$54,"="&amp;BV$2)</f>
        <v>28.25</v>
      </c>
      <c r="BW20" s="71">
        <f>_xlfn.MINIFS($W$2:$W$54,$AC$2:$AC$54,"="&amp;$BR$20,$B$2:$B$54,"="&amp;$BS20,$AB$2:$AB$54,"="&amp;BV$2)</f>
        <v>28.25</v>
      </c>
      <c r="BX20" s="70">
        <f>_xlfn.MAXIFS($W$2:$W$54,$AC$2:$AC$54,"="&amp;$BR$20,$B$2:$B$54,"="&amp;$BS20,$AB$2:$AB$54,"="&amp;BX$2)</f>
        <v>0</v>
      </c>
      <c r="BY20" s="71">
        <f>_xlfn.MINIFS($W$2:$W$54,$AC$2:$AC$54,"="&amp;$BR$20,$B$2:$B$54,"="&amp;$BS20,$AB$2:$AB$54,"="&amp;BX$2)</f>
        <v>0</v>
      </c>
      <c r="BZ20" s="70">
        <f>_xlfn.MAXIFS($W$2:$W$54,$AC$2:$AC$54,"="&amp;$BR$20,$B$2:$B$54,"="&amp;$BS20,$AB$2:$AB$54,"="&amp;BZ$2)</f>
        <v>0</v>
      </c>
      <c r="CA20" s="71">
        <f>_xlfn.MINIFS($W$2:$W$54,$AC$2:$AC$54,"="&amp;$BR$20,$B$2:$B$54,"="&amp;$BS20,$AB$2:$AB$54,"="&amp;BZ$2)</f>
        <v>0</v>
      </c>
    </row>
    <row r="21" spans="1:79" ht="19.899999999999999" customHeight="1" x14ac:dyDescent="0.3">
      <c r="A21" s="117">
        <v>20</v>
      </c>
      <c r="B21" s="118">
        <v>4</v>
      </c>
      <c r="C21" s="118">
        <v>201610118</v>
      </c>
      <c r="D21" s="112" t="str">
        <f t="shared" si="0"/>
        <v>컴퓨터학과</v>
      </c>
      <c r="E21" s="119" t="s">
        <v>29</v>
      </c>
      <c r="F21" s="121">
        <v>145</v>
      </c>
      <c r="G21" s="173">
        <f t="shared" si="6"/>
        <v>72.5</v>
      </c>
      <c r="H21" s="114">
        <f t="shared" si="7"/>
        <v>11</v>
      </c>
      <c r="I21" s="174">
        <f t="shared" si="8"/>
        <v>43</v>
      </c>
      <c r="J21" s="187">
        <v>93</v>
      </c>
      <c r="K21" s="173">
        <f t="shared" si="9"/>
        <v>84.55</v>
      </c>
      <c r="L21" s="114">
        <f t="shared" si="10"/>
        <v>5</v>
      </c>
      <c r="M21" s="174">
        <f t="shared" si="11"/>
        <v>49</v>
      </c>
      <c r="N21" s="183">
        <v>98.89</v>
      </c>
      <c r="O21" s="121">
        <v>74</v>
      </c>
      <c r="P21" s="173">
        <f t="shared" si="12"/>
        <v>67.27</v>
      </c>
      <c r="Q21" s="114">
        <f t="shared" si="13"/>
        <v>8</v>
      </c>
      <c r="R21" s="174">
        <f t="shared" si="14"/>
        <v>45</v>
      </c>
      <c r="S21" s="183">
        <v>50</v>
      </c>
      <c r="T21" s="114">
        <f t="shared" si="15"/>
        <v>30</v>
      </c>
      <c r="U21" s="114">
        <f t="shared" si="16"/>
        <v>24</v>
      </c>
      <c r="V21" s="121">
        <v>100</v>
      </c>
      <c r="W21" s="168">
        <f t="shared" si="1"/>
        <v>77.959999999999994</v>
      </c>
      <c r="X21" s="120">
        <f t="shared" si="17"/>
        <v>7</v>
      </c>
      <c r="Y21" s="169">
        <f t="shared" si="18"/>
        <v>47</v>
      </c>
      <c r="Z21" s="9">
        <f>_xlfn.RANK.AVG(W21,$W$2:$W$54,0)</f>
        <v>7</v>
      </c>
      <c r="AA21" s="10"/>
      <c r="AB21" s="9" t="str">
        <f t="shared" si="2"/>
        <v>2016</v>
      </c>
      <c r="AC21" s="116" t="str">
        <f t="shared" si="3"/>
        <v>101</v>
      </c>
      <c r="AD21" s="9" t="b">
        <f t="shared" si="20"/>
        <v>1</v>
      </c>
      <c r="AE21" s="9" t="str">
        <f t="shared" si="4"/>
        <v>A</v>
      </c>
      <c r="AF21" s="9" t="str">
        <f t="shared" si="5"/>
        <v>A0</v>
      </c>
      <c r="AJ21" s="144" t="s">
        <v>100</v>
      </c>
      <c r="AK21" s="89">
        <f t="shared" si="44"/>
        <v>2</v>
      </c>
      <c r="AL21" s="145">
        <f t="shared" si="42"/>
        <v>3</v>
      </c>
      <c r="AM21" s="145">
        <f t="shared" si="42"/>
        <v>1</v>
      </c>
      <c r="AN21" s="145">
        <f t="shared" si="42"/>
        <v>1</v>
      </c>
      <c r="AO21" s="71">
        <f t="shared" si="42"/>
        <v>2</v>
      </c>
      <c r="AV21" s="211"/>
      <c r="AW21" s="204">
        <v>3</v>
      </c>
      <c r="AX21" s="47" t="s">
        <v>123</v>
      </c>
      <c r="AY21" s="59">
        <f t="shared" ref="AY21:BG21" si="46">COUNTIFS($B$2:$B$54,"="&amp;$AW21,$AC$2:$AC$54,"="&amp;$AV$15,$AF$2:$AF$54,"="&amp;AY$2)</f>
        <v>0</v>
      </c>
      <c r="AZ21" s="48">
        <f t="shared" si="46"/>
        <v>0</v>
      </c>
      <c r="BA21" s="48">
        <f t="shared" si="46"/>
        <v>2</v>
      </c>
      <c r="BB21" s="48">
        <f t="shared" si="46"/>
        <v>0</v>
      </c>
      <c r="BC21" s="48">
        <f t="shared" si="46"/>
        <v>1</v>
      </c>
      <c r="BD21" s="48">
        <f t="shared" si="46"/>
        <v>0</v>
      </c>
      <c r="BE21" s="48">
        <f t="shared" si="46"/>
        <v>0</v>
      </c>
      <c r="BF21" s="48">
        <f t="shared" si="46"/>
        <v>0</v>
      </c>
      <c r="BG21" s="47">
        <f t="shared" si="46"/>
        <v>0</v>
      </c>
      <c r="BM21" s="248"/>
      <c r="BN21" s="73">
        <v>3</v>
      </c>
      <c r="BO21" s="93">
        <f>_xlfn.MAXIFS($W$2:$W$54,$AC$2:$AC$54,"="&amp;$BM$19,$B$2:$B$54,"="&amp;$BN21)</f>
        <v>68.150000000000006</v>
      </c>
      <c r="BP21" s="73">
        <f>_xlfn.MINIFS($W$2:$W$54,$AC$2:$AC$54,"="&amp;$BM$19,$B$2:$B$54,"="&amp;$BN21)</f>
        <v>67.44</v>
      </c>
      <c r="BR21" s="248"/>
      <c r="BS21" s="73">
        <v>2</v>
      </c>
      <c r="BT21" s="89">
        <f>_xlfn.MAXIFS($W$2:$W$54,$AC$2:$AC$54,"="&amp;$BR$20,$B$2:$B$54,"="&amp;$BS21,$AB$2:$AB$54,"="&amp;BT$2)</f>
        <v>87.02</v>
      </c>
      <c r="BU21" s="71">
        <f>_xlfn.MINIFS($W$2:$W$54,$AC$2:$AC$54,"="&amp;$BR$20,$B$2:$B$54,"="&amp;$BS21,$AB$2:$AB$54,"="&amp;BT$2)</f>
        <v>43.86</v>
      </c>
      <c r="BV21" s="70">
        <f>_xlfn.MAXIFS($W$2:$W$54,$AC$2:$AC$54,"="&amp;$BR$20,$B$2:$B$54,"="&amp;$BS21,$AB$2:$AB$54,"="&amp;BV$2)</f>
        <v>0</v>
      </c>
      <c r="BW21" s="71">
        <f>_xlfn.MINIFS($W$2:$W$54,$AC$2:$AC$54,"="&amp;$BR$20,$B$2:$B$54,"="&amp;$BS21,$AB$2:$AB$54,"="&amp;BV$2)</f>
        <v>0</v>
      </c>
      <c r="BX21" s="70">
        <f>_xlfn.MAXIFS($W$2:$W$54,$AC$2:$AC$54,"="&amp;$BR$20,$B$2:$B$54,"="&amp;$BS21,$AB$2:$AB$54,"="&amp;BX$2)</f>
        <v>70.52</v>
      </c>
      <c r="BY21" s="71">
        <f>_xlfn.MINIFS($W$2:$W$54,$AC$2:$AC$54,"="&amp;$BR$20,$B$2:$B$54,"="&amp;$BS21,$AB$2:$AB$54,"="&amp;BX$2)</f>
        <v>70.52</v>
      </c>
      <c r="BZ21" s="70">
        <f>_xlfn.MAXIFS($W$2:$W$54,$AC$2:$AC$54,"="&amp;$BR$20,$B$2:$B$54,"="&amp;$BS21,$AB$2:$AB$54,"="&amp;BZ$2)</f>
        <v>0</v>
      </c>
      <c r="CA21" s="71">
        <f>_xlfn.MINIFS($W$2:$W$54,$AC$2:$AC$54,"="&amp;$BR$20,$B$2:$B$54,"="&amp;$BS21,$AB$2:$AB$54,"="&amp;BZ$2)</f>
        <v>0</v>
      </c>
    </row>
    <row r="22" spans="1:79" ht="19.899999999999999" customHeight="1" thickBot="1" x14ac:dyDescent="0.35">
      <c r="A22" s="117">
        <v>21</v>
      </c>
      <c r="B22" s="118">
        <v>4</v>
      </c>
      <c r="C22" s="118">
        <v>201510420</v>
      </c>
      <c r="D22" s="112" t="str">
        <f t="shared" si="0"/>
        <v>게임학과</v>
      </c>
      <c r="E22" s="119" t="s">
        <v>30</v>
      </c>
      <c r="F22" s="121">
        <v>82</v>
      </c>
      <c r="G22" s="173">
        <f t="shared" si="6"/>
        <v>41</v>
      </c>
      <c r="H22" s="114">
        <f t="shared" si="7"/>
        <v>42</v>
      </c>
      <c r="I22" s="174">
        <f t="shared" si="8"/>
        <v>11</v>
      </c>
      <c r="J22" s="187">
        <v>50</v>
      </c>
      <c r="K22" s="173">
        <f t="shared" si="9"/>
        <v>45.45</v>
      </c>
      <c r="L22" s="114">
        <f t="shared" si="10"/>
        <v>42</v>
      </c>
      <c r="M22" s="174">
        <f t="shared" si="11"/>
        <v>12</v>
      </c>
      <c r="N22" s="183">
        <v>94.44</v>
      </c>
      <c r="O22" s="121">
        <v>54</v>
      </c>
      <c r="P22" s="173">
        <f t="shared" si="12"/>
        <v>49.09</v>
      </c>
      <c r="Q22" s="114">
        <f t="shared" si="13"/>
        <v>31</v>
      </c>
      <c r="R22" s="174">
        <f t="shared" si="14"/>
        <v>22</v>
      </c>
      <c r="S22" s="183">
        <v>26</v>
      </c>
      <c r="T22" s="114">
        <f t="shared" si="15"/>
        <v>42</v>
      </c>
      <c r="U22" s="114">
        <f t="shared" si="16"/>
        <v>11</v>
      </c>
      <c r="V22" s="121">
        <v>60</v>
      </c>
      <c r="W22" s="168">
        <f t="shared" si="1"/>
        <v>48.16</v>
      </c>
      <c r="X22" s="120">
        <f t="shared" si="17"/>
        <v>41</v>
      </c>
      <c r="Y22" s="169">
        <f t="shared" si="18"/>
        <v>13</v>
      </c>
      <c r="Z22" s="9">
        <f t="shared" si="19"/>
        <v>41</v>
      </c>
      <c r="AA22" s="10" t="s">
        <v>71</v>
      </c>
      <c r="AB22" s="9" t="str">
        <f t="shared" si="2"/>
        <v>2015</v>
      </c>
      <c r="AC22" s="116" t="str">
        <f t="shared" si="3"/>
        <v>104</v>
      </c>
      <c r="AD22" s="9" t="b">
        <f t="shared" si="20"/>
        <v>1</v>
      </c>
      <c r="AE22" s="9" t="str">
        <f t="shared" si="4"/>
        <v>C</v>
      </c>
      <c r="AF22" s="9" t="str">
        <f t="shared" si="5"/>
        <v>C0</v>
      </c>
      <c r="AJ22" s="144" t="s">
        <v>101</v>
      </c>
      <c r="AK22" s="89">
        <f t="shared" si="44"/>
        <v>0</v>
      </c>
      <c r="AL22" s="145">
        <f t="shared" si="42"/>
        <v>2</v>
      </c>
      <c r="AM22" s="145">
        <f t="shared" si="42"/>
        <v>2</v>
      </c>
      <c r="AN22" s="145">
        <f t="shared" si="42"/>
        <v>2</v>
      </c>
      <c r="AO22" s="71">
        <f t="shared" si="42"/>
        <v>2</v>
      </c>
      <c r="AV22" s="211"/>
      <c r="AW22" s="205"/>
      <c r="AX22" s="41" t="s">
        <v>124</v>
      </c>
      <c r="AY22" s="56">
        <f t="shared" ref="AY22:BG22" si="47">SUMIFS($W$2:$W$54,$B$2:$B$54,"="&amp;$AW21,$AC$2:$AC$54,"="&amp;$AV$15,$AF$2:$AF$54,"="&amp;AY$2)</f>
        <v>0</v>
      </c>
      <c r="AZ22" s="42">
        <f t="shared" si="47"/>
        <v>0</v>
      </c>
      <c r="BA22" s="42">
        <f t="shared" si="47"/>
        <v>142.27999999999997</v>
      </c>
      <c r="BB22" s="42">
        <f t="shared" si="47"/>
        <v>0</v>
      </c>
      <c r="BC22" s="42">
        <f t="shared" si="47"/>
        <v>60.36</v>
      </c>
      <c r="BD22" s="42">
        <f t="shared" si="47"/>
        <v>0</v>
      </c>
      <c r="BE22" s="42">
        <f t="shared" si="47"/>
        <v>0</v>
      </c>
      <c r="BF22" s="42">
        <f t="shared" si="47"/>
        <v>0</v>
      </c>
      <c r="BG22" s="41">
        <f t="shared" si="47"/>
        <v>0</v>
      </c>
      <c r="BM22" s="250"/>
      <c r="BN22" s="33">
        <v>4</v>
      </c>
      <c r="BO22" s="76">
        <f>_xlfn.MAXIFS($W$2:$W$54,$AC$2:$AC$54,"="&amp;$BM$19,$B$2:$B$54,"="&amp;$BN22)</f>
        <v>0</v>
      </c>
      <c r="BP22" s="33">
        <f>_xlfn.MINIFS($W$2:$W$54,$AC$2:$AC$54,"="&amp;$BM$19,$B$2:$B$54,"="&amp;$BN22)</f>
        <v>0</v>
      </c>
      <c r="BR22" s="248"/>
      <c r="BS22" s="73">
        <v>3</v>
      </c>
      <c r="BT22" s="89">
        <f>_xlfn.MAXIFS($W$2:$W$54,$AC$2:$AC$54,"="&amp;$BR$20,$B$2:$B$54,"="&amp;$BS22,$AB$2:$AB$54,"="&amp;BT$2)</f>
        <v>0</v>
      </c>
      <c r="BU22" s="71">
        <f>_xlfn.MINIFS($W$2:$W$54,$AC$2:$AC$54,"="&amp;$BR$20,$B$2:$B$54,"="&amp;$BS22,$AB$2:$AB$54,"="&amp;BT$2)</f>
        <v>0</v>
      </c>
      <c r="BV22" s="70">
        <f>_xlfn.MAXIFS($W$2:$W$54,$AC$2:$AC$54,"="&amp;$BR$20,$B$2:$B$54,"="&amp;$BS22,$AB$2:$AB$54,"="&amp;BV$2)</f>
        <v>0</v>
      </c>
      <c r="BW22" s="71">
        <f>_xlfn.MINIFS($W$2:$W$54,$AC$2:$AC$54,"="&amp;$BR$20,$B$2:$B$54,"="&amp;$BS22,$AB$2:$AB$54,"="&amp;BV$2)</f>
        <v>0</v>
      </c>
      <c r="BX22" s="70">
        <f>_xlfn.MAXIFS($W$2:$W$54,$AC$2:$AC$54,"="&amp;$BR$20,$B$2:$B$54,"="&amp;$BS22,$AB$2:$AB$54,"="&amp;BX$2)</f>
        <v>0</v>
      </c>
      <c r="BY22" s="71">
        <f>_xlfn.MINIFS($W$2:$W$54,$AC$2:$AC$54,"="&amp;$BR$20,$B$2:$B$54,"="&amp;$BS22,$AB$2:$AB$54,"="&amp;BX$2)</f>
        <v>0</v>
      </c>
      <c r="BZ22" s="70">
        <f>_xlfn.MAXIFS($W$2:$W$54,$AC$2:$AC$54,"="&amp;$BR$20,$B$2:$B$54,"="&amp;$BS22,$AB$2:$AB$54,"="&amp;BZ$2)</f>
        <v>68.150000000000006</v>
      </c>
      <c r="CA22" s="71">
        <f>_xlfn.MINIFS($W$2:$W$54,$AC$2:$AC$54,"="&amp;$BR$20,$B$2:$B$54,"="&amp;$BS22,$AB$2:$AB$54,"="&amp;BZ$2)</f>
        <v>67.44</v>
      </c>
    </row>
    <row r="23" spans="1:79" ht="19.899999999999999" customHeight="1" thickTop="1" thickBot="1" x14ac:dyDescent="0.35">
      <c r="A23" s="117">
        <v>22</v>
      </c>
      <c r="B23" s="118">
        <v>2</v>
      </c>
      <c r="C23" s="118">
        <v>201810321</v>
      </c>
      <c r="D23" s="112" t="str">
        <f t="shared" si="0"/>
        <v>전자학과</v>
      </c>
      <c r="E23" s="119" t="s">
        <v>31</v>
      </c>
      <c r="F23" s="121">
        <v>131</v>
      </c>
      <c r="G23" s="173">
        <f t="shared" si="6"/>
        <v>65.5</v>
      </c>
      <c r="H23" s="114">
        <f t="shared" si="7"/>
        <v>20</v>
      </c>
      <c r="I23" s="174">
        <f t="shared" si="8"/>
        <v>33</v>
      </c>
      <c r="J23" s="187">
        <v>56</v>
      </c>
      <c r="K23" s="173">
        <f t="shared" si="9"/>
        <v>50.91</v>
      </c>
      <c r="L23" s="114">
        <f t="shared" si="10"/>
        <v>38</v>
      </c>
      <c r="M23" s="174">
        <f t="shared" si="11"/>
        <v>15</v>
      </c>
      <c r="N23" s="183">
        <v>94.44</v>
      </c>
      <c r="O23" s="121">
        <v>47</v>
      </c>
      <c r="P23" s="173">
        <f t="shared" si="12"/>
        <v>42.73</v>
      </c>
      <c r="Q23" s="114">
        <f t="shared" si="13"/>
        <v>37</v>
      </c>
      <c r="R23" s="174">
        <f t="shared" si="14"/>
        <v>15</v>
      </c>
      <c r="S23" s="183">
        <v>48</v>
      </c>
      <c r="T23" s="114">
        <f t="shared" si="15"/>
        <v>32</v>
      </c>
      <c r="U23" s="114">
        <f t="shared" si="16"/>
        <v>21</v>
      </c>
      <c r="V23" s="121">
        <v>80</v>
      </c>
      <c r="W23" s="168">
        <f t="shared" si="1"/>
        <v>59.99</v>
      </c>
      <c r="X23" s="120">
        <f t="shared" si="17"/>
        <v>34</v>
      </c>
      <c r="Y23" s="169">
        <f t="shared" si="18"/>
        <v>20</v>
      </c>
      <c r="Z23" s="9">
        <f t="shared" si="19"/>
        <v>34</v>
      </c>
      <c r="AA23" s="10"/>
      <c r="AB23" s="9" t="str">
        <f t="shared" si="2"/>
        <v>2018</v>
      </c>
      <c r="AC23" s="116" t="str">
        <f t="shared" si="3"/>
        <v>103</v>
      </c>
      <c r="AD23" s="9" t="b">
        <f t="shared" si="20"/>
        <v>1</v>
      </c>
      <c r="AE23" s="9" t="str">
        <f t="shared" si="4"/>
        <v>C</v>
      </c>
      <c r="AF23" s="9" t="str">
        <f t="shared" si="5"/>
        <v>C+</v>
      </c>
      <c r="AJ23" s="144" t="s">
        <v>102</v>
      </c>
      <c r="AK23" s="89">
        <f t="shared" si="44"/>
        <v>3</v>
      </c>
      <c r="AL23" s="145">
        <f t="shared" si="42"/>
        <v>2</v>
      </c>
      <c r="AM23" s="145">
        <f t="shared" si="42"/>
        <v>1</v>
      </c>
      <c r="AN23" s="145">
        <f t="shared" si="42"/>
        <v>0</v>
      </c>
      <c r="AO23" s="71">
        <f t="shared" si="42"/>
        <v>0</v>
      </c>
      <c r="AV23" s="211"/>
      <c r="AW23" s="207"/>
      <c r="AX23" s="43" t="s">
        <v>125</v>
      </c>
      <c r="AY23" s="57" t="str">
        <f t="shared" ref="AY23:BG23" si="48">IFERROR(ROUND(AVERAGEIFS($W$2:$W$54,$B$2:$B$54,"="&amp;$AW21,$AC$2:$AC$54,"="&amp;$AV$15,$AF$2:$AF$54,"="&amp;AY$2),2),"-")</f>
        <v>-</v>
      </c>
      <c r="AZ23" s="44" t="str">
        <f t="shared" si="48"/>
        <v>-</v>
      </c>
      <c r="BA23" s="44">
        <f t="shared" si="48"/>
        <v>71.14</v>
      </c>
      <c r="BB23" s="44" t="str">
        <f t="shared" si="48"/>
        <v>-</v>
      </c>
      <c r="BC23" s="44">
        <f t="shared" si="48"/>
        <v>60.36</v>
      </c>
      <c r="BD23" s="44" t="str">
        <f t="shared" si="48"/>
        <v>-</v>
      </c>
      <c r="BE23" s="44" t="str">
        <f t="shared" si="48"/>
        <v>-</v>
      </c>
      <c r="BF23" s="44" t="str">
        <f t="shared" si="48"/>
        <v>-</v>
      </c>
      <c r="BG23" s="43" t="str">
        <f t="shared" si="48"/>
        <v>-</v>
      </c>
      <c r="BR23" s="250"/>
      <c r="BS23" s="33">
        <v>4</v>
      </c>
      <c r="BT23" s="101">
        <f>_xlfn.MAXIFS($W$2:$W$54,$AC$2:$AC$54,"="&amp;$BR$20,$B$2:$B$54,"="&amp;$BS23,$AB$2:$AB$54,"="&amp;BT$2)</f>
        <v>0</v>
      </c>
      <c r="BU23" s="90">
        <f>_xlfn.MINIFS($W$2:$W$54,$AC$2:$AC$54,"="&amp;$BR$20,$B$2:$B$54,"="&amp;$BS23,$AB$2:$AB$54,"="&amp;BT$2)</f>
        <v>0</v>
      </c>
      <c r="BV23" s="96">
        <f>_xlfn.MAXIFS($W$2:$W$54,$AC$2:$AC$54,"="&amp;$BR$20,$B$2:$B$54,"="&amp;$BS23,$AB$2:$AB$54,"="&amp;BV$2)</f>
        <v>0</v>
      </c>
      <c r="BW23" s="90">
        <f>_xlfn.MINIFS($W$2:$W$54,$AC$2:$AC$54,"="&amp;$BR$20,$B$2:$B$54,"="&amp;$BS23,$AB$2:$AB$54,"="&amp;BV$2)</f>
        <v>0</v>
      </c>
      <c r="BX23" s="96">
        <f>_xlfn.MAXIFS($W$2:$W$54,$AC$2:$AC$54,"="&amp;$BR$20,$B$2:$B$54,"="&amp;$BS23,$AB$2:$AB$54,"="&amp;BX$2)</f>
        <v>0</v>
      </c>
      <c r="BY23" s="90">
        <f>_xlfn.MINIFS($W$2:$W$54,$AC$2:$AC$54,"="&amp;$BR$20,$B$2:$B$54,"="&amp;$BS23,$AB$2:$AB$54,"="&amp;BX$2)</f>
        <v>0</v>
      </c>
      <c r="BZ23" s="96">
        <f>_xlfn.MAXIFS($W$2:$W$54,$AC$2:$AC$54,"="&amp;$BR$20,$B$2:$B$54,"="&amp;$BS23,$AB$2:$AB$54,"="&amp;BZ$2)</f>
        <v>0</v>
      </c>
      <c r="CA23" s="90">
        <f>_xlfn.MINIFS($W$2:$W$54,$AC$2:$AC$54,"="&amp;$BR$20,$B$2:$B$54,"="&amp;$BS23,$AB$2:$AB$54,"="&amp;BZ$2)</f>
        <v>0</v>
      </c>
    </row>
    <row r="24" spans="1:79" ht="19.899999999999999" customHeight="1" thickTop="1" x14ac:dyDescent="0.3">
      <c r="A24" s="117">
        <v>23</v>
      </c>
      <c r="B24" s="118">
        <v>3</v>
      </c>
      <c r="C24" s="118">
        <v>201610124</v>
      </c>
      <c r="D24" s="112" t="str">
        <f t="shared" si="0"/>
        <v>컴퓨터학과</v>
      </c>
      <c r="E24" s="119" t="s">
        <v>32</v>
      </c>
      <c r="F24" s="121">
        <v>111</v>
      </c>
      <c r="G24" s="173">
        <f t="shared" si="6"/>
        <v>55.5</v>
      </c>
      <c r="H24" s="114">
        <f t="shared" si="7"/>
        <v>33</v>
      </c>
      <c r="I24" s="174">
        <f t="shared" si="8"/>
        <v>20</v>
      </c>
      <c r="J24" s="187">
        <v>60</v>
      </c>
      <c r="K24" s="173">
        <f t="shared" si="9"/>
        <v>54.55</v>
      </c>
      <c r="L24" s="114">
        <f t="shared" si="10"/>
        <v>34</v>
      </c>
      <c r="M24" s="174">
        <f t="shared" si="11"/>
        <v>20</v>
      </c>
      <c r="N24" s="183">
        <v>94.44</v>
      </c>
      <c r="O24" s="121">
        <v>47</v>
      </c>
      <c r="P24" s="173">
        <f t="shared" si="12"/>
        <v>42.73</v>
      </c>
      <c r="Q24" s="114">
        <f t="shared" si="13"/>
        <v>37</v>
      </c>
      <c r="R24" s="174">
        <f t="shared" si="14"/>
        <v>15</v>
      </c>
      <c r="S24" s="183">
        <v>30</v>
      </c>
      <c r="T24" s="114">
        <f t="shared" si="15"/>
        <v>39</v>
      </c>
      <c r="U24" s="114">
        <f t="shared" si="16"/>
        <v>15</v>
      </c>
      <c r="V24" s="121">
        <v>80</v>
      </c>
      <c r="W24" s="168">
        <f t="shared" si="1"/>
        <v>56.46</v>
      </c>
      <c r="X24" s="120">
        <f t="shared" si="17"/>
        <v>36</v>
      </c>
      <c r="Y24" s="169">
        <f t="shared" si="18"/>
        <v>18</v>
      </c>
      <c r="Z24" s="9">
        <f t="shared" si="19"/>
        <v>36</v>
      </c>
      <c r="AA24" s="10"/>
      <c r="AB24" s="9" t="str">
        <f t="shared" si="2"/>
        <v>2016</v>
      </c>
      <c r="AC24" s="116" t="str">
        <f t="shared" si="3"/>
        <v>101</v>
      </c>
      <c r="AD24" s="9" t="b">
        <f t="shared" si="20"/>
        <v>1</v>
      </c>
      <c r="AE24" s="9" t="str">
        <f t="shared" si="4"/>
        <v>C</v>
      </c>
      <c r="AF24" s="9" t="str">
        <f t="shared" si="5"/>
        <v>C+</v>
      </c>
      <c r="AJ24" s="144" t="s">
        <v>103</v>
      </c>
      <c r="AK24" s="89">
        <f t="shared" si="44"/>
        <v>2</v>
      </c>
      <c r="AL24" s="145">
        <f t="shared" si="42"/>
        <v>0</v>
      </c>
      <c r="AM24" s="145">
        <f t="shared" si="42"/>
        <v>1</v>
      </c>
      <c r="AN24" s="145">
        <f t="shared" si="42"/>
        <v>2</v>
      </c>
      <c r="AO24" s="71">
        <f t="shared" si="42"/>
        <v>0</v>
      </c>
      <c r="AV24" s="211"/>
      <c r="AW24" s="204">
        <v>4</v>
      </c>
      <c r="AX24" s="47" t="s">
        <v>123</v>
      </c>
      <c r="AY24" s="60">
        <f t="shared" ref="AY24:BG24" si="49">COUNTIFS($B$2:$B$54,"="&amp;$AW24,$AC$2:$AC$54,"="&amp;$AV$15,$AF$2:$AF$54,"="&amp;AY$2)</f>
        <v>0</v>
      </c>
      <c r="AZ24" s="50">
        <f t="shared" si="49"/>
        <v>0</v>
      </c>
      <c r="BA24" s="50">
        <f t="shared" si="49"/>
        <v>1</v>
      </c>
      <c r="BB24" s="50">
        <f t="shared" si="49"/>
        <v>0</v>
      </c>
      <c r="BC24" s="50">
        <f t="shared" si="49"/>
        <v>0</v>
      </c>
      <c r="BD24" s="50">
        <f t="shared" si="49"/>
        <v>0</v>
      </c>
      <c r="BE24" s="50">
        <f t="shared" si="49"/>
        <v>1</v>
      </c>
      <c r="BF24" s="50">
        <f t="shared" si="49"/>
        <v>0</v>
      </c>
      <c r="BG24" s="49">
        <f t="shared" si="49"/>
        <v>0</v>
      </c>
    </row>
    <row r="25" spans="1:79" ht="19.899999999999999" customHeight="1" x14ac:dyDescent="0.3">
      <c r="A25" s="117">
        <v>24</v>
      </c>
      <c r="B25" s="118">
        <v>2</v>
      </c>
      <c r="C25" s="118">
        <v>201710128</v>
      </c>
      <c r="D25" s="112" t="str">
        <f t="shared" si="0"/>
        <v>컴퓨터학과</v>
      </c>
      <c r="E25" s="119" t="s">
        <v>33</v>
      </c>
      <c r="F25" s="121">
        <v>130</v>
      </c>
      <c r="G25" s="173">
        <f t="shared" si="6"/>
        <v>65</v>
      </c>
      <c r="H25" s="114">
        <f t="shared" si="7"/>
        <v>22</v>
      </c>
      <c r="I25" s="174">
        <f t="shared" si="8"/>
        <v>32</v>
      </c>
      <c r="J25" s="187">
        <v>0</v>
      </c>
      <c r="K25" s="173">
        <f t="shared" si="9"/>
        <v>0</v>
      </c>
      <c r="L25" s="114">
        <f t="shared" si="10"/>
        <v>52</v>
      </c>
      <c r="M25" s="174">
        <f t="shared" si="11"/>
        <v>1</v>
      </c>
      <c r="N25" s="183">
        <v>60</v>
      </c>
      <c r="O25" s="121">
        <v>57</v>
      </c>
      <c r="P25" s="173">
        <f t="shared" si="12"/>
        <v>51.82</v>
      </c>
      <c r="Q25" s="114">
        <f t="shared" si="13"/>
        <v>25</v>
      </c>
      <c r="R25" s="174">
        <f t="shared" si="14"/>
        <v>28</v>
      </c>
      <c r="S25" s="183">
        <v>0</v>
      </c>
      <c r="T25" s="114">
        <f t="shared" si="15"/>
        <v>52</v>
      </c>
      <c r="U25" s="114">
        <f t="shared" si="16"/>
        <v>1</v>
      </c>
      <c r="V25" s="121">
        <v>0</v>
      </c>
      <c r="W25" s="168">
        <f t="shared" si="1"/>
        <v>30.68</v>
      </c>
      <c r="X25" s="120">
        <f t="shared" si="17"/>
        <v>49</v>
      </c>
      <c r="Y25" s="169">
        <f t="shared" si="18"/>
        <v>5</v>
      </c>
      <c r="Z25" s="9">
        <f t="shared" si="19"/>
        <v>49</v>
      </c>
      <c r="AA25" s="10"/>
      <c r="AB25" s="9" t="str">
        <f t="shared" si="2"/>
        <v>2017</v>
      </c>
      <c r="AC25" s="116" t="str">
        <f t="shared" si="3"/>
        <v>101</v>
      </c>
      <c r="AD25" s="9" t="b">
        <f t="shared" si="20"/>
        <v>1</v>
      </c>
      <c r="AE25" s="9" t="str">
        <f t="shared" si="4"/>
        <v>F</v>
      </c>
      <c r="AF25" s="9" t="str">
        <f t="shared" si="5"/>
        <v>F</v>
      </c>
      <c r="AJ25" s="144" t="s">
        <v>104</v>
      </c>
      <c r="AK25" s="89">
        <f t="shared" si="44"/>
        <v>0</v>
      </c>
      <c r="AL25" s="145">
        <f t="shared" si="42"/>
        <v>1</v>
      </c>
      <c r="AM25" s="145">
        <f t="shared" si="42"/>
        <v>0</v>
      </c>
      <c r="AN25" s="145">
        <f t="shared" si="42"/>
        <v>1</v>
      </c>
      <c r="AO25" s="71">
        <f t="shared" si="42"/>
        <v>1</v>
      </c>
      <c r="AV25" s="211"/>
      <c r="AW25" s="205"/>
      <c r="AX25" s="41" t="s">
        <v>124</v>
      </c>
      <c r="AY25" s="56">
        <f t="shared" ref="AY25:BG25" si="50">SUMIFS($W$2:$W$54,$B$2:$B$54,"="&amp;$AW24,$AC$2:$AC$54,"="&amp;$AV$15,$AF$2:$AF$54,"="&amp;AY$2)</f>
        <v>0</v>
      </c>
      <c r="AZ25" s="42">
        <f t="shared" si="50"/>
        <v>0</v>
      </c>
      <c r="BA25" s="42">
        <f t="shared" si="50"/>
        <v>68.88</v>
      </c>
      <c r="BB25" s="42">
        <f t="shared" si="50"/>
        <v>0</v>
      </c>
      <c r="BC25" s="42">
        <f t="shared" si="50"/>
        <v>0</v>
      </c>
      <c r="BD25" s="42">
        <f t="shared" si="50"/>
        <v>0</v>
      </c>
      <c r="BE25" s="42">
        <f t="shared" si="50"/>
        <v>44.88</v>
      </c>
      <c r="BF25" s="42">
        <f t="shared" si="50"/>
        <v>0</v>
      </c>
      <c r="BG25" s="41">
        <f t="shared" si="50"/>
        <v>0</v>
      </c>
    </row>
    <row r="26" spans="1:79" ht="19.899999999999999" customHeight="1" thickBot="1" x14ac:dyDescent="0.35">
      <c r="A26" s="117">
        <v>25</v>
      </c>
      <c r="B26" s="118">
        <v>2</v>
      </c>
      <c r="C26" s="118">
        <v>201610130</v>
      </c>
      <c r="D26" s="112" t="str">
        <f t="shared" si="0"/>
        <v>컴퓨터학과</v>
      </c>
      <c r="E26" s="119" t="s">
        <v>34</v>
      </c>
      <c r="F26" s="121">
        <v>162</v>
      </c>
      <c r="G26" s="173">
        <f t="shared" si="6"/>
        <v>81</v>
      </c>
      <c r="H26" s="114">
        <f t="shared" si="7"/>
        <v>2</v>
      </c>
      <c r="I26" s="174">
        <f t="shared" si="8"/>
        <v>52</v>
      </c>
      <c r="J26" s="187">
        <v>80</v>
      </c>
      <c r="K26" s="173">
        <f t="shared" si="9"/>
        <v>72.73</v>
      </c>
      <c r="L26" s="114">
        <f t="shared" si="10"/>
        <v>16</v>
      </c>
      <c r="M26" s="174">
        <f t="shared" si="11"/>
        <v>37</v>
      </c>
      <c r="N26" s="183">
        <v>96.67</v>
      </c>
      <c r="O26" s="121">
        <v>55</v>
      </c>
      <c r="P26" s="173">
        <f t="shared" si="12"/>
        <v>50</v>
      </c>
      <c r="Q26" s="114">
        <f t="shared" si="13"/>
        <v>29</v>
      </c>
      <c r="R26" s="174">
        <f t="shared" si="14"/>
        <v>24</v>
      </c>
      <c r="S26" s="183">
        <v>83</v>
      </c>
      <c r="T26" s="114">
        <f t="shared" si="15"/>
        <v>7</v>
      </c>
      <c r="U26" s="114">
        <f t="shared" si="16"/>
        <v>46</v>
      </c>
      <c r="V26" s="121">
        <v>100</v>
      </c>
      <c r="W26" s="168">
        <f t="shared" si="1"/>
        <v>77.72</v>
      </c>
      <c r="X26" s="120">
        <f t="shared" si="17"/>
        <v>8</v>
      </c>
      <c r="Y26" s="169">
        <f t="shared" si="18"/>
        <v>46</v>
      </c>
      <c r="Z26" s="9">
        <f t="shared" si="19"/>
        <v>8</v>
      </c>
      <c r="AA26" s="10"/>
      <c r="AB26" s="9" t="str">
        <f t="shared" si="2"/>
        <v>2016</v>
      </c>
      <c r="AC26" s="116" t="str">
        <f t="shared" si="3"/>
        <v>101</v>
      </c>
      <c r="AD26" s="9" t="b">
        <f t="shared" si="20"/>
        <v>1</v>
      </c>
      <c r="AE26" s="9" t="str">
        <f t="shared" si="4"/>
        <v>A</v>
      </c>
      <c r="AF26" s="9" t="str">
        <f t="shared" si="5"/>
        <v>A0</v>
      </c>
      <c r="AJ26" s="144" t="s">
        <v>105</v>
      </c>
      <c r="AK26" s="89">
        <f t="shared" si="44"/>
        <v>1</v>
      </c>
      <c r="AL26" s="145">
        <f t="shared" si="42"/>
        <v>1</v>
      </c>
      <c r="AM26" s="145">
        <f t="shared" si="42"/>
        <v>0</v>
      </c>
      <c r="AN26" s="145">
        <f t="shared" si="42"/>
        <v>0</v>
      </c>
      <c r="AO26" s="71">
        <f t="shared" si="42"/>
        <v>0</v>
      </c>
      <c r="AV26" s="214"/>
      <c r="AW26" s="206"/>
      <c r="AX26" s="53" t="s">
        <v>125</v>
      </c>
      <c r="AY26" s="62" t="str">
        <f t="shared" ref="AY26:BG26" si="51">IFERROR(ROUND(AVERAGEIFS($W$2:$W$54,$B$2:$B$54,"="&amp;$AW24,$AC$2:$AC$54,"="&amp;$AV$15,$AF$2:$AF$54,"="&amp;AY$2),2),"-")</f>
        <v>-</v>
      </c>
      <c r="AZ26" s="54" t="str">
        <f t="shared" si="51"/>
        <v>-</v>
      </c>
      <c r="BA26" s="54">
        <f t="shared" si="51"/>
        <v>68.88</v>
      </c>
      <c r="BB26" s="54" t="str">
        <f t="shared" si="51"/>
        <v>-</v>
      </c>
      <c r="BC26" s="54" t="str">
        <f t="shared" si="51"/>
        <v>-</v>
      </c>
      <c r="BD26" s="54" t="str">
        <f t="shared" si="51"/>
        <v>-</v>
      </c>
      <c r="BE26" s="54">
        <f t="shared" si="51"/>
        <v>44.88</v>
      </c>
      <c r="BF26" s="54" t="str">
        <f t="shared" si="51"/>
        <v>-</v>
      </c>
      <c r="BG26" s="53" t="str">
        <f t="shared" si="51"/>
        <v>-</v>
      </c>
    </row>
    <row r="27" spans="1:79" ht="19.899999999999999" customHeight="1" thickTop="1" thickBot="1" x14ac:dyDescent="0.35">
      <c r="A27" s="117">
        <v>26</v>
      </c>
      <c r="B27" s="118">
        <v>2</v>
      </c>
      <c r="C27" s="118">
        <v>201810531</v>
      </c>
      <c r="D27" s="112" t="str">
        <f t="shared" si="0"/>
        <v>통신학과</v>
      </c>
      <c r="E27" s="119" t="s">
        <v>35</v>
      </c>
      <c r="F27" s="121">
        <v>141</v>
      </c>
      <c r="G27" s="173">
        <f t="shared" si="6"/>
        <v>70.5</v>
      </c>
      <c r="H27" s="114">
        <f t="shared" si="7"/>
        <v>13</v>
      </c>
      <c r="I27" s="174">
        <f t="shared" si="8"/>
        <v>39</v>
      </c>
      <c r="J27" s="187">
        <v>85</v>
      </c>
      <c r="K27" s="173">
        <f t="shared" si="9"/>
        <v>77.27</v>
      </c>
      <c r="L27" s="114">
        <f t="shared" si="10"/>
        <v>12</v>
      </c>
      <c r="M27" s="174">
        <f t="shared" si="11"/>
        <v>41</v>
      </c>
      <c r="N27" s="183">
        <v>100</v>
      </c>
      <c r="O27" s="121">
        <v>70</v>
      </c>
      <c r="P27" s="173">
        <f t="shared" si="12"/>
        <v>63.64</v>
      </c>
      <c r="Q27" s="114">
        <f t="shared" si="13"/>
        <v>11</v>
      </c>
      <c r="R27" s="174">
        <f t="shared" si="14"/>
        <v>43</v>
      </c>
      <c r="S27" s="183">
        <v>77</v>
      </c>
      <c r="T27" s="114">
        <f t="shared" si="15"/>
        <v>9</v>
      </c>
      <c r="U27" s="114">
        <f t="shared" si="16"/>
        <v>45</v>
      </c>
      <c r="V27" s="121">
        <v>100</v>
      </c>
      <c r="W27" s="168">
        <f t="shared" si="1"/>
        <v>77.260000000000005</v>
      </c>
      <c r="X27" s="120">
        <f t="shared" si="17"/>
        <v>9</v>
      </c>
      <c r="Y27" s="169">
        <f t="shared" si="18"/>
        <v>45</v>
      </c>
      <c r="Z27" s="9">
        <f t="shared" si="19"/>
        <v>9</v>
      </c>
      <c r="AA27" s="10"/>
      <c r="AB27" s="9" t="str">
        <f t="shared" si="2"/>
        <v>2018</v>
      </c>
      <c r="AC27" s="116" t="str">
        <f t="shared" si="3"/>
        <v>105</v>
      </c>
      <c r="AD27" s="9" t="b">
        <f t="shared" si="20"/>
        <v>1</v>
      </c>
      <c r="AE27" s="9" t="str">
        <f t="shared" si="4"/>
        <v>A</v>
      </c>
      <c r="AF27" s="9" t="str">
        <f t="shared" si="5"/>
        <v>A0</v>
      </c>
      <c r="AJ27" s="146" t="s">
        <v>97</v>
      </c>
      <c r="AK27" s="101">
        <f t="shared" si="44"/>
        <v>3</v>
      </c>
      <c r="AL27" s="147">
        <f t="shared" si="42"/>
        <v>0</v>
      </c>
      <c r="AM27" s="147">
        <f t="shared" si="42"/>
        <v>1</v>
      </c>
      <c r="AN27" s="147">
        <f t="shared" si="42"/>
        <v>1</v>
      </c>
      <c r="AO27" s="90">
        <f t="shared" si="42"/>
        <v>1</v>
      </c>
      <c r="AV27" s="211">
        <v>103</v>
      </c>
      <c r="AW27" s="205">
        <v>1</v>
      </c>
      <c r="AX27" s="49" t="s">
        <v>123</v>
      </c>
      <c r="AY27" s="61">
        <f t="shared" ref="AY27:BG27" si="52">COUNTIFS($B$2:$B$54,"="&amp;$AW27,$AC$2:$AC$54,"="&amp;$AV$27,$AF$2:$AF$54,"="&amp;AY$2)</f>
        <v>0</v>
      </c>
      <c r="AZ27" s="52">
        <f t="shared" si="52"/>
        <v>0</v>
      </c>
      <c r="BA27" s="52">
        <f t="shared" si="52"/>
        <v>0</v>
      </c>
      <c r="BB27" s="52">
        <f t="shared" si="52"/>
        <v>0</v>
      </c>
      <c r="BC27" s="52">
        <f t="shared" si="52"/>
        <v>0</v>
      </c>
      <c r="BD27" s="52">
        <f t="shared" si="52"/>
        <v>0</v>
      </c>
      <c r="BE27" s="52">
        <f t="shared" si="52"/>
        <v>0</v>
      </c>
      <c r="BF27" s="52">
        <f t="shared" si="52"/>
        <v>0</v>
      </c>
      <c r="BG27" s="51">
        <f t="shared" si="52"/>
        <v>0</v>
      </c>
    </row>
    <row r="28" spans="1:79" ht="19.899999999999999" customHeight="1" thickTop="1" thickBot="1" x14ac:dyDescent="0.35">
      <c r="A28" s="117">
        <v>27</v>
      </c>
      <c r="B28" s="118">
        <v>2</v>
      </c>
      <c r="C28" s="118">
        <v>201810538</v>
      </c>
      <c r="D28" s="112" t="str">
        <f t="shared" si="0"/>
        <v>통신학과</v>
      </c>
      <c r="E28" s="119" t="s">
        <v>36</v>
      </c>
      <c r="F28" s="121">
        <v>153</v>
      </c>
      <c r="G28" s="173">
        <f t="shared" si="6"/>
        <v>76.5</v>
      </c>
      <c r="H28" s="114">
        <f t="shared" si="7"/>
        <v>8</v>
      </c>
      <c r="I28" s="174">
        <f t="shared" si="8"/>
        <v>46</v>
      </c>
      <c r="J28" s="187">
        <v>105</v>
      </c>
      <c r="K28" s="173">
        <f t="shared" si="9"/>
        <v>95.45</v>
      </c>
      <c r="L28" s="114">
        <f t="shared" si="10"/>
        <v>1</v>
      </c>
      <c r="M28" s="174">
        <f t="shared" si="11"/>
        <v>53</v>
      </c>
      <c r="N28" s="183">
        <v>100</v>
      </c>
      <c r="O28" s="121">
        <v>81</v>
      </c>
      <c r="P28" s="173">
        <f t="shared" si="12"/>
        <v>73.64</v>
      </c>
      <c r="Q28" s="114">
        <f t="shared" si="13"/>
        <v>3</v>
      </c>
      <c r="R28" s="174">
        <f t="shared" si="14"/>
        <v>51</v>
      </c>
      <c r="S28" s="183">
        <v>83</v>
      </c>
      <c r="T28" s="114">
        <f t="shared" si="15"/>
        <v>7</v>
      </c>
      <c r="U28" s="114">
        <f t="shared" si="16"/>
        <v>46</v>
      </c>
      <c r="V28" s="121">
        <v>100</v>
      </c>
      <c r="W28" s="168">
        <f t="shared" si="1"/>
        <v>87.02</v>
      </c>
      <c r="X28" s="120">
        <f t="shared" si="17"/>
        <v>2</v>
      </c>
      <c r="Y28" s="169">
        <f t="shared" si="18"/>
        <v>52</v>
      </c>
      <c r="Z28" s="9">
        <f t="shared" si="19"/>
        <v>2</v>
      </c>
      <c r="AA28" s="10"/>
      <c r="AB28" s="9" t="str">
        <f t="shared" si="2"/>
        <v>2018</v>
      </c>
      <c r="AC28" s="116" t="str">
        <f t="shared" si="3"/>
        <v>105</v>
      </c>
      <c r="AD28" s="9" t="b">
        <f t="shared" si="20"/>
        <v>1</v>
      </c>
      <c r="AE28" s="9" t="str">
        <f t="shared" si="4"/>
        <v>A</v>
      </c>
      <c r="AF28" s="9" t="str">
        <f t="shared" si="5"/>
        <v>A+</v>
      </c>
      <c r="AV28" s="211"/>
      <c r="AW28" s="205"/>
      <c r="AX28" s="41" t="s">
        <v>124</v>
      </c>
      <c r="AY28" s="56">
        <f t="shared" ref="AY28:BG28" si="53">SUMIFS($W$2:$W$54,$B$2:$B$54,"="&amp;$AW27,$AC$2:$AC$54,"="&amp;$AV$27,$AF$2:$AF$54,"="&amp;AY$2)</f>
        <v>0</v>
      </c>
      <c r="AZ28" s="42">
        <f t="shared" si="53"/>
        <v>0</v>
      </c>
      <c r="BA28" s="42">
        <f t="shared" si="53"/>
        <v>0</v>
      </c>
      <c r="BB28" s="42">
        <f t="shared" si="53"/>
        <v>0</v>
      </c>
      <c r="BC28" s="42">
        <f t="shared" si="53"/>
        <v>0</v>
      </c>
      <c r="BD28" s="42">
        <f t="shared" si="53"/>
        <v>0</v>
      </c>
      <c r="BE28" s="42">
        <f t="shared" si="53"/>
        <v>0</v>
      </c>
      <c r="BF28" s="42">
        <f t="shared" si="53"/>
        <v>0</v>
      </c>
      <c r="BG28" s="41">
        <f t="shared" si="53"/>
        <v>0</v>
      </c>
    </row>
    <row r="29" spans="1:79" ht="19.899999999999999" customHeight="1" thickTop="1" x14ac:dyDescent="0.3">
      <c r="A29" s="117">
        <v>28</v>
      </c>
      <c r="B29" s="118">
        <v>2</v>
      </c>
      <c r="C29" s="118">
        <v>201810139</v>
      </c>
      <c r="D29" s="112" t="str">
        <f t="shared" si="0"/>
        <v>컴퓨터학과</v>
      </c>
      <c r="E29" s="119" t="s">
        <v>37</v>
      </c>
      <c r="F29" s="121">
        <v>86</v>
      </c>
      <c r="G29" s="173">
        <f t="shared" si="6"/>
        <v>43</v>
      </c>
      <c r="H29" s="114">
        <f t="shared" si="7"/>
        <v>39</v>
      </c>
      <c r="I29" s="174">
        <f t="shared" si="8"/>
        <v>14</v>
      </c>
      <c r="J29" s="187">
        <v>21</v>
      </c>
      <c r="K29" s="173">
        <f t="shared" si="9"/>
        <v>19.09</v>
      </c>
      <c r="L29" s="114">
        <f t="shared" si="10"/>
        <v>49</v>
      </c>
      <c r="M29" s="174">
        <f t="shared" si="11"/>
        <v>5</v>
      </c>
      <c r="N29" s="183">
        <v>78.89</v>
      </c>
      <c r="O29" s="121">
        <v>56</v>
      </c>
      <c r="P29" s="173">
        <f t="shared" si="12"/>
        <v>50.91</v>
      </c>
      <c r="Q29" s="114">
        <f t="shared" si="13"/>
        <v>27</v>
      </c>
      <c r="R29" s="174">
        <f t="shared" si="14"/>
        <v>26</v>
      </c>
      <c r="S29" s="183">
        <v>13</v>
      </c>
      <c r="T29" s="114">
        <f t="shared" si="15"/>
        <v>49</v>
      </c>
      <c r="U29" s="114">
        <f t="shared" si="16"/>
        <v>5</v>
      </c>
      <c r="V29" s="121">
        <v>40</v>
      </c>
      <c r="W29" s="168">
        <f t="shared" si="1"/>
        <v>35.86</v>
      </c>
      <c r="X29" s="120">
        <f t="shared" si="17"/>
        <v>48</v>
      </c>
      <c r="Y29" s="169">
        <f t="shared" si="18"/>
        <v>6</v>
      </c>
      <c r="Z29" s="9">
        <f t="shared" si="19"/>
        <v>48</v>
      </c>
      <c r="AA29" s="10"/>
      <c r="AB29" s="9" t="str">
        <f t="shared" si="2"/>
        <v>2018</v>
      </c>
      <c r="AC29" s="116" t="str">
        <f t="shared" si="3"/>
        <v>101</v>
      </c>
      <c r="AD29" s="9" t="b">
        <f t="shared" si="20"/>
        <v>1</v>
      </c>
      <c r="AE29" s="9" t="str">
        <f t="shared" si="4"/>
        <v>F</v>
      </c>
      <c r="AF29" s="9" t="str">
        <f t="shared" si="5"/>
        <v>F</v>
      </c>
      <c r="AJ29" s="244" t="s">
        <v>111</v>
      </c>
      <c r="AK29" s="246">
        <v>101</v>
      </c>
      <c r="AL29" s="233"/>
      <c r="AM29" s="230">
        <v>102</v>
      </c>
      <c r="AN29" s="231"/>
      <c r="AO29" s="232">
        <v>103</v>
      </c>
      <c r="AP29" s="233"/>
      <c r="AQ29" s="230">
        <v>104</v>
      </c>
      <c r="AR29" s="231"/>
      <c r="AS29" s="232">
        <v>105</v>
      </c>
      <c r="AT29" s="234"/>
      <c r="AV29" s="211"/>
      <c r="AW29" s="207"/>
      <c r="AX29" s="43" t="s">
        <v>125</v>
      </c>
      <c r="AY29" s="58" t="str">
        <f t="shared" ref="AY29:BG29" si="54">IFERROR(ROUND(AVERAGEIFS($W$2:$W$54,$B$2:$B$54,"="&amp;$AW27,$AC$2:$AC$54,"="&amp;$AV$27,$AF$2:$AF$54,"="&amp;AY$2),2),"-")</f>
        <v>-</v>
      </c>
      <c r="AZ29" s="46" t="str">
        <f t="shared" si="54"/>
        <v>-</v>
      </c>
      <c r="BA29" s="46" t="str">
        <f t="shared" si="54"/>
        <v>-</v>
      </c>
      <c r="BB29" s="46" t="str">
        <f t="shared" si="54"/>
        <v>-</v>
      </c>
      <c r="BC29" s="46" t="str">
        <f t="shared" si="54"/>
        <v>-</v>
      </c>
      <c r="BD29" s="46" t="str">
        <f t="shared" si="54"/>
        <v>-</v>
      </c>
      <c r="BE29" s="46" t="str">
        <f t="shared" si="54"/>
        <v>-</v>
      </c>
      <c r="BF29" s="46" t="str">
        <f t="shared" si="54"/>
        <v>-</v>
      </c>
      <c r="BG29" s="45" t="str">
        <f t="shared" si="54"/>
        <v>-</v>
      </c>
    </row>
    <row r="30" spans="1:79" ht="19.899999999999999" customHeight="1" thickBot="1" x14ac:dyDescent="0.35">
      <c r="A30" s="117">
        <v>29</v>
      </c>
      <c r="B30" s="120">
        <v>3</v>
      </c>
      <c r="C30" s="122">
        <v>201710327</v>
      </c>
      <c r="D30" s="112" t="str">
        <f t="shared" si="0"/>
        <v>전자학과</v>
      </c>
      <c r="E30" s="120" t="s">
        <v>39</v>
      </c>
      <c r="F30" s="121">
        <v>113</v>
      </c>
      <c r="G30" s="173">
        <f t="shared" si="6"/>
        <v>56.5</v>
      </c>
      <c r="H30" s="114">
        <f t="shared" si="7"/>
        <v>32</v>
      </c>
      <c r="I30" s="174">
        <f t="shared" si="8"/>
        <v>22</v>
      </c>
      <c r="J30" s="187">
        <v>89</v>
      </c>
      <c r="K30" s="173">
        <f t="shared" si="9"/>
        <v>80.91</v>
      </c>
      <c r="L30" s="114">
        <f t="shared" si="10"/>
        <v>9</v>
      </c>
      <c r="M30" s="174">
        <f t="shared" si="11"/>
        <v>44</v>
      </c>
      <c r="N30" s="183">
        <v>100</v>
      </c>
      <c r="O30" s="121">
        <v>66</v>
      </c>
      <c r="P30" s="173">
        <f t="shared" si="12"/>
        <v>60</v>
      </c>
      <c r="Q30" s="114">
        <f t="shared" si="13"/>
        <v>14</v>
      </c>
      <c r="R30" s="174">
        <f t="shared" si="14"/>
        <v>39</v>
      </c>
      <c r="S30" s="183">
        <v>75</v>
      </c>
      <c r="T30" s="114">
        <f t="shared" si="15"/>
        <v>11</v>
      </c>
      <c r="U30" s="114">
        <f t="shared" si="16"/>
        <v>43</v>
      </c>
      <c r="V30" s="121">
        <v>100</v>
      </c>
      <c r="W30" s="168">
        <f t="shared" si="1"/>
        <v>73.77</v>
      </c>
      <c r="X30" s="120">
        <f t="shared" si="17"/>
        <v>13</v>
      </c>
      <c r="Y30" s="169">
        <f t="shared" si="18"/>
        <v>41</v>
      </c>
      <c r="Z30" s="9">
        <f t="shared" si="19"/>
        <v>13</v>
      </c>
      <c r="AA30" s="10" t="s">
        <v>71</v>
      </c>
      <c r="AB30" s="9" t="str">
        <f t="shared" si="2"/>
        <v>2017</v>
      </c>
      <c r="AC30" s="116" t="str">
        <f t="shared" si="3"/>
        <v>103</v>
      </c>
      <c r="AD30" s="9" t="b">
        <f t="shared" si="20"/>
        <v>0</v>
      </c>
      <c r="AE30" s="9" t="str">
        <f t="shared" si="4"/>
        <v>A</v>
      </c>
      <c r="AF30" s="9" t="str">
        <f t="shared" si="5"/>
        <v>A0</v>
      </c>
      <c r="AJ30" s="245"/>
      <c r="AK30" s="76" t="s">
        <v>112</v>
      </c>
      <c r="AL30" s="83" t="s">
        <v>113</v>
      </c>
      <c r="AM30" s="148" t="s">
        <v>112</v>
      </c>
      <c r="AN30" s="149" t="s">
        <v>113</v>
      </c>
      <c r="AO30" s="75" t="s">
        <v>112</v>
      </c>
      <c r="AP30" s="83" t="s">
        <v>113</v>
      </c>
      <c r="AQ30" s="148" t="s">
        <v>112</v>
      </c>
      <c r="AR30" s="149" t="s">
        <v>113</v>
      </c>
      <c r="AS30" s="75" t="s">
        <v>112</v>
      </c>
      <c r="AT30" s="33" t="s">
        <v>113</v>
      </c>
      <c r="AV30" s="211"/>
      <c r="AW30" s="204">
        <v>2</v>
      </c>
      <c r="AX30" s="47" t="s">
        <v>123</v>
      </c>
      <c r="AY30" s="59">
        <f t="shared" ref="AY30:BG30" si="55">COUNTIFS($B$2:$B$54,"="&amp;$AW30,$AC$2:$AC$54,"="&amp;$AV$27,$AF$2:$AF$54,"="&amp;AY$2)</f>
        <v>0</v>
      </c>
      <c r="AZ30" s="48">
        <f t="shared" si="55"/>
        <v>0</v>
      </c>
      <c r="BA30" s="48">
        <f t="shared" si="55"/>
        <v>1</v>
      </c>
      <c r="BB30" s="48">
        <f t="shared" si="55"/>
        <v>1</v>
      </c>
      <c r="BC30" s="48">
        <f t="shared" si="55"/>
        <v>1</v>
      </c>
      <c r="BD30" s="48">
        <f t="shared" si="55"/>
        <v>1</v>
      </c>
      <c r="BE30" s="48">
        <f t="shared" si="55"/>
        <v>0</v>
      </c>
      <c r="BF30" s="48">
        <f t="shared" si="55"/>
        <v>0</v>
      </c>
      <c r="BG30" s="47">
        <f t="shared" si="55"/>
        <v>1</v>
      </c>
    </row>
    <row r="31" spans="1:79" ht="19.899999999999999" customHeight="1" thickTop="1" x14ac:dyDescent="0.3">
      <c r="A31" s="117">
        <v>30</v>
      </c>
      <c r="B31" s="120">
        <v>2</v>
      </c>
      <c r="C31" s="122">
        <v>201810573</v>
      </c>
      <c r="D31" s="112" t="str">
        <f t="shared" si="0"/>
        <v>통신학과</v>
      </c>
      <c r="E31" s="120" t="s">
        <v>40</v>
      </c>
      <c r="F31" s="121">
        <v>124</v>
      </c>
      <c r="G31" s="173">
        <f t="shared" si="6"/>
        <v>62</v>
      </c>
      <c r="H31" s="114">
        <f t="shared" si="7"/>
        <v>28</v>
      </c>
      <c r="I31" s="174">
        <f t="shared" si="8"/>
        <v>26</v>
      </c>
      <c r="J31" s="187">
        <v>97</v>
      </c>
      <c r="K31" s="173">
        <f t="shared" si="9"/>
        <v>88.18</v>
      </c>
      <c r="L31" s="114">
        <f t="shared" si="10"/>
        <v>4</v>
      </c>
      <c r="M31" s="174">
        <f t="shared" si="11"/>
        <v>50</v>
      </c>
      <c r="N31" s="183">
        <v>96.67</v>
      </c>
      <c r="O31" s="121">
        <v>60</v>
      </c>
      <c r="P31" s="173">
        <f t="shared" si="12"/>
        <v>54.55</v>
      </c>
      <c r="Q31" s="114">
        <f t="shared" si="13"/>
        <v>18</v>
      </c>
      <c r="R31" s="174">
        <f t="shared" si="14"/>
        <v>34</v>
      </c>
      <c r="S31" s="183">
        <v>74</v>
      </c>
      <c r="T31" s="114">
        <f t="shared" si="15"/>
        <v>12</v>
      </c>
      <c r="U31" s="114">
        <f t="shared" si="16"/>
        <v>39</v>
      </c>
      <c r="V31" s="121">
        <v>100</v>
      </c>
      <c r="W31" s="168">
        <f t="shared" si="1"/>
        <v>76.989999999999995</v>
      </c>
      <c r="X31" s="120">
        <f t="shared" si="17"/>
        <v>10</v>
      </c>
      <c r="Y31" s="169">
        <f t="shared" si="18"/>
        <v>44</v>
      </c>
      <c r="Z31" s="9">
        <f t="shared" si="19"/>
        <v>10</v>
      </c>
      <c r="AA31" s="10"/>
      <c r="AB31" s="9" t="str">
        <f t="shared" si="2"/>
        <v>2018</v>
      </c>
      <c r="AC31" s="116" t="str">
        <f t="shared" si="3"/>
        <v>105</v>
      </c>
      <c r="AD31" s="9" t="b">
        <f t="shared" si="20"/>
        <v>1</v>
      </c>
      <c r="AE31" s="9" t="str">
        <f t="shared" si="4"/>
        <v>A</v>
      </c>
      <c r="AF31" s="9" t="str">
        <f t="shared" si="5"/>
        <v>A0</v>
      </c>
      <c r="AJ31" s="143" t="s">
        <v>98</v>
      </c>
      <c r="AK31" s="88">
        <f>SUMIFS($W$2:$W$54,$AC$2:$AC$54,"="&amp;AK$29,$AF$2:$AF$54,"="&amp;$AJ31)</f>
        <v>89.82</v>
      </c>
      <c r="AL31" s="103">
        <f>IFERROR(ROUND(AVERAGEIFS($W$2:$W$54,$AC$2:$AC$54,"="&amp;AK$29,$AF$2:$AF$54,"="&amp;$AJ31),2),"NV")</f>
        <v>89.82</v>
      </c>
      <c r="AM31" s="104">
        <f t="shared" ref="AM31:AM39" si="56">SUMIFS($W$2:$W$54,$AC$2:$AC$54,"="&amp;AM$29,$AF$2:$AF$54,"="&amp;$AJ31)</f>
        <v>0</v>
      </c>
      <c r="AN31" s="105" t="str">
        <f t="shared" ref="AN31" si="57">IFERROR(ROUND(AVERAGEIFS($W$2:$W$54,$AC$2:$AC$54,"="&amp;AM$29,$AF$2:$AF$54,"="&amp;$AJ31),2),"NV")</f>
        <v>NV</v>
      </c>
      <c r="AO31" s="102">
        <f t="shared" ref="AO31:AO39" si="58">SUMIFS($W$2:$W$54,$AC$2:$AC$54,"="&amp;AO$29,$AF$2:$AF$54,"="&amp;$AJ31)</f>
        <v>81.27</v>
      </c>
      <c r="AP31" s="103">
        <f t="shared" ref="AP31" si="59">IFERROR(ROUND(AVERAGEIFS($W$2:$W$54,$AC$2:$AC$54,"="&amp;AO$29,$AF$2:$AF$54,"="&amp;$AJ31),2),"NV")</f>
        <v>81.27</v>
      </c>
      <c r="AQ31" s="104">
        <f t="shared" ref="AQ31:AQ39" si="60">SUMIFS($W$2:$W$54,$AC$2:$AC$54,"="&amp;AQ$29,$AF$2:$AF$54,"="&amp;$AJ31)</f>
        <v>0</v>
      </c>
      <c r="AR31" s="105" t="str">
        <f t="shared" ref="AR31" si="61">IFERROR(ROUND(AVERAGEIFS($W$2:$W$54,$AC$2:$AC$54,"="&amp;AQ$29,$AF$2:$AF$54,"="&amp;$AJ31),2),"NV")</f>
        <v>NV</v>
      </c>
      <c r="AS31" s="102">
        <f t="shared" ref="AS31:AS39" si="62">SUMIFS($W$2:$W$54,$AC$2:$AC$54,"="&amp;AS$29,$AF$2:$AF$54,"="&amp;$AJ31)</f>
        <v>87.02</v>
      </c>
      <c r="AT31" s="106">
        <f t="shared" ref="AT31:AT39" si="63">IFERROR(ROUND(AVERAGEIFS($W$2:$W$54,$AC$2:$AC$54,"="&amp;AS$29,$AF$2:$AF$54,"="&amp;$AJ31),2),"NV")</f>
        <v>87.02</v>
      </c>
      <c r="AV31" s="211"/>
      <c r="AW31" s="205"/>
      <c r="AX31" s="41" t="s">
        <v>124</v>
      </c>
      <c r="AY31" s="56">
        <f t="shared" ref="AY31:BG31" si="64">SUMIFS($W$2:$W$54,$B$2:$B$54,"="&amp;$AW30,$AC$2:$AC$54,"="&amp;$AV$27,$AF$2:$AF$54,"="&amp;AY$2)</f>
        <v>0</v>
      </c>
      <c r="AZ31" s="42">
        <f t="shared" si="64"/>
        <v>0</v>
      </c>
      <c r="BA31" s="42">
        <f t="shared" si="64"/>
        <v>72.14</v>
      </c>
      <c r="BB31" s="42">
        <f t="shared" si="64"/>
        <v>63.95</v>
      </c>
      <c r="BC31" s="42">
        <f t="shared" si="64"/>
        <v>59.99</v>
      </c>
      <c r="BD31" s="42">
        <f t="shared" si="64"/>
        <v>45.71</v>
      </c>
      <c r="BE31" s="42">
        <f t="shared" si="64"/>
        <v>0</v>
      </c>
      <c r="BF31" s="42">
        <f t="shared" si="64"/>
        <v>0</v>
      </c>
      <c r="BG31" s="41">
        <f t="shared" si="64"/>
        <v>26.57</v>
      </c>
    </row>
    <row r="32" spans="1:79" ht="19.899999999999999" customHeight="1" x14ac:dyDescent="0.3">
      <c r="A32" s="117">
        <v>31</v>
      </c>
      <c r="B32" s="120">
        <v>4</v>
      </c>
      <c r="C32" s="122">
        <v>201610256</v>
      </c>
      <c r="D32" s="112" t="str">
        <f t="shared" si="0"/>
        <v>보안학과</v>
      </c>
      <c r="E32" s="120" t="s">
        <v>41</v>
      </c>
      <c r="F32" s="121">
        <v>57</v>
      </c>
      <c r="G32" s="173">
        <f t="shared" si="6"/>
        <v>28.5</v>
      </c>
      <c r="H32" s="114">
        <f t="shared" si="7"/>
        <v>48</v>
      </c>
      <c r="I32" s="174">
        <f t="shared" si="8"/>
        <v>6</v>
      </c>
      <c r="J32" s="187">
        <v>47</v>
      </c>
      <c r="K32" s="173">
        <f t="shared" si="9"/>
        <v>42.73</v>
      </c>
      <c r="L32" s="114">
        <f t="shared" si="10"/>
        <v>43</v>
      </c>
      <c r="M32" s="174">
        <f t="shared" si="11"/>
        <v>9</v>
      </c>
      <c r="N32" s="183">
        <v>90</v>
      </c>
      <c r="O32" s="121">
        <v>58</v>
      </c>
      <c r="P32" s="173">
        <f t="shared" si="12"/>
        <v>52.73</v>
      </c>
      <c r="Q32" s="114">
        <f t="shared" si="13"/>
        <v>24</v>
      </c>
      <c r="R32" s="174">
        <f t="shared" si="14"/>
        <v>30</v>
      </c>
      <c r="S32" s="183">
        <v>21</v>
      </c>
      <c r="T32" s="114">
        <f t="shared" si="15"/>
        <v>46</v>
      </c>
      <c r="U32" s="114">
        <f t="shared" si="16"/>
        <v>7</v>
      </c>
      <c r="V32" s="121">
        <v>100</v>
      </c>
      <c r="W32" s="168">
        <f t="shared" si="1"/>
        <v>44.88</v>
      </c>
      <c r="X32" s="120">
        <f t="shared" si="17"/>
        <v>43</v>
      </c>
      <c r="Y32" s="169">
        <f t="shared" si="18"/>
        <v>11</v>
      </c>
      <c r="Z32" s="9">
        <f t="shared" si="19"/>
        <v>43</v>
      </c>
      <c r="AA32" s="10" t="s">
        <v>71</v>
      </c>
      <c r="AB32" s="9" t="str">
        <f t="shared" si="2"/>
        <v>2016</v>
      </c>
      <c r="AC32" s="116" t="str">
        <f t="shared" si="3"/>
        <v>102</v>
      </c>
      <c r="AD32" s="9" t="b">
        <f t="shared" si="20"/>
        <v>0</v>
      </c>
      <c r="AE32" s="9" t="str">
        <f t="shared" si="4"/>
        <v>D</v>
      </c>
      <c r="AF32" s="9" t="str">
        <f t="shared" si="5"/>
        <v>D+</v>
      </c>
      <c r="AJ32" s="144" t="s">
        <v>99</v>
      </c>
      <c r="AK32" s="93">
        <f t="shared" ref="AK32:AK39" si="65">SUMIFS($W$2:$W$54,$AC$2:$AC$54,"="&amp;AK$29,$AF$2:$AF$54,"="&amp;$AJ32)</f>
        <v>312.51</v>
      </c>
      <c r="AL32" s="150">
        <f t="shared" ref="AL32:AL39" si="66">IFERROR(ROUND(AVERAGEIFS($W$2:$W$54,$AC$2:$AC$54,"="&amp;AK$29,$AF$2:$AF$54,"="&amp;$AJ32),2),"NV")</f>
        <v>78.13</v>
      </c>
      <c r="AM32" s="151">
        <f t="shared" si="56"/>
        <v>149.42000000000002</v>
      </c>
      <c r="AN32" s="152">
        <f t="shared" ref="AN32" si="67">IFERROR(ROUND(AVERAGEIFS($W$2:$W$54,$AC$2:$AC$54,"="&amp;AM$29,$AF$2:$AF$54,"="&amp;$AJ32),2),"NV")</f>
        <v>74.709999999999994</v>
      </c>
      <c r="AO32" s="153">
        <f t="shared" si="58"/>
        <v>149.1</v>
      </c>
      <c r="AP32" s="150">
        <f t="shared" ref="AP32" si="68">IFERROR(ROUND(AVERAGEIFS($W$2:$W$54,$AC$2:$AC$54,"="&amp;AO$29,$AF$2:$AF$54,"="&amp;$AJ32),2),"NV")</f>
        <v>74.55</v>
      </c>
      <c r="AQ32" s="151">
        <f t="shared" si="60"/>
        <v>0</v>
      </c>
      <c r="AR32" s="152" t="str">
        <f t="shared" ref="AR32" si="69">IFERROR(ROUND(AVERAGEIFS($W$2:$W$54,$AC$2:$AC$54,"="&amp;AQ$29,$AF$2:$AF$54,"="&amp;$AJ32),2),"NV")</f>
        <v>NV</v>
      </c>
      <c r="AS32" s="153">
        <f t="shared" si="62"/>
        <v>226.94</v>
      </c>
      <c r="AT32" s="73">
        <f t="shared" si="63"/>
        <v>75.650000000000006</v>
      </c>
      <c r="AV32" s="211"/>
      <c r="AW32" s="207"/>
      <c r="AX32" s="43" t="s">
        <v>125</v>
      </c>
      <c r="AY32" s="57" t="str">
        <f t="shared" ref="AY32:BG32" si="70">IFERROR(ROUND(AVERAGEIFS($W$2:$W$54,$B$2:$B$54,"="&amp;$AW30,$AC$2:$AC$54,"="&amp;$AV$27,$AF$2:$AF$54,"="&amp;AY$2),2),"-")</f>
        <v>-</v>
      </c>
      <c r="AZ32" s="44" t="str">
        <f t="shared" si="70"/>
        <v>-</v>
      </c>
      <c r="BA32" s="44">
        <f t="shared" si="70"/>
        <v>72.14</v>
      </c>
      <c r="BB32" s="44">
        <f t="shared" si="70"/>
        <v>63.95</v>
      </c>
      <c r="BC32" s="44">
        <f t="shared" si="70"/>
        <v>59.99</v>
      </c>
      <c r="BD32" s="44">
        <f t="shared" si="70"/>
        <v>45.71</v>
      </c>
      <c r="BE32" s="44" t="str">
        <f t="shared" si="70"/>
        <v>-</v>
      </c>
      <c r="BF32" s="44" t="str">
        <f t="shared" si="70"/>
        <v>-</v>
      </c>
      <c r="BG32" s="43">
        <f t="shared" si="70"/>
        <v>26.57</v>
      </c>
    </row>
    <row r="33" spans="1:59" ht="19.899999999999999" customHeight="1" x14ac:dyDescent="0.3">
      <c r="A33" s="117">
        <v>32</v>
      </c>
      <c r="B33" s="120">
        <v>4</v>
      </c>
      <c r="C33" s="122">
        <v>201610162</v>
      </c>
      <c r="D33" s="112" t="str">
        <f t="shared" si="0"/>
        <v>컴퓨터학과</v>
      </c>
      <c r="E33" s="120" t="s">
        <v>42</v>
      </c>
      <c r="F33" s="121">
        <v>111</v>
      </c>
      <c r="G33" s="173">
        <f t="shared" si="6"/>
        <v>55.5</v>
      </c>
      <c r="H33" s="114">
        <f t="shared" si="7"/>
        <v>33</v>
      </c>
      <c r="I33" s="174">
        <f t="shared" si="8"/>
        <v>20</v>
      </c>
      <c r="J33" s="187">
        <v>52</v>
      </c>
      <c r="K33" s="173">
        <f t="shared" si="9"/>
        <v>47.27</v>
      </c>
      <c r="L33" s="114">
        <f t="shared" si="10"/>
        <v>41</v>
      </c>
      <c r="M33" s="174">
        <f t="shared" si="11"/>
        <v>13</v>
      </c>
      <c r="N33" s="183">
        <v>96.67</v>
      </c>
      <c r="O33" s="121">
        <v>23</v>
      </c>
      <c r="P33" s="173">
        <f t="shared" si="12"/>
        <v>20.91</v>
      </c>
      <c r="Q33" s="114">
        <f t="shared" si="13"/>
        <v>49</v>
      </c>
      <c r="R33" s="174">
        <f t="shared" si="14"/>
        <v>5</v>
      </c>
      <c r="S33" s="183">
        <v>59</v>
      </c>
      <c r="T33" s="114">
        <f t="shared" si="15"/>
        <v>21</v>
      </c>
      <c r="U33" s="114">
        <f t="shared" si="16"/>
        <v>33</v>
      </c>
      <c r="V33" s="121">
        <v>70</v>
      </c>
      <c r="W33" s="168">
        <f t="shared" si="1"/>
        <v>54.35</v>
      </c>
      <c r="X33" s="120">
        <f t="shared" si="17"/>
        <v>38</v>
      </c>
      <c r="Y33" s="169">
        <f t="shared" si="18"/>
        <v>16</v>
      </c>
      <c r="Z33" s="9">
        <f t="shared" si="19"/>
        <v>38</v>
      </c>
      <c r="AA33" s="10"/>
      <c r="AB33" s="9" t="str">
        <f t="shared" si="2"/>
        <v>2016</v>
      </c>
      <c r="AC33" s="116" t="str">
        <f t="shared" si="3"/>
        <v>101</v>
      </c>
      <c r="AD33" s="9" t="b">
        <f t="shared" si="20"/>
        <v>1</v>
      </c>
      <c r="AE33" s="9" t="str">
        <f t="shared" si="4"/>
        <v>C</v>
      </c>
      <c r="AF33" s="9" t="str">
        <f t="shared" si="5"/>
        <v>C0</v>
      </c>
      <c r="AJ33" s="144" t="s">
        <v>100</v>
      </c>
      <c r="AK33" s="93">
        <f t="shared" si="65"/>
        <v>141.30000000000001</v>
      </c>
      <c r="AL33" s="150">
        <f t="shared" si="66"/>
        <v>70.650000000000006</v>
      </c>
      <c r="AM33" s="151">
        <f t="shared" si="56"/>
        <v>211.15999999999997</v>
      </c>
      <c r="AN33" s="152">
        <f t="shared" ref="AN33" si="71">IFERROR(ROUND(AVERAGEIFS($W$2:$W$54,$AC$2:$AC$54,"="&amp;AM$29,$AF$2:$AF$54,"="&amp;$AJ33),2),"NV")</f>
        <v>70.39</v>
      </c>
      <c r="AO33" s="153">
        <f t="shared" si="58"/>
        <v>72.14</v>
      </c>
      <c r="AP33" s="150">
        <f t="shared" ref="AP33" si="72">IFERROR(ROUND(AVERAGEIFS($W$2:$W$54,$AC$2:$AC$54,"="&amp;AO$29,$AF$2:$AF$54,"="&amp;$AJ33),2),"NV")</f>
        <v>72.14</v>
      </c>
      <c r="AQ33" s="151">
        <f t="shared" si="60"/>
        <v>82.26</v>
      </c>
      <c r="AR33" s="152">
        <f t="shared" ref="AR33" si="73">IFERROR(ROUND(AVERAGEIFS($W$2:$W$54,$AC$2:$AC$54,"="&amp;AQ$29,$AF$2:$AF$54,"="&amp;$AJ33),2),"NV")</f>
        <v>82.26</v>
      </c>
      <c r="AS33" s="153">
        <f t="shared" si="62"/>
        <v>139.26</v>
      </c>
      <c r="AT33" s="73">
        <f t="shared" si="63"/>
        <v>69.63</v>
      </c>
      <c r="AV33" s="211"/>
      <c r="AW33" s="204">
        <v>3</v>
      </c>
      <c r="AX33" s="47" t="s">
        <v>123</v>
      </c>
      <c r="AY33" s="59">
        <f t="shared" ref="AY33:BG33" si="74">COUNTIFS($B$2:$B$54,"="&amp;$AW33,$AC$2:$AC$54,"="&amp;$AV$27,$AF$2:$AF$54,"="&amp;AY$2)</f>
        <v>1</v>
      </c>
      <c r="AZ33" s="48">
        <f t="shared" si="74"/>
        <v>1</v>
      </c>
      <c r="BA33" s="48">
        <f t="shared" si="74"/>
        <v>0</v>
      </c>
      <c r="BB33" s="48">
        <f t="shared" si="74"/>
        <v>0</v>
      </c>
      <c r="BC33" s="48">
        <f t="shared" si="74"/>
        <v>0</v>
      </c>
      <c r="BD33" s="48">
        <f t="shared" si="74"/>
        <v>0</v>
      </c>
      <c r="BE33" s="48">
        <f t="shared" si="74"/>
        <v>0</v>
      </c>
      <c r="BF33" s="48">
        <f t="shared" si="74"/>
        <v>0</v>
      </c>
      <c r="BG33" s="47">
        <f t="shared" si="74"/>
        <v>0</v>
      </c>
    </row>
    <row r="34" spans="1:59" ht="19.899999999999999" customHeight="1" x14ac:dyDescent="0.3">
      <c r="A34" s="117">
        <v>33</v>
      </c>
      <c r="B34" s="120">
        <v>4</v>
      </c>
      <c r="C34" s="122">
        <v>201610102</v>
      </c>
      <c r="D34" s="112" t="str">
        <f t="shared" ref="D34:D54" si="75">VLOOKUP(VALUE(AC34),$AJ$4:$AK$8,2,FALSE)&amp;"학과"</f>
        <v>컴퓨터학과</v>
      </c>
      <c r="E34" s="120" t="s">
        <v>43</v>
      </c>
      <c r="F34" s="121">
        <v>46</v>
      </c>
      <c r="G34" s="173">
        <f t="shared" si="6"/>
        <v>23</v>
      </c>
      <c r="H34" s="114">
        <f t="shared" si="7"/>
        <v>51</v>
      </c>
      <c r="I34" s="174">
        <f t="shared" si="8"/>
        <v>3</v>
      </c>
      <c r="J34" s="187">
        <v>58</v>
      </c>
      <c r="K34" s="173">
        <f t="shared" si="9"/>
        <v>52.73</v>
      </c>
      <c r="L34" s="114">
        <f t="shared" si="10"/>
        <v>35</v>
      </c>
      <c r="M34" s="174">
        <f t="shared" si="11"/>
        <v>18</v>
      </c>
      <c r="N34" s="183">
        <v>86.67</v>
      </c>
      <c r="O34" s="121">
        <v>10</v>
      </c>
      <c r="P34" s="173">
        <f t="shared" si="12"/>
        <v>9.09</v>
      </c>
      <c r="Q34" s="114">
        <f t="shared" si="13"/>
        <v>52</v>
      </c>
      <c r="R34" s="174">
        <f t="shared" si="14"/>
        <v>2</v>
      </c>
      <c r="S34" s="183">
        <v>10</v>
      </c>
      <c r="T34" s="114">
        <f t="shared" si="15"/>
        <v>51</v>
      </c>
      <c r="U34" s="114">
        <f t="shared" si="16"/>
        <v>3</v>
      </c>
      <c r="V34" s="121">
        <v>60</v>
      </c>
      <c r="W34" s="168">
        <f t="shared" ref="W34:W65" si="76">ROUND(G34*0.3+K34*0.35+N34*0.1+P34*0.1+S34*0.1+V34*0.05,2)</f>
        <v>38.93</v>
      </c>
      <c r="X34" s="120">
        <f t="shared" si="17"/>
        <v>47</v>
      </c>
      <c r="Y34" s="169">
        <f t="shared" si="18"/>
        <v>7</v>
      </c>
      <c r="Z34" s="9">
        <f t="shared" si="19"/>
        <v>47</v>
      </c>
      <c r="AA34" s="10"/>
      <c r="AB34" s="9" t="str">
        <f t="shared" ref="AB34:AB54" si="77">LEFT(C34,4)</f>
        <v>2016</v>
      </c>
      <c r="AC34" s="116" t="str">
        <f t="shared" ref="AC34:AC54" si="78">MID(C34,5,3)</f>
        <v>101</v>
      </c>
      <c r="AD34" s="9" t="b">
        <f t="shared" si="20"/>
        <v>1</v>
      </c>
      <c r="AE34" s="9" t="str">
        <f t="shared" ref="AE34:AE54" si="79">IF(X34&lt;=$AK$11*0.3, "A", IF(X34&lt;=$AK$11*0.6, "B", IF(X34&lt;=$AK$11*0.8, "C", IF(X34&lt;=$AK$11*0.9, "D","F"))))</f>
        <v>D</v>
      </c>
      <c r="AF34" s="9" t="str">
        <f t="shared" ref="AF34:AF54" si="80">IF(AND(X34&lt;=$AK$11*0.3, W34&gt;=$AP$3, AA34=""), "A+",IF(AND(X34&lt;=$AK$11*0.3, OR(W34&lt;$AP$3, AB34&lt;="2015")), "A0", IF(AND(X34&lt;=$AK$11*0.6, W34&gt;=$AP$4), "B+", IF(AND(X34&lt;=$AK$11*0.6, W34&lt;$AP$4), "B0",IF(AND(X34&lt;=$AK$11*0.8, W34&gt;=$AP$5), "C+", IF(AND(X34&lt;=$AK$11*0.8, W34&lt;$AP$5), "C0", IF(AND(X34&lt;=$AK$11*0.9, W34&gt;=$AP$6), "D+", IF(AND(X34&lt;=$AK$11*0.9, W34&lt;$AP$6), "D0","F"))))))))</f>
        <v>D0</v>
      </c>
      <c r="AJ34" s="144" t="s">
        <v>101</v>
      </c>
      <c r="AK34" s="93">
        <f t="shared" si="65"/>
        <v>0</v>
      </c>
      <c r="AL34" s="150" t="str">
        <f t="shared" si="66"/>
        <v>NV</v>
      </c>
      <c r="AM34" s="151">
        <f t="shared" si="56"/>
        <v>133.43</v>
      </c>
      <c r="AN34" s="152">
        <f t="shared" ref="AN34" si="81">IFERROR(ROUND(AVERAGEIFS($W$2:$W$54,$AC$2:$AC$54,"="&amp;AM$29,$AF$2:$AF$54,"="&amp;$AJ34),2),"NV")</f>
        <v>66.72</v>
      </c>
      <c r="AO34" s="153">
        <f t="shared" si="58"/>
        <v>126.81</v>
      </c>
      <c r="AP34" s="150">
        <f t="shared" ref="AP34" si="82">IFERROR(ROUND(AVERAGEIFS($W$2:$W$54,$AC$2:$AC$54,"="&amp;AO$29,$AF$2:$AF$54,"="&amp;$AJ34),2),"NV")</f>
        <v>63.41</v>
      </c>
      <c r="AQ34" s="151">
        <f t="shared" si="60"/>
        <v>132.76</v>
      </c>
      <c r="AR34" s="152">
        <f t="shared" ref="AR34" si="83">IFERROR(ROUND(AVERAGEIFS($W$2:$W$54,$AC$2:$AC$54,"="&amp;AQ$29,$AF$2:$AF$54,"="&amp;$AJ34),2),"NV")</f>
        <v>66.38</v>
      </c>
      <c r="AS34" s="153">
        <f t="shared" si="62"/>
        <v>135.59</v>
      </c>
      <c r="AT34" s="73">
        <f t="shared" si="63"/>
        <v>67.8</v>
      </c>
      <c r="AV34" s="211"/>
      <c r="AW34" s="205"/>
      <c r="AX34" s="41" t="s">
        <v>124</v>
      </c>
      <c r="AY34" s="56">
        <f t="shared" ref="AY34:BG34" si="84">SUMIFS($W$2:$W$54,$B$2:$B$54,"="&amp;$AW33,$AC$2:$AC$54,"="&amp;$AV$27,$AF$2:$AF$54,"="&amp;AY$2)</f>
        <v>81.27</v>
      </c>
      <c r="AZ34" s="42">
        <f t="shared" si="84"/>
        <v>73.77</v>
      </c>
      <c r="BA34" s="42">
        <f t="shared" si="84"/>
        <v>0</v>
      </c>
      <c r="BB34" s="42">
        <f t="shared" si="84"/>
        <v>0</v>
      </c>
      <c r="BC34" s="42">
        <f t="shared" si="84"/>
        <v>0</v>
      </c>
      <c r="BD34" s="42">
        <f t="shared" si="84"/>
        <v>0</v>
      </c>
      <c r="BE34" s="42">
        <f t="shared" si="84"/>
        <v>0</v>
      </c>
      <c r="BF34" s="42">
        <f t="shared" si="84"/>
        <v>0</v>
      </c>
      <c r="BG34" s="41">
        <f t="shared" si="84"/>
        <v>0</v>
      </c>
    </row>
    <row r="35" spans="1:59" ht="19.899999999999999" customHeight="1" x14ac:dyDescent="0.3">
      <c r="A35" s="117">
        <v>34</v>
      </c>
      <c r="B35" s="120">
        <v>1</v>
      </c>
      <c r="C35" s="122">
        <v>201810418</v>
      </c>
      <c r="D35" s="112" t="str">
        <f t="shared" si="75"/>
        <v>게임학과</v>
      </c>
      <c r="E35" s="120" t="s">
        <v>44</v>
      </c>
      <c r="F35" s="121">
        <v>85</v>
      </c>
      <c r="G35" s="173">
        <f t="shared" si="6"/>
        <v>42.5</v>
      </c>
      <c r="H35" s="114">
        <f t="shared" si="7"/>
        <v>41</v>
      </c>
      <c r="I35" s="174">
        <f t="shared" si="8"/>
        <v>13</v>
      </c>
      <c r="J35" s="187">
        <v>58</v>
      </c>
      <c r="K35" s="173">
        <f t="shared" si="9"/>
        <v>52.73</v>
      </c>
      <c r="L35" s="114">
        <f t="shared" si="10"/>
        <v>35</v>
      </c>
      <c r="M35" s="174">
        <f t="shared" si="11"/>
        <v>18</v>
      </c>
      <c r="N35" s="183">
        <v>94.44</v>
      </c>
      <c r="O35" s="121">
        <v>40</v>
      </c>
      <c r="P35" s="173">
        <f t="shared" si="12"/>
        <v>36.36</v>
      </c>
      <c r="Q35" s="114">
        <f t="shared" si="13"/>
        <v>42</v>
      </c>
      <c r="R35" s="174">
        <f t="shared" si="14"/>
        <v>12</v>
      </c>
      <c r="S35" s="183">
        <v>58</v>
      </c>
      <c r="T35" s="114">
        <f t="shared" si="15"/>
        <v>22</v>
      </c>
      <c r="U35" s="114">
        <f t="shared" si="16"/>
        <v>31</v>
      </c>
      <c r="V35" s="121">
        <v>60</v>
      </c>
      <c r="W35" s="168">
        <f t="shared" si="76"/>
        <v>53.09</v>
      </c>
      <c r="X35" s="120">
        <f t="shared" si="17"/>
        <v>39</v>
      </c>
      <c r="Y35" s="169">
        <f t="shared" si="18"/>
        <v>15</v>
      </c>
      <c r="Z35" s="9">
        <f t="shared" si="19"/>
        <v>39</v>
      </c>
      <c r="AA35" s="10"/>
      <c r="AB35" s="9" t="str">
        <f t="shared" si="77"/>
        <v>2018</v>
      </c>
      <c r="AC35" s="116" t="str">
        <f t="shared" si="78"/>
        <v>104</v>
      </c>
      <c r="AD35" s="9" t="b">
        <f t="shared" si="20"/>
        <v>1</v>
      </c>
      <c r="AE35" s="9" t="str">
        <f t="shared" si="79"/>
        <v>C</v>
      </c>
      <c r="AF35" s="9" t="str">
        <f t="shared" si="80"/>
        <v>C0</v>
      </c>
      <c r="AJ35" s="144" t="s">
        <v>102</v>
      </c>
      <c r="AK35" s="93">
        <f t="shared" si="65"/>
        <v>172.47</v>
      </c>
      <c r="AL35" s="150">
        <f t="shared" si="66"/>
        <v>57.49</v>
      </c>
      <c r="AM35" s="151">
        <f t="shared" si="56"/>
        <v>117.33</v>
      </c>
      <c r="AN35" s="152">
        <f t="shared" ref="AN35" si="85">IFERROR(ROUND(AVERAGEIFS($W$2:$W$54,$AC$2:$AC$54,"="&amp;AM$29,$AF$2:$AF$54,"="&amp;$AJ35),2),"NV")</f>
        <v>58.67</v>
      </c>
      <c r="AO35" s="153">
        <f t="shared" si="58"/>
        <v>59.99</v>
      </c>
      <c r="AP35" s="150">
        <f t="shared" ref="AP35" si="86">IFERROR(ROUND(AVERAGEIFS($W$2:$W$54,$AC$2:$AC$54,"="&amp;AO$29,$AF$2:$AF$54,"="&amp;$AJ35),2),"NV")</f>
        <v>59.99</v>
      </c>
      <c r="AQ35" s="151">
        <f t="shared" si="60"/>
        <v>0</v>
      </c>
      <c r="AR35" s="152" t="str">
        <f t="shared" ref="AR35" si="87">IFERROR(ROUND(AVERAGEIFS($W$2:$W$54,$AC$2:$AC$54,"="&amp;AQ$29,$AF$2:$AF$54,"="&amp;$AJ35),2),"NV")</f>
        <v>NV</v>
      </c>
      <c r="AS35" s="153">
        <f t="shared" si="62"/>
        <v>0</v>
      </c>
      <c r="AT35" s="73" t="str">
        <f t="shared" si="63"/>
        <v>NV</v>
      </c>
      <c r="AV35" s="211"/>
      <c r="AW35" s="207"/>
      <c r="AX35" s="43" t="s">
        <v>125</v>
      </c>
      <c r="AY35" s="57">
        <f t="shared" ref="AY35:BG35" si="88">IFERROR(ROUND(AVERAGEIFS($W$2:$W$54,$B$2:$B$54,"="&amp;$AW33,$AC$2:$AC$54,"="&amp;$AV$27,$AF$2:$AF$54,"="&amp;AY$2),2),"-")</f>
        <v>81.27</v>
      </c>
      <c r="AZ35" s="44">
        <f t="shared" si="88"/>
        <v>73.77</v>
      </c>
      <c r="BA35" s="44" t="str">
        <f t="shared" si="88"/>
        <v>-</v>
      </c>
      <c r="BB35" s="44" t="str">
        <f t="shared" si="88"/>
        <v>-</v>
      </c>
      <c r="BC35" s="44" t="str">
        <f t="shared" si="88"/>
        <v>-</v>
      </c>
      <c r="BD35" s="44" t="str">
        <f t="shared" si="88"/>
        <v>-</v>
      </c>
      <c r="BE35" s="44" t="str">
        <f t="shared" si="88"/>
        <v>-</v>
      </c>
      <c r="BF35" s="44" t="str">
        <f t="shared" si="88"/>
        <v>-</v>
      </c>
      <c r="BG35" s="43" t="str">
        <f t="shared" si="88"/>
        <v>-</v>
      </c>
    </row>
    <row r="36" spans="1:59" ht="19.899999999999999" customHeight="1" x14ac:dyDescent="0.3">
      <c r="A36" s="117">
        <v>35</v>
      </c>
      <c r="B36" s="120">
        <v>2</v>
      </c>
      <c r="C36" s="122">
        <v>201710223</v>
      </c>
      <c r="D36" s="112" t="str">
        <f t="shared" si="75"/>
        <v>보안학과</v>
      </c>
      <c r="E36" s="120" t="s">
        <v>45</v>
      </c>
      <c r="F36" s="121">
        <v>52</v>
      </c>
      <c r="G36" s="173">
        <f t="shared" si="6"/>
        <v>26</v>
      </c>
      <c r="H36" s="114">
        <f t="shared" si="7"/>
        <v>50</v>
      </c>
      <c r="I36" s="174">
        <f t="shared" si="8"/>
        <v>4</v>
      </c>
      <c r="J36" s="187">
        <v>56</v>
      </c>
      <c r="K36" s="173">
        <f t="shared" si="9"/>
        <v>50.91</v>
      </c>
      <c r="L36" s="114">
        <f t="shared" si="10"/>
        <v>38</v>
      </c>
      <c r="M36" s="174">
        <f t="shared" si="11"/>
        <v>15</v>
      </c>
      <c r="N36" s="183">
        <v>83.33</v>
      </c>
      <c r="O36" s="121">
        <v>31</v>
      </c>
      <c r="P36" s="173">
        <f t="shared" si="12"/>
        <v>28.18</v>
      </c>
      <c r="Q36" s="114">
        <f t="shared" si="13"/>
        <v>46</v>
      </c>
      <c r="R36" s="174">
        <f t="shared" si="14"/>
        <v>8</v>
      </c>
      <c r="S36" s="183">
        <v>0</v>
      </c>
      <c r="T36" s="114">
        <f t="shared" si="15"/>
        <v>52</v>
      </c>
      <c r="U36" s="114">
        <f t="shared" si="16"/>
        <v>1</v>
      </c>
      <c r="V36" s="121">
        <v>60</v>
      </c>
      <c r="W36" s="168">
        <f t="shared" si="76"/>
        <v>39.770000000000003</v>
      </c>
      <c r="X36" s="120">
        <f t="shared" si="17"/>
        <v>46</v>
      </c>
      <c r="Y36" s="169">
        <f t="shared" si="18"/>
        <v>8</v>
      </c>
      <c r="Z36" s="9">
        <f t="shared" si="19"/>
        <v>46</v>
      </c>
      <c r="AA36" s="10" t="s">
        <v>71</v>
      </c>
      <c r="AB36" s="9" t="str">
        <f t="shared" si="77"/>
        <v>2017</v>
      </c>
      <c r="AC36" s="116" t="str">
        <f t="shared" si="78"/>
        <v>102</v>
      </c>
      <c r="AD36" s="9" t="b">
        <f t="shared" si="20"/>
        <v>0</v>
      </c>
      <c r="AE36" s="9" t="str">
        <f t="shared" si="79"/>
        <v>D</v>
      </c>
      <c r="AF36" s="9" t="str">
        <f t="shared" si="80"/>
        <v>D0</v>
      </c>
      <c r="AJ36" s="144" t="s">
        <v>103</v>
      </c>
      <c r="AK36" s="93">
        <f t="shared" si="65"/>
        <v>107.03999999999999</v>
      </c>
      <c r="AL36" s="150">
        <f t="shared" si="66"/>
        <v>53.52</v>
      </c>
      <c r="AM36" s="151">
        <f t="shared" si="56"/>
        <v>0</v>
      </c>
      <c r="AN36" s="152" t="str">
        <f t="shared" ref="AN36" si="89">IFERROR(ROUND(AVERAGEIFS($W$2:$W$54,$AC$2:$AC$54,"="&amp;AM$29,$AF$2:$AF$54,"="&amp;$AJ36),2),"NV")</f>
        <v>NV</v>
      </c>
      <c r="AO36" s="153">
        <f t="shared" si="58"/>
        <v>45.71</v>
      </c>
      <c r="AP36" s="150">
        <f t="shared" ref="AP36" si="90">IFERROR(ROUND(AVERAGEIFS($W$2:$W$54,$AC$2:$AC$54,"="&amp;AO$29,$AF$2:$AF$54,"="&amp;$AJ36),2),"NV")</f>
        <v>45.71</v>
      </c>
      <c r="AQ36" s="151">
        <f t="shared" si="60"/>
        <v>101.25</v>
      </c>
      <c r="AR36" s="152">
        <f t="shared" ref="AR36" si="91">IFERROR(ROUND(AVERAGEIFS($W$2:$W$54,$AC$2:$AC$54,"="&amp;AQ$29,$AF$2:$AF$54,"="&amp;$AJ36),2),"NV")</f>
        <v>50.63</v>
      </c>
      <c r="AS36" s="153">
        <f t="shared" si="62"/>
        <v>0</v>
      </c>
      <c r="AT36" s="73" t="str">
        <f t="shared" si="63"/>
        <v>NV</v>
      </c>
      <c r="AV36" s="211"/>
      <c r="AW36" s="204">
        <v>4</v>
      </c>
      <c r="AX36" s="47" t="s">
        <v>123</v>
      </c>
      <c r="AY36" s="60">
        <f t="shared" ref="AY36:BG36" si="92">COUNTIFS($B$2:$B$54,"="&amp;$AW36,$AC$2:$AC$54,"="&amp;$AV$27,$AF$2:$AF$54,"="&amp;AY$2)</f>
        <v>0</v>
      </c>
      <c r="AZ36" s="50">
        <f t="shared" si="92"/>
        <v>1</v>
      </c>
      <c r="BA36" s="50">
        <f t="shared" si="92"/>
        <v>0</v>
      </c>
      <c r="BB36" s="50">
        <f t="shared" si="92"/>
        <v>1</v>
      </c>
      <c r="BC36" s="50">
        <f t="shared" si="92"/>
        <v>0</v>
      </c>
      <c r="BD36" s="50">
        <f t="shared" si="92"/>
        <v>0</v>
      </c>
      <c r="BE36" s="50">
        <f t="shared" si="92"/>
        <v>0</v>
      </c>
      <c r="BF36" s="50">
        <f t="shared" si="92"/>
        <v>0</v>
      </c>
      <c r="BG36" s="49">
        <f t="shared" si="92"/>
        <v>0</v>
      </c>
    </row>
    <row r="37" spans="1:59" ht="19.899999999999999" customHeight="1" x14ac:dyDescent="0.3">
      <c r="A37" s="117">
        <v>36</v>
      </c>
      <c r="B37" s="120">
        <v>2</v>
      </c>
      <c r="C37" s="122">
        <v>201710339</v>
      </c>
      <c r="D37" s="112" t="str">
        <f t="shared" si="75"/>
        <v>전자학과</v>
      </c>
      <c r="E37" s="120" t="s">
        <v>46</v>
      </c>
      <c r="F37" s="121">
        <v>16</v>
      </c>
      <c r="G37" s="173">
        <f t="shared" si="6"/>
        <v>8</v>
      </c>
      <c r="H37" s="114">
        <f t="shared" si="7"/>
        <v>53</v>
      </c>
      <c r="I37" s="174">
        <f t="shared" si="8"/>
        <v>1</v>
      </c>
      <c r="J37" s="187">
        <v>20</v>
      </c>
      <c r="K37" s="173">
        <f t="shared" si="9"/>
        <v>18.18</v>
      </c>
      <c r="L37" s="114">
        <f t="shared" si="10"/>
        <v>50</v>
      </c>
      <c r="M37" s="174">
        <f t="shared" si="11"/>
        <v>4</v>
      </c>
      <c r="N37" s="183">
        <v>88.89</v>
      </c>
      <c r="O37" s="121">
        <v>20</v>
      </c>
      <c r="P37" s="173">
        <f t="shared" si="12"/>
        <v>18.18</v>
      </c>
      <c r="Q37" s="114">
        <f t="shared" si="13"/>
        <v>50</v>
      </c>
      <c r="R37" s="174">
        <f t="shared" si="14"/>
        <v>4</v>
      </c>
      <c r="S37" s="183">
        <v>21</v>
      </c>
      <c r="T37" s="114">
        <f t="shared" si="15"/>
        <v>46</v>
      </c>
      <c r="U37" s="114">
        <f t="shared" si="16"/>
        <v>7</v>
      </c>
      <c r="V37" s="121">
        <v>100</v>
      </c>
      <c r="W37" s="168">
        <f t="shared" si="76"/>
        <v>26.57</v>
      </c>
      <c r="X37" s="120">
        <f t="shared" si="17"/>
        <v>53</v>
      </c>
      <c r="Y37" s="169">
        <f t="shared" si="18"/>
        <v>1</v>
      </c>
      <c r="Z37" s="9">
        <f t="shared" si="19"/>
        <v>53</v>
      </c>
      <c r="AA37" s="10"/>
      <c r="AB37" s="9" t="str">
        <f t="shared" si="77"/>
        <v>2017</v>
      </c>
      <c r="AC37" s="116" t="str">
        <f t="shared" si="78"/>
        <v>103</v>
      </c>
      <c r="AD37" s="9" t="b">
        <f t="shared" si="20"/>
        <v>1</v>
      </c>
      <c r="AE37" s="9" t="str">
        <f t="shared" si="79"/>
        <v>F</v>
      </c>
      <c r="AF37" s="9" t="str">
        <f t="shared" si="80"/>
        <v>F</v>
      </c>
      <c r="AJ37" s="144" t="s">
        <v>104</v>
      </c>
      <c r="AK37" s="93">
        <f t="shared" si="65"/>
        <v>0</v>
      </c>
      <c r="AL37" s="150" t="str">
        <f t="shared" si="66"/>
        <v>NV</v>
      </c>
      <c r="AM37" s="151">
        <f t="shared" si="56"/>
        <v>44.88</v>
      </c>
      <c r="AN37" s="152">
        <f t="shared" ref="AN37" si="93">IFERROR(ROUND(AVERAGEIFS($W$2:$W$54,$AC$2:$AC$54,"="&amp;AM$29,$AF$2:$AF$54,"="&amp;$AJ37),2),"NV")</f>
        <v>44.88</v>
      </c>
      <c r="AO37" s="153">
        <f t="shared" si="58"/>
        <v>0</v>
      </c>
      <c r="AP37" s="150" t="str">
        <f t="shared" ref="AP37" si="94">IFERROR(ROUND(AVERAGEIFS($W$2:$W$54,$AC$2:$AC$54,"="&amp;AO$29,$AF$2:$AF$54,"="&amp;$AJ37),2),"NV")</f>
        <v>NV</v>
      </c>
      <c r="AQ37" s="151">
        <f t="shared" si="60"/>
        <v>43.09</v>
      </c>
      <c r="AR37" s="152">
        <f t="shared" ref="AR37" si="95">IFERROR(ROUND(AVERAGEIFS($W$2:$W$54,$AC$2:$AC$54,"="&amp;AQ$29,$AF$2:$AF$54,"="&amp;$AJ37),2),"NV")</f>
        <v>43.09</v>
      </c>
      <c r="AS37" s="153">
        <f t="shared" si="62"/>
        <v>43.86</v>
      </c>
      <c r="AT37" s="73">
        <f t="shared" si="63"/>
        <v>43.86</v>
      </c>
      <c r="AV37" s="211"/>
      <c r="AW37" s="205"/>
      <c r="AX37" s="41" t="s">
        <v>124</v>
      </c>
      <c r="AY37" s="56">
        <f t="shared" ref="AY37:BG37" si="96">SUMIFS($W$2:$W$54,$B$2:$B$54,"="&amp;$AW36,$AC$2:$AC$54,"="&amp;$AV$27,$AF$2:$AF$54,"="&amp;AY$2)</f>
        <v>0</v>
      </c>
      <c r="AZ37" s="42">
        <f t="shared" si="96"/>
        <v>75.33</v>
      </c>
      <c r="BA37" s="42">
        <f t="shared" si="96"/>
        <v>0</v>
      </c>
      <c r="BB37" s="42">
        <f t="shared" si="96"/>
        <v>62.86</v>
      </c>
      <c r="BC37" s="42">
        <f t="shared" si="96"/>
        <v>0</v>
      </c>
      <c r="BD37" s="42">
        <f t="shared" si="96"/>
        <v>0</v>
      </c>
      <c r="BE37" s="42">
        <f t="shared" si="96"/>
        <v>0</v>
      </c>
      <c r="BF37" s="42">
        <f t="shared" si="96"/>
        <v>0</v>
      </c>
      <c r="BG37" s="41">
        <f t="shared" si="96"/>
        <v>0</v>
      </c>
    </row>
    <row r="38" spans="1:59" ht="19.899999999999999" customHeight="1" thickBot="1" x14ac:dyDescent="0.35">
      <c r="A38" s="117">
        <v>37</v>
      </c>
      <c r="B38" s="120">
        <v>2</v>
      </c>
      <c r="C38" s="122">
        <v>201810223</v>
      </c>
      <c r="D38" s="112" t="str">
        <f t="shared" si="75"/>
        <v>보안학과</v>
      </c>
      <c r="E38" s="120" t="s">
        <v>47</v>
      </c>
      <c r="F38" s="121">
        <v>143</v>
      </c>
      <c r="G38" s="173">
        <f t="shared" si="6"/>
        <v>71.5</v>
      </c>
      <c r="H38" s="114">
        <f t="shared" si="7"/>
        <v>12</v>
      </c>
      <c r="I38" s="174">
        <f t="shared" si="8"/>
        <v>42</v>
      </c>
      <c r="J38" s="187">
        <v>82</v>
      </c>
      <c r="K38" s="173">
        <f t="shared" si="9"/>
        <v>74.55</v>
      </c>
      <c r="L38" s="114">
        <f t="shared" si="10"/>
        <v>14</v>
      </c>
      <c r="M38" s="174">
        <f t="shared" si="11"/>
        <v>39</v>
      </c>
      <c r="N38" s="183">
        <v>100</v>
      </c>
      <c r="O38" s="121">
        <v>48</v>
      </c>
      <c r="P38" s="173">
        <f t="shared" si="12"/>
        <v>43.64</v>
      </c>
      <c r="Q38" s="114">
        <f t="shared" si="13"/>
        <v>34</v>
      </c>
      <c r="R38" s="174">
        <f t="shared" si="14"/>
        <v>18</v>
      </c>
      <c r="S38" s="183">
        <v>65</v>
      </c>
      <c r="T38" s="114">
        <f t="shared" si="15"/>
        <v>18</v>
      </c>
      <c r="U38" s="114">
        <f t="shared" si="16"/>
        <v>36</v>
      </c>
      <c r="V38" s="121">
        <v>100</v>
      </c>
      <c r="W38" s="168">
        <f t="shared" si="76"/>
        <v>73.41</v>
      </c>
      <c r="X38" s="120">
        <f t="shared" si="17"/>
        <v>14</v>
      </c>
      <c r="Y38" s="169">
        <f t="shared" si="18"/>
        <v>40</v>
      </c>
      <c r="Z38" s="9">
        <f t="shared" si="19"/>
        <v>14</v>
      </c>
      <c r="AA38" s="10"/>
      <c r="AB38" s="9" t="str">
        <f t="shared" si="77"/>
        <v>2018</v>
      </c>
      <c r="AC38" s="116" t="str">
        <f t="shared" si="78"/>
        <v>102</v>
      </c>
      <c r="AD38" s="9" t="b">
        <f t="shared" si="20"/>
        <v>1</v>
      </c>
      <c r="AE38" s="9" t="str">
        <f t="shared" si="79"/>
        <v>A</v>
      </c>
      <c r="AF38" s="9" t="str">
        <f t="shared" si="80"/>
        <v>A0</v>
      </c>
      <c r="AJ38" s="144" t="s">
        <v>105</v>
      </c>
      <c r="AK38" s="93">
        <f t="shared" si="65"/>
        <v>38.93</v>
      </c>
      <c r="AL38" s="150">
        <f t="shared" si="66"/>
        <v>38.93</v>
      </c>
      <c r="AM38" s="151">
        <f t="shared" si="56"/>
        <v>39.770000000000003</v>
      </c>
      <c r="AN38" s="152">
        <f t="shared" ref="AN38" si="97">IFERROR(ROUND(AVERAGEIFS($W$2:$W$54,$AC$2:$AC$54,"="&amp;AM$29,$AF$2:$AF$54,"="&amp;$AJ38),2),"NV")</f>
        <v>39.770000000000003</v>
      </c>
      <c r="AO38" s="153">
        <f t="shared" si="58"/>
        <v>0</v>
      </c>
      <c r="AP38" s="150" t="str">
        <f t="shared" ref="AP38" si="98">IFERROR(ROUND(AVERAGEIFS($W$2:$W$54,$AC$2:$AC$54,"="&amp;AO$29,$AF$2:$AF$54,"="&amp;$AJ38),2),"NV")</f>
        <v>NV</v>
      </c>
      <c r="AQ38" s="151">
        <f t="shared" si="60"/>
        <v>0</v>
      </c>
      <c r="AR38" s="152" t="str">
        <f t="shared" ref="AR38" si="99">IFERROR(ROUND(AVERAGEIFS($W$2:$W$54,$AC$2:$AC$54,"="&amp;AQ$29,$AF$2:$AF$54,"="&amp;$AJ38),2),"NV")</f>
        <v>NV</v>
      </c>
      <c r="AS38" s="153">
        <f t="shared" si="62"/>
        <v>0</v>
      </c>
      <c r="AT38" s="73" t="str">
        <f t="shared" si="63"/>
        <v>NV</v>
      </c>
      <c r="AV38" s="211"/>
      <c r="AW38" s="205"/>
      <c r="AX38" s="45" t="s">
        <v>125</v>
      </c>
      <c r="AY38" s="62" t="str">
        <f t="shared" ref="AY38:BG38" si="100">IFERROR(ROUND(AVERAGEIFS($W$2:$W$54,$B$2:$B$54,"="&amp;$AW36,$AC$2:$AC$54,"="&amp;$AV$27,$AF$2:$AF$54,"="&amp;AY$2),2),"-")</f>
        <v>-</v>
      </c>
      <c r="AZ38" s="54">
        <f t="shared" si="100"/>
        <v>75.33</v>
      </c>
      <c r="BA38" s="54" t="str">
        <f t="shared" si="100"/>
        <v>-</v>
      </c>
      <c r="BB38" s="54">
        <f t="shared" si="100"/>
        <v>62.86</v>
      </c>
      <c r="BC38" s="54" t="str">
        <f t="shared" si="100"/>
        <v>-</v>
      </c>
      <c r="BD38" s="54" t="str">
        <f t="shared" si="100"/>
        <v>-</v>
      </c>
      <c r="BE38" s="54" t="str">
        <f t="shared" si="100"/>
        <v>-</v>
      </c>
      <c r="BF38" s="54" t="str">
        <f t="shared" si="100"/>
        <v>-</v>
      </c>
      <c r="BG38" s="53" t="str">
        <f t="shared" si="100"/>
        <v>-</v>
      </c>
    </row>
    <row r="39" spans="1:59" ht="19.899999999999999" customHeight="1" thickTop="1" thickBot="1" x14ac:dyDescent="0.35">
      <c r="A39" s="117">
        <v>38</v>
      </c>
      <c r="B39" s="120">
        <v>3</v>
      </c>
      <c r="C39" s="122">
        <v>201510196</v>
      </c>
      <c r="D39" s="112" t="str">
        <f t="shared" si="75"/>
        <v>컴퓨터학과</v>
      </c>
      <c r="E39" s="120" t="s">
        <v>48</v>
      </c>
      <c r="F39" s="121">
        <v>160</v>
      </c>
      <c r="G39" s="173">
        <f t="shared" si="6"/>
        <v>80</v>
      </c>
      <c r="H39" s="114">
        <f t="shared" si="7"/>
        <v>3</v>
      </c>
      <c r="I39" s="174">
        <f t="shared" si="8"/>
        <v>50</v>
      </c>
      <c r="J39" s="187">
        <v>79</v>
      </c>
      <c r="K39" s="173">
        <f t="shared" si="9"/>
        <v>71.819999999999993</v>
      </c>
      <c r="L39" s="114">
        <f t="shared" si="10"/>
        <v>18</v>
      </c>
      <c r="M39" s="174">
        <f t="shared" si="11"/>
        <v>35</v>
      </c>
      <c r="N39" s="183">
        <v>91.11</v>
      </c>
      <c r="O39" s="121">
        <v>67</v>
      </c>
      <c r="P39" s="173">
        <f t="shared" si="12"/>
        <v>60.91</v>
      </c>
      <c r="Q39" s="114">
        <f t="shared" si="13"/>
        <v>13</v>
      </c>
      <c r="R39" s="174">
        <f t="shared" si="14"/>
        <v>41</v>
      </c>
      <c r="S39" s="183">
        <v>95</v>
      </c>
      <c r="T39" s="114">
        <f t="shared" si="15"/>
        <v>1</v>
      </c>
      <c r="U39" s="114">
        <f t="shared" si="16"/>
        <v>53</v>
      </c>
      <c r="V39" s="121">
        <v>100</v>
      </c>
      <c r="W39" s="168">
        <f t="shared" si="76"/>
        <v>78.84</v>
      </c>
      <c r="X39" s="120">
        <f t="shared" si="17"/>
        <v>5</v>
      </c>
      <c r="Y39" s="169">
        <f t="shared" si="18"/>
        <v>49</v>
      </c>
      <c r="Z39" s="9">
        <f t="shared" si="19"/>
        <v>5</v>
      </c>
      <c r="AA39" s="10" t="s">
        <v>71</v>
      </c>
      <c r="AB39" s="9" t="str">
        <f t="shared" si="77"/>
        <v>2015</v>
      </c>
      <c r="AC39" s="116" t="str">
        <f t="shared" si="78"/>
        <v>101</v>
      </c>
      <c r="AD39" s="9" t="b">
        <f t="shared" si="20"/>
        <v>1</v>
      </c>
      <c r="AE39" s="9" t="str">
        <f t="shared" si="79"/>
        <v>A</v>
      </c>
      <c r="AF39" s="9" t="str">
        <f t="shared" si="80"/>
        <v>A0</v>
      </c>
      <c r="AJ39" s="146" t="s">
        <v>97</v>
      </c>
      <c r="AK39" s="76">
        <f t="shared" si="65"/>
        <v>96.93</v>
      </c>
      <c r="AL39" s="83">
        <f t="shared" si="66"/>
        <v>32.31</v>
      </c>
      <c r="AM39" s="148">
        <f t="shared" si="56"/>
        <v>0</v>
      </c>
      <c r="AN39" s="149" t="str">
        <f t="shared" ref="AN39" si="101">IFERROR(ROUND(AVERAGEIFS($W$2:$W$54,$AC$2:$AC$54,"="&amp;AM$29,$AF$2:$AF$54,"="&amp;$AJ39),2),"NV")</f>
        <v>NV</v>
      </c>
      <c r="AO39" s="75">
        <f t="shared" si="58"/>
        <v>26.57</v>
      </c>
      <c r="AP39" s="83">
        <f t="shared" ref="AP39" si="102">IFERROR(ROUND(AVERAGEIFS($W$2:$W$54,$AC$2:$AC$54,"="&amp;AO$29,$AF$2:$AF$54,"="&amp;$AJ39),2),"NV")</f>
        <v>26.57</v>
      </c>
      <c r="AQ39" s="148">
        <f t="shared" si="60"/>
        <v>30.02</v>
      </c>
      <c r="AR39" s="149">
        <f t="shared" ref="AR39" si="103">IFERROR(ROUND(AVERAGEIFS($W$2:$W$54,$AC$2:$AC$54,"="&amp;AQ$29,$AF$2:$AF$54,"="&amp;$AJ39),2),"NV")</f>
        <v>30.02</v>
      </c>
      <c r="AS39" s="75">
        <f t="shared" si="62"/>
        <v>28.25</v>
      </c>
      <c r="AT39" s="33">
        <f t="shared" si="63"/>
        <v>28.25</v>
      </c>
      <c r="AV39" s="213">
        <v>104</v>
      </c>
      <c r="AW39" s="209">
        <v>1</v>
      </c>
      <c r="AX39" s="51" t="s">
        <v>123</v>
      </c>
      <c r="AY39" s="61">
        <f t="shared" ref="AY39:BG39" si="104">COUNTIFS($B$2:$B$54,"="&amp;$AW39,$AC$2:$AC$54,"="&amp;$AV$39,$AF$2:$AF$54,"="&amp;AY$2)</f>
        <v>0</v>
      </c>
      <c r="AZ39" s="52">
        <f t="shared" si="104"/>
        <v>0</v>
      </c>
      <c r="BA39" s="52">
        <f t="shared" si="104"/>
        <v>0</v>
      </c>
      <c r="BB39" s="52">
        <f t="shared" si="104"/>
        <v>0</v>
      </c>
      <c r="BC39" s="52">
        <f t="shared" si="104"/>
        <v>0</v>
      </c>
      <c r="BD39" s="52">
        <f t="shared" si="104"/>
        <v>1</v>
      </c>
      <c r="BE39" s="52">
        <f t="shared" si="104"/>
        <v>0</v>
      </c>
      <c r="BF39" s="52">
        <f t="shared" si="104"/>
        <v>0</v>
      </c>
      <c r="BG39" s="51">
        <f t="shared" si="104"/>
        <v>0</v>
      </c>
    </row>
    <row r="40" spans="1:59" ht="19.899999999999999" customHeight="1" thickTop="1" x14ac:dyDescent="0.3">
      <c r="A40" s="117">
        <v>39</v>
      </c>
      <c r="B40" s="120">
        <v>2</v>
      </c>
      <c r="C40" s="122">
        <v>201610106</v>
      </c>
      <c r="D40" s="112" t="str">
        <f t="shared" si="75"/>
        <v>컴퓨터학과</v>
      </c>
      <c r="E40" s="120" t="s">
        <v>49</v>
      </c>
      <c r="F40" s="121">
        <v>128</v>
      </c>
      <c r="G40" s="173">
        <f t="shared" si="6"/>
        <v>64</v>
      </c>
      <c r="H40" s="114">
        <f t="shared" si="7"/>
        <v>25</v>
      </c>
      <c r="I40" s="174">
        <f t="shared" si="8"/>
        <v>29</v>
      </c>
      <c r="J40" s="187">
        <v>85</v>
      </c>
      <c r="K40" s="173">
        <f t="shared" si="9"/>
        <v>77.27</v>
      </c>
      <c r="L40" s="114">
        <f t="shared" si="10"/>
        <v>12</v>
      </c>
      <c r="M40" s="174">
        <f t="shared" si="11"/>
        <v>41</v>
      </c>
      <c r="N40" s="183">
        <v>100</v>
      </c>
      <c r="O40" s="121">
        <v>60</v>
      </c>
      <c r="P40" s="173">
        <f t="shared" si="12"/>
        <v>54.55</v>
      </c>
      <c r="Q40" s="114">
        <f t="shared" si="13"/>
        <v>18</v>
      </c>
      <c r="R40" s="174">
        <f t="shared" si="14"/>
        <v>34</v>
      </c>
      <c r="S40" s="183">
        <v>56</v>
      </c>
      <c r="T40" s="114">
        <f t="shared" si="15"/>
        <v>25</v>
      </c>
      <c r="U40" s="114">
        <f t="shared" si="16"/>
        <v>29</v>
      </c>
      <c r="V40" s="121">
        <v>100</v>
      </c>
      <c r="W40" s="168">
        <f t="shared" si="76"/>
        <v>72.3</v>
      </c>
      <c r="X40" s="120">
        <f t="shared" si="17"/>
        <v>17</v>
      </c>
      <c r="Y40" s="169">
        <f t="shared" si="18"/>
        <v>37</v>
      </c>
      <c r="Z40" s="9">
        <f t="shared" si="19"/>
        <v>17</v>
      </c>
      <c r="AA40" s="10"/>
      <c r="AB40" s="9" t="str">
        <f t="shared" si="77"/>
        <v>2016</v>
      </c>
      <c r="AC40" s="116" t="str">
        <f t="shared" si="78"/>
        <v>101</v>
      </c>
      <c r="AD40" s="9" t="b">
        <f t="shared" si="20"/>
        <v>1</v>
      </c>
      <c r="AE40" s="9" t="str">
        <f t="shared" si="79"/>
        <v>B</v>
      </c>
      <c r="AF40" s="9" t="str">
        <f t="shared" si="80"/>
        <v>B+</v>
      </c>
      <c r="AV40" s="211"/>
      <c r="AW40" s="205"/>
      <c r="AX40" s="41" t="s">
        <v>124</v>
      </c>
      <c r="AY40" s="56">
        <f t="shared" ref="AY40:BG40" si="105">SUMIFS($W$2:$W$54,$B$2:$B$54,"="&amp;$AW39,$AC$2:$AC$54,"="&amp;$AV$39,$AF$2:$AF$54,"="&amp;AY$2)</f>
        <v>0</v>
      </c>
      <c r="AZ40" s="42">
        <f t="shared" si="105"/>
        <v>0</v>
      </c>
      <c r="BA40" s="42">
        <f t="shared" si="105"/>
        <v>0</v>
      </c>
      <c r="BB40" s="42">
        <f t="shared" si="105"/>
        <v>0</v>
      </c>
      <c r="BC40" s="42">
        <f t="shared" si="105"/>
        <v>0</v>
      </c>
      <c r="BD40" s="42">
        <f t="shared" si="105"/>
        <v>53.09</v>
      </c>
      <c r="BE40" s="42">
        <f t="shared" si="105"/>
        <v>0</v>
      </c>
      <c r="BF40" s="42">
        <f t="shared" si="105"/>
        <v>0</v>
      </c>
      <c r="BG40" s="41">
        <f t="shared" si="105"/>
        <v>0</v>
      </c>
    </row>
    <row r="41" spans="1:59" ht="19.899999999999999" customHeight="1" x14ac:dyDescent="0.3">
      <c r="A41" s="117">
        <v>40</v>
      </c>
      <c r="B41" s="120">
        <v>2</v>
      </c>
      <c r="C41" s="122">
        <v>201710110</v>
      </c>
      <c r="D41" s="112" t="str">
        <f t="shared" si="75"/>
        <v>컴퓨터학과</v>
      </c>
      <c r="E41" s="120" t="s">
        <v>50</v>
      </c>
      <c r="F41" s="121">
        <v>167</v>
      </c>
      <c r="G41" s="173">
        <f t="shared" si="6"/>
        <v>83.5</v>
      </c>
      <c r="H41" s="114">
        <f t="shared" si="7"/>
        <v>1</v>
      </c>
      <c r="I41" s="174">
        <f t="shared" si="8"/>
        <v>53</v>
      </c>
      <c r="J41" s="187">
        <v>99</v>
      </c>
      <c r="K41" s="173">
        <f t="shared" si="9"/>
        <v>90</v>
      </c>
      <c r="L41" s="114">
        <f t="shared" si="10"/>
        <v>3</v>
      </c>
      <c r="M41" s="174">
        <f t="shared" si="11"/>
        <v>51</v>
      </c>
      <c r="N41" s="183">
        <v>100</v>
      </c>
      <c r="O41" s="121">
        <v>102</v>
      </c>
      <c r="P41" s="173">
        <f t="shared" si="12"/>
        <v>92.73</v>
      </c>
      <c r="Q41" s="114">
        <f t="shared" si="13"/>
        <v>1</v>
      </c>
      <c r="R41" s="174">
        <f t="shared" si="14"/>
        <v>53</v>
      </c>
      <c r="S41" s="183">
        <v>90</v>
      </c>
      <c r="T41" s="114">
        <f t="shared" si="15"/>
        <v>3</v>
      </c>
      <c r="U41" s="114">
        <f t="shared" si="16"/>
        <v>50</v>
      </c>
      <c r="V41" s="121">
        <v>100</v>
      </c>
      <c r="W41" s="168">
        <f t="shared" si="76"/>
        <v>89.82</v>
      </c>
      <c r="X41" s="120">
        <f t="shared" si="17"/>
        <v>1</v>
      </c>
      <c r="Y41" s="169">
        <f t="shared" si="18"/>
        <v>53</v>
      </c>
      <c r="Z41" s="9">
        <f t="shared" si="19"/>
        <v>1</v>
      </c>
      <c r="AA41" s="10"/>
      <c r="AB41" s="9" t="str">
        <f t="shared" si="77"/>
        <v>2017</v>
      </c>
      <c r="AC41" s="116" t="str">
        <f t="shared" si="78"/>
        <v>101</v>
      </c>
      <c r="AD41" s="9" t="b">
        <f t="shared" si="20"/>
        <v>1</v>
      </c>
      <c r="AE41" s="9" t="str">
        <f t="shared" si="79"/>
        <v>A</v>
      </c>
      <c r="AF41" s="9" t="str">
        <f t="shared" si="80"/>
        <v>A+</v>
      </c>
      <c r="AV41" s="211"/>
      <c r="AW41" s="207"/>
      <c r="AX41" s="43" t="s">
        <v>125</v>
      </c>
      <c r="AY41" s="58" t="str">
        <f t="shared" ref="AY41:BG41" si="106">IFERROR(ROUND(AVERAGEIFS($W$2:$W$54,$B$2:$B$54,"="&amp;$AW39,$AC$2:$AC$54,"="&amp;$AV$39,$AF$2:$AF$54,"="&amp;AY$2),2),"-")</f>
        <v>-</v>
      </c>
      <c r="AZ41" s="46" t="str">
        <f t="shared" si="106"/>
        <v>-</v>
      </c>
      <c r="BA41" s="46" t="str">
        <f t="shared" si="106"/>
        <v>-</v>
      </c>
      <c r="BB41" s="46" t="str">
        <f t="shared" si="106"/>
        <v>-</v>
      </c>
      <c r="BC41" s="46" t="str">
        <f t="shared" si="106"/>
        <v>-</v>
      </c>
      <c r="BD41" s="46">
        <f t="shared" si="106"/>
        <v>53.09</v>
      </c>
      <c r="BE41" s="46" t="str">
        <f t="shared" si="106"/>
        <v>-</v>
      </c>
      <c r="BF41" s="46" t="str">
        <f t="shared" si="106"/>
        <v>-</v>
      </c>
      <c r="BG41" s="45" t="str">
        <f t="shared" si="106"/>
        <v>-</v>
      </c>
    </row>
    <row r="42" spans="1:59" ht="19.899999999999999" customHeight="1" x14ac:dyDescent="0.3">
      <c r="A42" s="117">
        <v>41</v>
      </c>
      <c r="B42" s="120">
        <v>4</v>
      </c>
      <c r="C42" s="122">
        <v>201510311</v>
      </c>
      <c r="D42" s="112" t="str">
        <f t="shared" si="75"/>
        <v>전자학과</v>
      </c>
      <c r="E42" s="120" t="s">
        <v>51</v>
      </c>
      <c r="F42" s="121">
        <v>127</v>
      </c>
      <c r="G42" s="173">
        <f t="shared" si="6"/>
        <v>63.5</v>
      </c>
      <c r="H42" s="114">
        <f t="shared" si="7"/>
        <v>26</v>
      </c>
      <c r="I42" s="174">
        <f t="shared" si="8"/>
        <v>28</v>
      </c>
      <c r="J42" s="187">
        <v>80</v>
      </c>
      <c r="K42" s="173">
        <f t="shared" si="9"/>
        <v>72.73</v>
      </c>
      <c r="L42" s="114">
        <f t="shared" si="10"/>
        <v>16</v>
      </c>
      <c r="M42" s="174">
        <f t="shared" si="11"/>
        <v>37</v>
      </c>
      <c r="N42" s="183">
        <v>100</v>
      </c>
      <c r="O42" s="121">
        <v>74</v>
      </c>
      <c r="P42" s="173">
        <f t="shared" si="12"/>
        <v>67.27</v>
      </c>
      <c r="Q42" s="114">
        <f t="shared" si="13"/>
        <v>8</v>
      </c>
      <c r="R42" s="174">
        <f t="shared" si="14"/>
        <v>45</v>
      </c>
      <c r="S42" s="183">
        <v>91</v>
      </c>
      <c r="T42" s="114">
        <f t="shared" si="15"/>
        <v>2</v>
      </c>
      <c r="U42" s="114">
        <f t="shared" si="16"/>
        <v>52</v>
      </c>
      <c r="V42" s="121">
        <v>100</v>
      </c>
      <c r="W42" s="168">
        <f t="shared" si="76"/>
        <v>75.33</v>
      </c>
      <c r="X42" s="120">
        <f t="shared" si="17"/>
        <v>12</v>
      </c>
      <c r="Y42" s="169">
        <f t="shared" si="18"/>
        <v>42</v>
      </c>
      <c r="Z42" s="9">
        <f t="shared" si="19"/>
        <v>12</v>
      </c>
      <c r="AA42" s="10" t="s">
        <v>71</v>
      </c>
      <c r="AB42" s="9" t="str">
        <f t="shared" si="77"/>
        <v>2015</v>
      </c>
      <c r="AC42" s="116" t="str">
        <f t="shared" si="78"/>
        <v>103</v>
      </c>
      <c r="AD42" s="9" t="b">
        <f t="shared" si="20"/>
        <v>1</v>
      </c>
      <c r="AE42" s="9" t="str">
        <f t="shared" si="79"/>
        <v>A</v>
      </c>
      <c r="AF42" s="9" t="str">
        <f t="shared" si="80"/>
        <v>A0</v>
      </c>
      <c r="AV42" s="211"/>
      <c r="AW42" s="204">
        <v>2</v>
      </c>
      <c r="AX42" s="47" t="s">
        <v>123</v>
      </c>
      <c r="AY42" s="59">
        <f t="shared" ref="AY42:BG42" si="107">COUNTIFS($B$2:$B$54,"="&amp;$AW42,$AC$2:$AC$54,"="&amp;$AV$39,$AF$2:$AF$54,"="&amp;AY$2)</f>
        <v>0</v>
      </c>
      <c r="AZ42" s="48">
        <f t="shared" si="107"/>
        <v>0</v>
      </c>
      <c r="BA42" s="48">
        <f t="shared" si="107"/>
        <v>0</v>
      </c>
      <c r="BB42" s="48">
        <f t="shared" si="107"/>
        <v>1</v>
      </c>
      <c r="BC42" s="48">
        <f t="shared" si="107"/>
        <v>0</v>
      </c>
      <c r="BD42" s="48">
        <f t="shared" si="107"/>
        <v>0</v>
      </c>
      <c r="BE42" s="48">
        <f t="shared" si="107"/>
        <v>1</v>
      </c>
      <c r="BF42" s="48">
        <f t="shared" si="107"/>
        <v>0</v>
      </c>
      <c r="BG42" s="47">
        <f t="shared" si="107"/>
        <v>1</v>
      </c>
    </row>
    <row r="43" spans="1:59" ht="19.899999999999999" customHeight="1" x14ac:dyDescent="0.3">
      <c r="A43" s="117">
        <v>42</v>
      </c>
      <c r="B43" s="120">
        <v>4</v>
      </c>
      <c r="C43" s="122">
        <v>201510319</v>
      </c>
      <c r="D43" s="112" t="str">
        <f t="shared" si="75"/>
        <v>전자학과</v>
      </c>
      <c r="E43" s="120" t="s">
        <v>52</v>
      </c>
      <c r="F43" s="121">
        <v>86</v>
      </c>
      <c r="G43" s="173">
        <f t="shared" si="6"/>
        <v>43</v>
      </c>
      <c r="H43" s="114">
        <f t="shared" si="7"/>
        <v>39</v>
      </c>
      <c r="I43" s="174">
        <f t="shared" si="8"/>
        <v>14</v>
      </c>
      <c r="J43" s="187">
        <v>76</v>
      </c>
      <c r="K43" s="173">
        <f t="shared" si="9"/>
        <v>69.09</v>
      </c>
      <c r="L43" s="114">
        <f t="shared" si="10"/>
        <v>20</v>
      </c>
      <c r="M43" s="174">
        <f t="shared" si="11"/>
        <v>34</v>
      </c>
      <c r="N43" s="183">
        <v>98.89</v>
      </c>
      <c r="O43" s="121">
        <v>56</v>
      </c>
      <c r="P43" s="173">
        <f t="shared" si="12"/>
        <v>50.91</v>
      </c>
      <c r="Q43" s="114">
        <f t="shared" si="13"/>
        <v>27</v>
      </c>
      <c r="R43" s="174">
        <f t="shared" si="14"/>
        <v>26</v>
      </c>
      <c r="S43" s="183">
        <v>58</v>
      </c>
      <c r="T43" s="114">
        <f t="shared" si="15"/>
        <v>22</v>
      </c>
      <c r="U43" s="114">
        <f t="shared" si="16"/>
        <v>31</v>
      </c>
      <c r="V43" s="121">
        <v>100</v>
      </c>
      <c r="W43" s="168">
        <f t="shared" si="76"/>
        <v>62.86</v>
      </c>
      <c r="X43" s="120">
        <f t="shared" si="17"/>
        <v>31</v>
      </c>
      <c r="Y43" s="169">
        <f t="shared" si="18"/>
        <v>23</v>
      </c>
      <c r="Z43" s="9">
        <f t="shared" si="19"/>
        <v>31</v>
      </c>
      <c r="AA43" s="10" t="s">
        <v>71</v>
      </c>
      <c r="AB43" s="9" t="str">
        <f t="shared" si="77"/>
        <v>2015</v>
      </c>
      <c r="AC43" s="116" t="str">
        <f t="shared" si="78"/>
        <v>103</v>
      </c>
      <c r="AD43" s="9" t="b">
        <f t="shared" si="20"/>
        <v>1</v>
      </c>
      <c r="AE43" s="9" t="str">
        <f t="shared" si="79"/>
        <v>B</v>
      </c>
      <c r="AF43" s="9" t="str">
        <f t="shared" si="80"/>
        <v>B0</v>
      </c>
      <c r="AV43" s="211"/>
      <c r="AW43" s="205"/>
      <c r="AX43" s="41" t="s">
        <v>124</v>
      </c>
      <c r="AY43" s="56">
        <f t="shared" ref="AY43:BG43" si="108">SUMIFS($W$2:$W$54,$B$2:$B$54,"="&amp;$AW42,$AC$2:$AC$54,"="&amp;$AV$39,$AF$2:$AF$54,"="&amp;AY$2)</f>
        <v>0</v>
      </c>
      <c r="AZ43" s="42">
        <f t="shared" si="108"/>
        <v>0</v>
      </c>
      <c r="BA43" s="42">
        <f t="shared" si="108"/>
        <v>0</v>
      </c>
      <c r="BB43" s="42">
        <f t="shared" si="108"/>
        <v>68.099999999999994</v>
      </c>
      <c r="BC43" s="42">
        <f t="shared" si="108"/>
        <v>0</v>
      </c>
      <c r="BD43" s="42">
        <f t="shared" si="108"/>
        <v>0</v>
      </c>
      <c r="BE43" s="42">
        <f t="shared" si="108"/>
        <v>43.09</v>
      </c>
      <c r="BF43" s="42">
        <f t="shared" si="108"/>
        <v>0</v>
      </c>
      <c r="BG43" s="41">
        <f t="shared" si="108"/>
        <v>30.02</v>
      </c>
    </row>
    <row r="44" spans="1:59" ht="19.899999999999999" customHeight="1" x14ac:dyDescent="0.3">
      <c r="A44" s="117">
        <v>43</v>
      </c>
      <c r="B44" s="120">
        <v>3</v>
      </c>
      <c r="C44" s="122">
        <v>201510342</v>
      </c>
      <c r="D44" s="112" t="str">
        <f t="shared" si="75"/>
        <v>전자학과</v>
      </c>
      <c r="E44" s="120" t="s">
        <v>53</v>
      </c>
      <c r="F44" s="121">
        <v>160</v>
      </c>
      <c r="G44" s="173">
        <f t="shared" si="6"/>
        <v>80</v>
      </c>
      <c r="H44" s="114">
        <f t="shared" si="7"/>
        <v>3</v>
      </c>
      <c r="I44" s="174">
        <f t="shared" si="8"/>
        <v>50</v>
      </c>
      <c r="J44" s="187">
        <v>82</v>
      </c>
      <c r="K44" s="173">
        <f t="shared" si="9"/>
        <v>74.55</v>
      </c>
      <c r="L44" s="114">
        <f t="shared" si="10"/>
        <v>14</v>
      </c>
      <c r="M44" s="174">
        <f t="shared" si="11"/>
        <v>39</v>
      </c>
      <c r="N44" s="183">
        <v>100</v>
      </c>
      <c r="O44" s="121">
        <v>79</v>
      </c>
      <c r="P44" s="173">
        <f t="shared" si="12"/>
        <v>71.819999999999993</v>
      </c>
      <c r="Q44" s="114">
        <f t="shared" si="13"/>
        <v>6</v>
      </c>
      <c r="R44" s="174">
        <f t="shared" si="14"/>
        <v>48</v>
      </c>
      <c r="S44" s="183">
        <v>90</v>
      </c>
      <c r="T44" s="114">
        <f t="shared" si="15"/>
        <v>3</v>
      </c>
      <c r="U44" s="114">
        <f t="shared" si="16"/>
        <v>50</v>
      </c>
      <c r="V44" s="121">
        <v>100</v>
      </c>
      <c r="W44" s="168">
        <f t="shared" si="76"/>
        <v>81.27</v>
      </c>
      <c r="X44" s="120">
        <f t="shared" si="17"/>
        <v>4</v>
      </c>
      <c r="Y44" s="169">
        <f t="shared" si="18"/>
        <v>50</v>
      </c>
      <c r="Z44" s="9">
        <f t="shared" si="19"/>
        <v>4</v>
      </c>
      <c r="AA44" s="10"/>
      <c r="AB44" s="9" t="str">
        <f t="shared" si="77"/>
        <v>2015</v>
      </c>
      <c r="AC44" s="116" t="str">
        <f t="shared" si="78"/>
        <v>103</v>
      </c>
      <c r="AD44" s="9" t="b">
        <f t="shared" si="20"/>
        <v>1</v>
      </c>
      <c r="AE44" s="9" t="str">
        <f t="shared" si="79"/>
        <v>A</v>
      </c>
      <c r="AF44" s="9" t="str">
        <f t="shared" si="80"/>
        <v>A+</v>
      </c>
      <c r="AV44" s="211"/>
      <c r="AW44" s="207"/>
      <c r="AX44" s="43" t="s">
        <v>125</v>
      </c>
      <c r="AY44" s="57" t="str">
        <f t="shared" ref="AY44:BG44" si="109">IFERROR(ROUND(AVERAGEIFS($W$2:$W$54,$B$2:$B$54,"="&amp;$AW42,$AC$2:$AC$54,"="&amp;$AV$39,$AF$2:$AF$54,"="&amp;AY$2),2),"-")</f>
        <v>-</v>
      </c>
      <c r="AZ44" s="44" t="str">
        <f t="shared" si="109"/>
        <v>-</v>
      </c>
      <c r="BA44" s="44" t="str">
        <f t="shared" si="109"/>
        <v>-</v>
      </c>
      <c r="BB44" s="44">
        <f t="shared" si="109"/>
        <v>68.099999999999994</v>
      </c>
      <c r="BC44" s="44" t="str">
        <f t="shared" si="109"/>
        <v>-</v>
      </c>
      <c r="BD44" s="44" t="str">
        <f t="shared" si="109"/>
        <v>-</v>
      </c>
      <c r="BE44" s="44">
        <f t="shared" si="109"/>
        <v>43.09</v>
      </c>
      <c r="BF44" s="44" t="str">
        <f t="shared" si="109"/>
        <v>-</v>
      </c>
      <c r="BG44" s="43">
        <f t="shared" si="109"/>
        <v>30.02</v>
      </c>
    </row>
    <row r="45" spans="1:59" ht="19.899999999999999" customHeight="1" x14ac:dyDescent="0.3">
      <c r="A45" s="117">
        <v>44</v>
      </c>
      <c r="B45" s="120">
        <v>2</v>
      </c>
      <c r="C45" s="122">
        <v>201710460</v>
      </c>
      <c r="D45" s="112" t="str">
        <f t="shared" si="75"/>
        <v>게임학과</v>
      </c>
      <c r="E45" s="120" t="s">
        <v>54</v>
      </c>
      <c r="F45" s="121">
        <v>129</v>
      </c>
      <c r="G45" s="173">
        <f t="shared" si="6"/>
        <v>64.5</v>
      </c>
      <c r="H45" s="114">
        <f t="shared" si="7"/>
        <v>23</v>
      </c>
      <c r="I45" s="174">
        <f t="shared" si="8"/>
        <v>30</v>
      </c>
      <c r="J45" s="187">
        <v>70</v>
      </c>
      <c r="K45" s="173">
        <f t="shared" si="9"/>
        <v>63.64</v>
      </c>
      <c r="L45" s="114">
        <f t="shared" si="10"/>
        <v>24</v>
      </c>
      <c r="M45" s="174">
        <f t="shared" si="11"/>
        <v>30</v>
      </c>
      <c r="N45" s="183">
        <v>97.78</v>
      </c>
      <c r="O45" s="121">
        <v>66</v>
      </c>
      <c r="P45" s="173">
        <f t="shared" si="12"/>
        <v>60</v>
      </c>
      <c r="Q45" s="114">
        <f t="shared" si="13"/>
        <v>14</v>
      </c>
      <c r="R45" s="174">
        <f t="shared" si="14"/>
        <v>39</v>
      </c>
      <c r="S45" s="183">
        <v>57</v>
      </c>
      <c r="T45" s="114">
        <f t="shared" si="15"/>
        <v>24</v>
      </c>
      <c r="U45" s="114">
        <f t="shared" si="16"/>
        <v>30</v>
      </c>
      <c r="V45" s="121">
        <v>100</v>
      </c>
      <c r="W45" s="168">
        <f t="shared" si="76"/>
        <v>68.099999999999994</v>
      </c>
      <c r="X45" s="120">
        <f t="shared" si="17"/>
        <v>25</v>
      </c>
      <c r="Y45" s="169">
        <f t="shared" si="18"/>
        <v>29</v>
      </c>
      <c r="Z45" s="9">
        <f t="shared" si="19"/>
        <v>25</v>
      </c>
      <c r="AA45" s="10"/>
      <c r="AB45" s="9" t="str">
        <f t="shared" si="77"/>
        <v>2017</v>
      </c>
      <c r="AC45" s="116" t="str">
        <f t="shared" si="78"/>
        <v>104</v>
      </c>
      <c r="AD45" s="9" t="b">
        <f t="shared" si="20"/>
        <v>1</v>
      </c>
      <c r="AE45" s="9" t="str">
        <f t="shared" si="79"/>
        <v>B</v>
      </c>
      <c r="AF45" s="9" t="str">
        <f t="shared" si="80"/>
        <v>B0</v>
      </c>
      <c r="AV45" s="211"/>
      <c r="AW45" s="204">
        <v>3</v>
      </c>
      <c r="AX45" s="47" t="s">
        <v>123</v>
      </c>
      <c r="AY45" s="59">
        <f t="shared" ref="AY45:BG45" si="110">COUNTIFS($B$2:$B$54,"="&amp;$AW45,$AC$2:$AC$54,"="&amp;$AV$39,$AF$2:$AF$54,"="&amp;AY$2)</f>
        <v>0</v>
      </c>
      <c r="AZ45" s="48">
        <f t="shared" si="110"/>
        <v>0</v>
      </c>
      <c r="BA45" s="48">
        <f t="shared" si="110"/>
        <v>1</v>
      </c>
      <c r="BB45" s="48">
        <f t="shared" si="110"/>
        <v>0</v>
      </c>
      <c r="BC45" s="48">
        <f t="shared" si="110"/>
        <v>0</v>
      </c>
      <c r="BD45" s="48">
        <f t="shared" si="110"/>
        <v>0</v>
      </c>
      <c r="BE45" s="48">
        <f t="shared" si="110"/>
        <v>0</v>
      </c>
      <c r="BF45" s="48">
        <f t="shared" si="110"/>
        <v>0</v>
      </c>
      <c r="BG45" s="47">
        <f t="shared" si="110"/>
        <v>0</v>
      </c>
    </row>
    <row r="46" spans="1:59" ht="19.899999999999999" customHeight="1" x14ac:dyDescent="0.3">
      <c r="A46" s="117">
        <v>45</v>
      </c>
      <c r="B46" s="120">
        <v>3</v>
      </c>
      <c r="C46" s="122">
        <v>201710471</v>
      </c>
      <c r="D46" s="112" t="str">
        <f t="shared" si="75"/>
        <v>게임학과</v>
      </c>
      <c r="E46" s="120" t="s">
        <v>55</v>
      </c>
      <c r="F46" s="121">
        <v>155</v>
      </c>
      <c r="G46" s="173">
        <f t="shared" si="6"/>
        <v>77.5</v>
      </c>
      <c r="H46" s="114">
        <f t="shared" si="7"/>
        <v>6</v>
      </c>
      <c r="I46" s="174">
        <f t="shared" si="8"/>
        <v>48</v>
      </c>
      <c r="J46" s="187">
        <v>91</v>
      </c>
      <c r="K46" s="173">
        <f t="shared" si="9"/>
        <v>82.73</v>
      </c>
      <c r="L46" s="114">
        <f t="shared" si="10"/>
        <v>8</v>
      </c>
      <c r="M46" s="174">
        <f t="shared" si="11"/>
        <v>46</v>
      </c>
      <c r="N46" s="183">
        <v>100</v>
      </c>
      <c r="O46" s="121">
        <v>82</v>
      </c>
      <c r="P46" s="173">
        <f t="shared" si="12"/>
        <v>74.55</v>
      </c>
      <c r="Q46" s="114">
        <f t="shared" si="13"/>
        <v>2</v>
      </c>
      <c r="R46" s="174">
        <f t="shared" si="14"/>
        <v>52</v>
      </c>
      <c r="S46" s="183">
        <v>76</v>
      </c>
      <c r="T46" s="114">
        <f t="shared" si="15"/>
        <v>10</v>
      </c>
      <c r="U46" s="114">
        <f t="shared" si="16"/>
        <v>44</v>
      </c>
      <c r="V46" s="121">
        <v>100</v>
      </c>
      <c r="W46" s="168">
        <f t="shared" si="76"/>
        <v>82.26</v>
      </c>
      <c r="X46" s="120">
        <f t="shared" si="17"/>
        <v>3</v>
      </c>
      <c r="Y46" s="169">
        <f t="shared" si="18"/>
        <v>51</v>
      </c>
      <c r="Z46" s="9">
        <f t="shared" si="19"/>
        <v>3</v>
      </c>
      <c r="AA46" s="10" t="s">
        <v>71</v>
      </c>
      <c r="AB46" s="9" t="str">
        <f t="shared" si="77"/>
        <v>2017</v>
      </c>
      <c r="AC46" s="116" t="str">
        <f t="shared" si="78"/>
        <v>104</v>
      </c>
      <c r="AD46" s="9" t="b">
        <f t="shared" si="20"/>
        <v>0</v>
      </c>
      <c r="AE46" s="9" t="str">
        <f t="shared" si="79"/>
        <v>A</v>
      </c>
      <c r="AF46" s="9" t="str">
        <f t="shared" si="80"/>
        <v>B+</v>
      </c>
      <c r="AV46" s="211"/>
      <c r="AW46" s="205"/>
      <c r="AX46" s="41" t="s">
        <v>124</v>
      </c>
      <c r="AY46" s="56">
        <f t="shared" ref="AY46:BG46" si="111">SUMIFS($W$2:$W$54,$B$2:$B$54,"="&amp;$AW45,$AC$2:$AC$54,"="&amp;$AV$39,$AF$2:$AF$54,"="&amp;AY$2)</f>
        <v>0</v>
      </c>
      <c r="AZ46" s="42">
        <f t="shared" si="111"/>
        <v>0</v>
      </c>
      <c r="BA46" s="42">
        <f t="shared" si="111"/>
        <v>82.26</v>
      </c>
      <c r="BB46" s="42">
        <f t="shared" si="111"/>
        <v>0</v>
      </c>
      <c r="BC46" s="42">
        <f t="shared" si="111"/>
        <v>0</v>
      </c>
      <c r="BD46" s="42">
        <f t="shared" si="111"/>
        <v>0</v>
      </c>
      <c r="BE46" s="42">
        <f t="shared" si="111"/>
        <v>0</v>
      </c>
      <c r="BF46" s="42">
        <f t="shared" si="111"/>
        <v>0</v>
      </c>
      <c r="BG46" s="41">
        <f t="shared" si="111"/>
        <v>0</v>
      </c>
    </row>
    <row r="47" spans="1:59" ht="19.899999999999999" customHeight="1" x14ac:dyDescent="0.3">
      <c r="A47" s="117">
        <v>46</v>
      </c>
      <c r="B47" s="120">
        <v>2</v>
      </c>
      <c r="C47" s="122">
        <v>201710226</v>
      </c>
      <c r="D47" s="112" t="str">
        <f t="shared" si="75"/>
        <v>보안학과</v>
      </c>
      <c r="E47" s="120" t="s">
        <v>56</v>
      </c>
      <c r="F47" s="121">
        <v>105</v>
      </c>
      <c r="G47" s="173">
        <f t="shared" si="6"/>
        <v>52.5</v>
      </c>
      <c r="H47" s="114">
        <f t="shared" si="7"/>
        <v>37</v>
      </c>
      <c r="I47" s="174">
        <f t="shared" si="8"/>
        <v>17</v>
      </c>
      <c r="J47" s="187">
        <v>57</v>
      </c>
      <c r="K47" s="173">
        <f t="shared" si="9"/>
        <v>51.82</v>
      </c>
      <c r="L47" s="114">
        <f t="shared" si="10"/>
        <v>37</v>
      </c>
      <c r="M47" s="174">
        <f t="shared" si="11"/>
        <v>17</v>
      </c>
      <c r="N47" s="183">
        <v>97.78</v>
      </c>
      <c r="O47" s="121">
        <v>33</v>
      </c>
      <c r="P47" s="173">
        <f t="shared" si="12"/>
        <v>30</v>
      </c>
      <c r="Q47" s="114">
        <f t="shared" si="13"/>
        <v>45</v>
      </c>
      <c r="R47" s="174">
        <f t="shared" si="14"/>
        <v>9</v>
      </c>
      <c r="S47" s="183">
        <v>53</v>
      </c>
      <c r="T47" s="114">
        <f t="shared" si="15"/>
        <v>27</v>
      </c>
      <c r="U47" s="114">
        <f t="shared" si="16"/>
        <v>27</v>
      </c>
      <c r="V47" s="121">
        <v>100</v>
      </c>
      <c r="W47" s="168">
        <f t="shared" si="76"/>
        <v>56.97</v>
      </c>
      <c r="X47" s="120">
        <f t="shared" si="17"/>
        <v>35</v>
      </c>
      <c r="Y47" s="169">
        <f t="shared" si="18"/>
        <v>19</v>
      </c>
      <c r="Z47" s="9">
        <f t="shared" si="19"/>
        <v>35</v>
      </c>
      <c r="AA47" s="10"/>
      <c r="AB47" s="9" t="str">
        <f t="shared" si="77"/>
        <v>2017</v>
      </c>
      <c r="AC47" s="116" t="str">
        <f t="shared" si="78"/>
        <v>102</v>
      </c>
      <c r="AD47" s="9" t="b">
        <f t="shared" si="20"/>
        <v>1</v>
      </c>
      <c r="AE47" s="9" t="str">
        <f t="shared" si="79"/>
        <v>C</v>
      </c>
      <c r="AF47" s="9" t="str">
        <f t="shared" si="80"/>
        <v>C+</v>
      </c>
      <c r="AV47" s="211"/>
      <c r="AW47" s="207"/>
      <c r="AX47" s="43" t="s">
        <v>125</v>
      </c>
      <c r="AY47" s="57" t="str">
        <f t="shared" ref="AY47:BG47" si="112">IFERROR(ROUND(AVERAGEIFS($W$2:$W$54,$B$2:$B$54,"="&amp;$AW45,$AC$2:$AC$54,"="&amp;$AV$39,$AF$2:$AF$54,"="&amp;AY$2),2),"-")</f>
        <v>-</v>
      </c>
      <c r="AZ47" s="44" t="str">
        <f t="shared" si="112"/>
        <v>-</v>
      </c>
      <c r="BA47" s="44">
        <f t="shared" si="112"/>
        <v>82.26</v>
      </c>
      <c r="BB47" s="44" t="str">
        <f t="shared" si="112"/>
        <v>-</v>
      </c>
      <c r="BC47" s="44" t="str">
        <f t="shared" si="112"/>
        <v>-</v>
      </c>
      <c r="BD47" s="44" t="str">
        <f t="shared" si="112"/>
        <v>-</v>
      </c>
      <c r="BE47" s="44" t="str">
        <f t="shared" si="112"/>
        <v>-</v>
      </c>
      <c r="BF47" s="44" t="str">
        <f t="shared" si="112"/>
        <v>-</v>
      </c>
      <c r="BG47" s="43" t="str">
        <f t="shared" si="112"/>
        <v>-</v>
      </c>
    </row>
    <row r="48" spans="1:59" ht="19.899999999999999" customHeight="1" x14ac:dyDescent="0.3">
      <c r="A48" s="117">
        <v>47</v>
      </c>
      <c r="B48" s="120">
        <v>2</v>
      </c>
      <c r="C48" s="122">
        <v>201810529</v>
      </c>
      <c r="D48" s="112" t="str">
        <f t="shared" si="75"/>
        <v>통신학과</v>
      </c>
      <c r="E48" s="120" t="s">
        <v>57</v>
      </c>
      <c r="F48" s="121">
        <v>141</v>
      </c>
      <c r="G48" s="173">
        <f t="shared" si="6"/>
        <v>70.5</v>
      </c>
      <c r="H48" s="114">
        <f t="shared" si="7"/>
        <v>13</v>
      </c>
      <c r="I48" s="174">
        <f t="shared" si="8"/>
        <v>39</v>
      </c>
      <c r="J48" s="187">
        <v>67</v>
      </c>
      <c r="K48" s="173">
        <f t="shared" si="9"/>
        <v>60.91</v>
      </c>
      <c r="L48" s="114">
        <f t="shared" si="10"/>
        <v>25</v>
      </c>
      <c r="M48" s="174">
        <f t="shared" si="11"/>
        <v>29</v>
      </c>
      <c r="N48" s="183">
        <v>97.78</v>
      </c>
      <c r="O48" s="121">
        <v>78</v>
      </c>
      <c r="P48" s="173">
        <f t="shared" si="12"/>
        <v>70.91</v>
      </c>
      <c r="Q48" s="114">
        <f t="shared" si="13"/>
        <v>7</v>
      </c>
      <c r="R48" s="174">
        <f t="shared" si="14"/>
        <v>47</v>
      </c>
      <c r="S48" s="183">
        <v>54</v>
      </c>
      <c r="T48" s="114">
        <f t="shared" si="15"/>
        <v>26</v>
      </c>
      <c r="U48" s="114">
        <f t="shared" si="16"/>
        <v>28</v>
      </c>
      <c r="V48" s="121">
        <v>80</v>
      </c>
      <c r="W48" s="168">
        <f t="shared" si="76"/>
        <v>68.739999999999995</v>
      </c>
      <c r="X48" s="120">
        <f t="shared" si="17"/>
        <v>23</v>
      </c>
      <c r="Y48" s="169">
        <f t="shared" si="18"/>
        <v>31</v>
      </c>
      <c r="Z48" s="9">
        <f t="shared" si="19"/>
        <v>23</v>
      </c>
      <c r="AA48" s="10"/>
      <c r="AB48" s="9" t="str">
        <f t="shared" si="77"/>
        <v>2018</v>
      </c>
      <c r="AC48" s="116" t="str">
        <f t="shared" si="78"/>
        <v>105</v>
      </c>
      <c r="AD48" s="9" t="b">
        <f t="shared" si="20"/>
        <v>1</v>
      </c>
      <c r="AE48" s="9" t="str">
        <f t="shared" si="79"/>
        <v>B</v>
      </c>
      <c r="AF48" s="9" t="str">
        <f t="shared" si="80"/>
        <v>B+</v>
      </c>
      <c r="AV48" s="211"/>
      <c r="AW48" s="204">
        <v>4</v>
      </c>
      <c r="AX48" s="47" t="s">
        <v>123</v>
      </c>
      <c r="AY48" s="60">
        <f t="shared" ref="AY48:BG48" si="113">COUNTIFS($B$2:$B$54,"="&amp;$AW48,$AC$2:$AC$54,"="&amp;$AV$39,$AF$2:$AF$54,"="&amp;AY$2)</f>
        <v>0</v>
      </c>
      <c r="AZ48" s="50">
        <f t="shared" si="113"/>
        <v>0</v>
      </c>
      <c r="BA48" s="50">
        <f t="shared" si="113"/>
        <v>0</v>
      </c>
      <c r="BB48" s="50">
        <f t="shared" si="113"/>
        <v>1</v>
      </c>
      <c r="BC48" s="50">
        <f t="shared" si="113"/>
        <v>0</v>
      </c>
      <c r="BD48" s="50">
        <f t="shared" si="113"/>
        <v>1</v>
      </c>
      <c r="BE48" s="50">
        <f t="shared" si="113"/>
        <v>0</v>
      </c>
      <c r="BF48" s="50">
        <f t="shared" si="113"/>
        <v>0</v>
      </c>
      <c r="BG48" s="49">
        <f t="shared" si="113"/>
        <v>0</v>
      </c>
    </row>
    <row r="49" spans="1:59" ht="19.899999999999999" customHeight="1" x14ac:dyDescent="0.3">
      <c r="A49" s="117">
        <v>48</v>
      </c>
      <c r="B49" s="120">
        <v>1</v>
      </c>
      <c r="C49" s="122">
        <v>201810535</v>
      </c>
      <c r="D49" s="112" t="str">
        <f t="shared" si="75"/>
        <v>통신학과</v>
      </c>
      <c r="E49" s="120" t="s">
        <v>58</v>
      </c>
      <c r="F49" s="121">
        <v>114</v>
      </c>
      <c r="G49" s="173">
        <f t="shared" si="6"/>
        <v>57</v>
      </c>
      <c r="H49" s="114">
        <f t="shared" si="7"/>
        <v>31</v>
      </c>
      <c r="I49" s="174">
        <f t="shared" si="8"/>
        <v>23</v>
      </c>
      <c r="J49" s="187">
        <v>92</v>
      </c>
      <c r="K49" s="173">
        <f t="shared" si="9"/>
        <v>83.64</v>
      </c>
      <c r="L49" s="114">
        <f t="shared" si="10"/>
        <v>6</v>
      </c>
      <c r="M49" s="174">
        <f t="shared" si="11"/>
        <v>47</v>
      </c>
      <c r="N49" s="183">
        <v>95.56</v>
      </c>
      <c r="O49" s="121">
        <v>48</v>
      </c>
      <c r="P49" s="173">
        <f t="shared" si="12"/>
        <v>43.64</v>
      </c>
      <c r="Q49" s="114">
        <f t="shared" si="13"/>
        <v>34</v>
      </c>
      <c r="R49" s="174">
        <f t="shared" si="14"/>
        <v>18</v>
      </c>
      <c r="S49" s="183">
        <v>74</v>
      </c>
      <c r="T49" s="114">
        <f t="shared" si="15"/>
        <v>12</v>
      </c>
      <c r="U49" s="114">
        <f t="shared" si="16"/>
        <v>39</v>
      </c>
      <c r="V49" s="121">
        <v>100</v>
      </c>
      <c r="W49" s="168">
        <f t="shared" si="76"/>
        <v>72.69</v>
      </c>
      <c r="X49" s="120">
        <f t="shared" si="17"/>
        <v>15</v>
      </c>
      <c r="Y49" s="169">
        <f t="shared" si="18"/>
        <v>39</v>
      </c>
      <c r="Z49" s="9">
        <f t="shared" si="19"/>
        <v>15</v>
      </c>
      <c r="AA49" s="10"/>
      <c r="AB49" s="9" t="str">
        <f t="shared" si="77"/>
        <v>2018</v>
      </c>
      <c r="AC49" s="116" t="str">
        <f t="shared" si="78"/>
        <v>105</v>
      </c>
      <c r="AD49" s="9" t="b">
        <f t="shared" si="20"/>
        <v>1</v>
      </c>
      <c r="AE49" s="9" t="str">
        <f t="shared" si="79"/>
        <v>A</v>
      </c>
      <c r="AF49" s="9" t="str">
        <f t="shared" si="80"/>
        <v>A0</v>
      </c>
      <c r="AV49" s="211"/>
      <c r="AW49" s="205"/>
      <c r="AX49" s="41" t="s">
        <v>124</v>
      </c>
      <c r="AY49" s="56">
        <f t="shared" ref="AY49:BG49" si="114">SUMIFS($W$2:$W$54,$B$2:$B$54,"="&amp;$AW48,$AC$2:$AC$54,"="&amp;$AV$39,$AF$2:$AF$54,"="&amp;AY$2)</f>
        <v>0</v>
      </c>
      <c r="AZ49" s="42">
        <f t="shared" si="114"/>
        <v>0</v>
      </c>
      <c r="BA49" s="42">
        <f t="shared" si="114"/>
        <v>0</v>
      </c>
      <c r="BB49" s="42">
        <f t="shared" si="114"/>
        <v>64.66</v>
      </c>
      <c r="BC49" s="42">
        <f t="shared" si="114"/>
        <v>0</v>
      </c>
      <c r="BD49" s="42">
        <f t="shared" si="114"/>
        <v>48.16</v>
      </c>
      <c r="BE49" s="42">
        <f t="shared" si="114"/>
        <v>0</v>
      </c>
      <c r="BF49" s="42">
        <f t="shared" si="114"/>
        <v>0</v>
      </c>
      <c r="BG49" s="41">
        <f t="shared" si="114"/>
        <v>0</v>
      </c>
    </row>
    <row r="50" spans="1:59" ht="19.899999999999999" customHeight="1" thickBot="1" x14ac:dyDescent="0.35">
      <c r="A50" s="117">
        <v>49</v>
      </c>
      <c r="B50" s="120">
        <v>3</v>
      </c>
      <c r="C50" s="122">
        <v>201510546</v>
      </c>
      <c r="D50" s="112" t="str">
        <f t="shared" si="75"/>
        <v>통신학과</v>
      </c>
      <c r="E50" s="120" t="s">
        <v>59</v>
      </c>
      <c r="F50" s="121">
        <v>148</v>
      </c>
      <c r="G50" s="173">
        <f t="shared" si="6"/>
        <v>74</v>
      </c>
      <c r="H50" s="114">
        <f t="shared" si="7"/>
        <v>10</v>
      </c>
      <c r="I50" s="174">
        <f t="shared" si="8"/>
        <v>44</v>
      </c>
      <c r="J50" s="187">
        <v>66</v>
      </c>
      <c r="K50" s="173">
        <f t="shared" si="9"/>
        <v>60</v>
      </c>
      <c r="L50" s="114">
        <f t="shared" si="10"/>
        <v>26</v>
      </c>
      <c r="M50" s="174">
        <f t="shared" si="11"/>
        <v>27</v>
      </c>
      <c r="N50" s="183">
        <v>96.67</v>
      </c>
      <c r="O50" s="121">
        <v>57</v>
      </c>
      <c r="P50" s="173">
        <f t="shared" si="12"/>
        <v>51.82</v>
      </c>
      <c r="Q50" s="114">
        <f t="shared" si="13"/>
        <v>25</v>
      </c>
      <c r="R50" s="174">
        <f t="shared" si="14"/>
        <v>28</v>
      </c>
      <c r="S50" s="183">
        <v>51</v>
      </c>
      <c r="T50" s="114">
        <f t="shared" si="15"/>
        <v>28</v>
      </c>
      <c r="U50" s="114">
        <f t="shared" si="16"/>
        <v>25</v>
      </c>
      <c r="V50" s="121">
        <v>100</v>
      </c>
      <c r="W50" s="168">
        <f t="shared" si="76"/>
        <v>68.150000000000006</v>
      </c>
      <c r="X50" s="120">
        <f t="shared" si="17"/>
        <v>24</v>
      </c>
      <c r="Y50" s="169">
        <f t="shared" si="18"/>
        <v>30</v>
      </c>
      <c r="Z50" s="9">
        <f t="shared" si="19"/>
        <v>24</v>
      </c>
      <c r="AA50" s="10" t="s">
        <v>71</v>
      </c>
      <c r="AB50" s="9" t="str">
        <f t="shared" si="77"/>
        <v>2015</v>
      </c>
      <c r="AC50" s="116" t="str">
        <f t="shared" si="78"/>
        <v>105</v>
      </c>
      <c r="AD50" s="9" t="b">
        <f t="shared" si="20"/>
        <v>1</v>
      </c>
      <c r="AE50" s="9" t="str">
        <f t="shared" si="79"/>
        <v>B</v>
      </c>
      <c r="AF50" s="9" t="str">
        <f t="shared" si="80"/>
        <v>B0</v>
      </c>
      <c r="AV50" s="214"/>
      <c r="AW50" s="206"/>
      <c r="AX50" s="53" t="s">
        <v>125</v>
      </c>
      <c r="AY50" s="62" t="str">
        <f t="shared" ref="AY50:BG50" si="115">IFERROR(ROUND(AVERAGEIFS($W$2:$W$54,$B$2:$B$54,"="&amp;$AW48,$AC$2:$AC$54,"="&amp;$AV$39,$AF$2:$AF$54,"="&amp;AY$2),2),"-")</f>
        <v>-</v>
      </c>
      <c r="AZ50" s="54" t="str">
        <f t="shared" si="115"/>
        <v>-</v>
      </c>
      <c r="BA50" s="54" t="str">
        <f t="shared" si="115"/>
        <v>-</v>
      </c>
      <c r="BB50" s="54">
        <f t="shared" si="115"/>
        <v>64.66</v>
      </c>
      <c r="BC50" s="54" t="str">
        <f t="shared" si="115"/>
        <v>-</v>
      </c>
      <c r="BD50" s="54">
        <f t="shared" si="115"/>
        <v>48.16</v>
      </c>
      <c r="BE50" s="54" t="str">
        <f t="shared" si="115"/>
        <v>-</v>
      </c>
      <c r="BF50" s="54" t="str">
        <f t="shared" si="115"/>
        <v>-</v>
      </c>
      <c r="BG50" s="53" t="str">
        <f t="shared" si="115"/>
        <v>-</v>
      </c>
    </row>
    <row r="51" spans="1:59" ht="19.899999999999999" customHeight="1" thickTop="1" x14ac:dyDescent="0.3">
      <c r="A51" s="117">
        <v>50</v>
      </c>
      <c r="B51" s="120">
        <v>2</v>
      </c>
      <c r="C51" s="122">
        <v>201610266</v>
      </c>
      <c r="D51" s="112" t="str">
        <f t="shared" si="75"/>
        <v>보안학과</v>
      </c>
      <c r="E51" s="120" t="s">
        <v>60</v>
      </c>
      <c r="F51" s="121">
        <v>97</v>
      </c>
      <c r="G51" s="173">
        <f t="shared" si="6"/>
        <v>48.5</v>
      </c>
      <c r="H51" s="114">
        <f t="shared" si="7"/>
        <v>38</v>
      </c>
      <c r="I51" s="174">
        <f t="shared" si="8"/>
        <v>16</v>
      </c>
      <c r="J51" s="187">
        <v>101</v>
      </c>
      <c r="K51" s="173">
        <f t="shared" si="9"/>
        <v>91.82</v>
      </c>
      <c r="L51" s="114">
        <f t="shared" si="10"/>
        <v>2</v>
      </c>
      <c r="M51" s="174">
        <f t="shared" si="11"/>
        <v>52</v>
      </c>
      <c r="N51" s="183">
        <v>98.89</v>
      </c>
      <c r="O51" s="121">
        <v>73</v>
      </c>
      <c r="P51" s="173">
        <f t="shared" si="12"/>
        <v>66.36</v>
      </c>
      <c r="Q51" s="114">
        <f t="shared" si="13"/>
        <v>10</v>
      </c>
      <c r="R51" s="174">
        <f t="shared" si="14"/>
        <v>44</v>
      </c>
      <c r="S51" s="183">
        <v>88</v>
      </c>
      <c r="T51" s="114">
        <f t="shared" si="15"/>
        <v>5</v>
      </c>
      <c r="U51" s="114">
        <f t="shared" si="16"/>
        <v>49</v>
      </c>
      <c r="V51" s="121">
        <v>80</v>
      </c>
      <c r="W51" s="168">
        <f t="shared" si="76"/>
        <v>76.010000000000005</v>
      </c>
      <c r="X51" s="120">
        <f t="shared" si="17"/>
        <v>11</v>
      </c>
      <c r="Y51" s="169">
        <f t="shared" si="18"/>
        <v>43</v>
      </c>
      <c r="Z51" s="9">
        <f t="shared" si="19"/>
        <v>11</v>
      </c>
      <c r="AA51" s="10"/>
      <c r="AB51" s="9" t="str">
        <f t="shared" si="77"/>
        <v>2016</v>
      </c>
      <c r="AC51" s="116" t="str">
        <f t="shared" si="78"/>
        <v>102</v>
      </c>
      <c r="AD51" s="9" t="b">
        <f t="shared" si="20"/>
        <v>1</v>
      </c>
      <c r="AE51" s="9" t="str">
        <f t="shared" si="79"/>
        <v>A</v>
      </c>
      <c r="AF51" s="9" t="str">
        <f t="shared" si="80"/>
        <v>A0</v>
      </c>
      <c r="AV51" s="211">
        <v>105</v>
      </c>
      <c r="AW51" s="205">
        <v>1</v>
      </c>
      <c r="AX51" s="49" t="s">
        <v>123</v>
      </c>
      <c r="AY51" s="61">
        <f t="shared" ref="AY51:BG51" si="116">COUNTIFS($B$2:$B$54,"="&amp;$AW51,$AC$2:$AC$54,"="&amp;$AV$51,$AF$2:$AF$54,"="&amp;AY$2)</f>
        <v>0</v>
      </c>
      <c r="AZ51" s="52">
        <f t="shared" si="116"/>
        <v>1</v>
      </c>
      <c r="BA51" s="52">
        <f t="shared" si="116"/>
        <v>0</v>
      </c>
      <c r="BB51" s="52">
        <f t="shared" si="116"/>
        <v>0</v>
      </c>
      <c r="BC51" s="52">
        <f t="shared" si="116"/>
        <v>0</v>
      </c>
      <c r="BD51" s="52">
        <f t="shared" si="116"/>
        <v>0</v>
      </c>
      <c r="BE51" s="52">
        <f t="shared" si="116"/>
        <v>0</v>
      </c>
      <c r="BF51" s="52">
        <f t="shared" si="116"/>
        <v>0</v>
      </c>
      <c r="BG51" s="51">
        <f t="shared" si="116"/>
        <v>1</v>
      </c>
    </row>
    <row r="52" spans="1:59" ht="19.899999999999999" customHeight="1" x14ac:dyDescent="0.3">
      <c r="A52" s="117">
        <v>51</v>
      </c>
      <c r="B52" s="120">
        <v>4</v>
      </c>
      <c r="C52" s="122">
        <v>201610275</v>
      </c>
      <c r="D52" s="112" t="str">
        <f t="shared" si="75"/>
        <v>보안학과</v>
      </c>
      <c r="E52" s="120" t="s">
        <v>61</v>
      </c>
      <c r="F52" s="121">
        <v>154</v>
      </c>
      <c r="G52" s="173">
        <f t="shared" si="6"/>
        <v>77</v>
      </c>
      <c r="H52" s="114">
        <f t="shared" si="7"/>
        <v>7</v>
      </c>
      <c r="I52" s="174">
        <f t="shared" si="8"/>
        <v>47</v>
      </c>
      <c r="J52" s="187">
        <v>66</v>
      </c>
      <c r="K52" s="173">
        <f t="shared" si="9"/>
        <v>60</v>
      </c>
      <c r="L52" s="114">
        <f t="shared" si="10"/>
        <v>26</v>
      </c>
      <c r="M52" s="174">
        <f t="shared" si="11"/>
        <v>27</v>
      </c>
      <c r="N52" s="183">
        <v>100</v>
      </c>
      <c r="O52" s="121">
        <v>68</v>
      </c>
      <c r="P52" s="173">
        <f t="shared" si="12"/>
        <v>61.82</v>
      </c>
      <c r="Q52" s="114">
        <f t="shared" si="13"/>
        <v>12</v>
      </c>
      <c r="R52" s="174">
        <f t="shared" si="14"/>
        <v>42</v>
      </c>
      <c r="S52" s="183">
        <v>36</v>
      </c>
      <c r="T52" s="114">
        <f t="shared" si="15"/>
        <v>38</v>
      </c>
      <c r="U52" s="114">
        <f t="shared" si="16"/>
        <v>16</v>
      </c>
      <c r="V52" s="121">
        <v>100</v>
      </c>
      <c r="W52" s="168">
        <f t="shared" si="76"/>
        <v>68.88</v>
      </c>
      <c r="X52" s="120">
        <f t="shared" si="17"/>
        <v>22</v>
      </c>
      <c r="Y52" s="169">
        <f t="shared" si="18"/>
        <v>32</v>
      </c>
      <c r="Z52" s="9">
        <f t="shared" si="19"/>
        <v>22</v>
      </c>
      <c r="AA52" s="10"/>
      <c r="AB52" s="9" t="str">
        <f t="shared" si="77"/>
        <v>2016</v>
      </c>
      <c r="AC52" s="116" t="str">
        <f t="shared" si="78"/>
        <v>102</v>
      </c>
      <c r="AD52" s="9" t="b">
        <f t="shared" si="20"/>
        <v>1</v>
      </c>
      <c r="AE52" s="9" t="str">
        <f t="shared" si="79"/>
        <v>B</v>
      </c>
      <c r="AF52" s="9" t="str">
        <f t="shared" si="80"/>
        <v>B+</v>
      </c>
      <c r="AV52" s="211"/>
      <c r="AW52" s="205"/>
      <c r="AX52" s="41" t="s">
        <v>124</v>
      </c>
      <c r="AY52" s="56">
        <f t="shared" ref="AY52:BG52" si="117">SUMIFS($W$2:$W$54,$B$2:$B$54,"="&amp;$AW51,$AC$2:$AC$54,"="&amp;$AV$51,$AF$2:$AF$54,"="&amp;AY$2)</f>
        <v>0</v>
      </c>
      <c r="AZ52" s="42">
        <f t="shared" si="117"/>
        <v>72.69</v>
      </c>
      <c r="BA52" s="42">
        <f t="shared" si="117"/>
        <v>0</v>
      </c>
      <c r="BB52" s="42">
        <f t="shared" si="117"/>
        <v>0</v>
      </c>
      <c r="BC52" s="42">
        <f t="shared" si="117"/>
        <v>0</v>
      </c>
      <c r="BD52" s="42">
        <f t="shared" si="117"/>
        <v>0</v>
      </c>
      <c r="BE52" s="42">
        <f t="shared" si="117"/>
        <v>0</v>
      </c>
      <c r="BF52" s="42">
        <f t="shared" si="117"/>
        <v>0</v>
      </c>
      <c r="BG52" s="41">
        <f t="shared" si="117"/>
        <v>28.25</v>
      </c>
    </row>
    <row r="53" spans="1:59" ht="19.899999999999999" customHeight="1" x14ac:dyDescent="0.3">
      <c r="A53" s="117">
        <v>52</v>
      </c>
      <c r="B53" s="120">
        <v>4</v>
      </c>
      <c r="C53" s="122">
        <v>201610177</v>
      </c>
      <c r="D53" s="112" t="str">
        <f t="shared" si="75"/>
        <v>컴퓨터학과</v>
      </c>
      <c r="E53" s="120" t="s">
        <v>62</v>
      </c>
      <c r="F53" s="121">
        <v>58</v>
      </c>
      <c r="G53" s="173">
        <f t="shared" si="6"/>
        <v>29</v>
      </c>
      <c r="H53" s="114">
        <f t="shared" si="7"/>
        <v>47</v>
      </c>
      <c r="I53" s="174">
        <f t="shared" si="8"/>
        <v>7</v>
      </c>
      <c r="J53" s="187">
        <v>62</v>
      </c>
      <c r="K53" s="173">
        <f t="shared" si="9"/>
        <v>56.36</v>
      </c>
      <c r="L53" s="114">
        <f t="shared" si="10"/>
        <v>32</v>
      </c>
      <c r="M53" s="174">
        <f t="shared" si="11"/>
        <v>21</v>
      </c>
      <c r="N53" s="183">
        <v>100</v>
      </c>
      <c r="O53" s="121">
        <v>48</v>
      </c>
      <c r="P53" s="173">
        <f t="shared" si="12"/>
        <v>43.64</v>
      </c>
      <c r="Q53" s="114">
        <f t="shared" si="13"/>
        <v>34</v>
      </c>
      <c r="R53" s="174">
        <f t="shared" si="14"/>
        <v>18</v>
      </c>
      <c r="S53" s="183">
        <v>49</v>
      </c>
      <c r="T53" s="114">
        <f t="shared" si="15"/>
        <v>31</v>
      </c>
      <c r="U53" s="114">
        <f t="shared" si="16"/>
        <v>23</v>
      </c>
      <c r="V53" s="121">
        <v>100</v>
      </c>
      <c r="W53" s="168">
        <f t="shared" si="76"/>
        <v>52.69</v>
      </c>
      <c r="X53" s="120">
        <f t="shared" si="17"/>
        <v>40</v>
      </c>
      <c r="Y53" s="169">
        <f t="shared" si="18"/>
        <v>14</v>
      </c>
      <c r="Z53" s="9">
        <f t="shared" si="19"/>
        <v>40</v>
      </c>
      <c r="AA53" s="10"/>
      <c r="AB53" s="9" t="str">
        <f t="shared" si="77"/>
        <v>2016</v>
      </c>
      <c r="AC53" s="116" t="str">
        <f t="shared" si="78"/>
        <v>101</v>
      </c>
      <c r="AD53" s="9" t="b">
        <f t="shared" si="20"/>
        <v>1</v>
      </c>
      <c r="AE53" s="9" t="str">
        <f t="shared" si="79"/>
        <v>C</v>
      </c>
      <c r="AF53" s="9" t="str">
        <f t="shared" si="80"/>
        <v>C0</v>
      </c>
      <c r="AV53" s="211"/>
      <c r="AW53" s="207"/>
      <c r="AX53" s="43" t="s">
        <v>125</v>
      </c>
      <c r="AY53" s="58" t="str">
        <f t="shared" ref="AY53:BG53" si="118">IFERROR(ROUND(AVERAGEIFS($W$2:$W$54,$B$2:$B$54,"="&amp;$AW51,$AC$2:$AC$54,"="&amp;$AV$51,$AF$2:$AF$54,"="&amp;AY$2),2),"-")</f>
        <v>-</v>
      </c>
      <c r="AZ53" s="46">
        <f t="shared" si="118"/>
        <v>72.69</v>
      </c>
      <c r="BA53" s="46" t="str">
        <f t="shared" si="118"/>
        <v>-</v>
      </c>
      <c r="BB53" s="46" t="str">
        <f t="shared" si="118"/>
        <v>-</v>
      </c>
      <c r="BC53" s="46" t="str">
        <f t="shared" si="118"/>
        <v>-</v>
      </c>
      <c r="BD53" s="46" t="str">
        <f t="shared" si="118"/>
        <v>-</v>
      </c>
      <c r="BE53" s="46" t="str">
        <f t="shared" si="118"/>
        <v>-</v>
      </c>
      <c r="BF53" s="46" t="str">
        <f t="shared" si="118"/>
        <v>-</v>
      </c>
      <c r="BG53" s="45">
        <f t="shared" si="118"/>
        <v>28.25</v>
      </c>
    </row>
    <row r="54" spans="1:59" ht="19.899999999999999" customHeight="1" thickBot="1" x14ac:dyDescent="0.35">
      <c r="A54" s="123">
        <v>53</v>
      </c>
      <c r="B54" s="124">
        <v>2</v>
      </c>
      <c r="C54" s="125">
        <v>201810585</v>
      </c>
      <c r="D54" s="127" t="str">
        <f t="shared" si="75"/>
        <v>통신학과</v>
      </c>
      <c r="E54" s="124" t="s">
        <v>63</v>
      </c>
      <c r="F54" s="126">
        <v>75</v>
      </c>
      <c r="G54" s="186">
        <f t="shared" si="6"/>
        <v>37.5</v>
      </c>
      <c r="H54" s="114">
        <f t="shared" si="7"/>
        <v>44</v>
      </c>
      <c r="I54" s="174">
        <f t="shared" si="8"/>
        <v>10</v>
      </c>
      <c r="J54" s="160">
        <v>42</v>
      </c>
      <c r="K54" s="186">
        <f t="shared" si="9"/>
        <v>38.18</v>
      </c>
      <c r="L54" s="114">
        <f t="shared" si="10"/>
        <v>46</v>
      </c>
      <c r="M54" s="174">
        <f t="shared" si="11"/>
        <v>8</v>
      </c>
      <c r="N54" s="184">
        <v>97.78</v>
      </c>
      <c r="O54" s="126">
        <v>37</v>
      </c>
      <c r="P54" s="186">
        <f t="shared" si="12"/>
        <v>33.64</v>
      </c>
      <c r="Q54" s="114">
        <f t="shared" si="13"/>
        <v>43</v>
      </c>
      <c r="R54" s="174">
        <f t="shared" si="14"/>
        <v>11</v>
      </c>
      <c r="S54" s="184">
        <v>11</v>
      </c>
      <c r="T54" s="114">
        <f t="shared" si="15"/>
        <v>50</v>
      </c>
      <c r="U54" s="114">
        <f t="shared" si="16"/>
        <v>4</v>
      </c>
      <c r="V54" s="126">
        <v>100</v>
      </c>
      <c r="W54" s="170">
        <f t="shared" si="76"/>
        <v>43.86</v>
      </c>
      <c r="X54" s="171">
        <f t="shared" si="17"/>
        <v>44</v>
      </c>
      <c r="Y54" s="172">
        <f t="shared" si="18"/>
        <v>10</v>
      </c>
      <c r="Z54" s="11">
        <f t="shared" si="19"/>
        <v>44</v>
      </c>
      <c r="AA54" s="11"/>
      <c r="AB54" s="11" t="str">
        <f t="shared" si="77"/>
        <v>2018</v>
      </c>
      <c r="AC54" s="128" t="str">
        <f t="shared" si="78"/>
        <v>105</v>
      </c>
      <c r="AD54" s="11" t="b">
        <f t="shared" si="20"/>
        <v>1</v>
      </c>
      <c r="AE54" s="11" t="str">
        <f t="shared" si="79"/>
        <v>D</v>
      </c>
      <c r="AF54" s="11" t="str">
        <f t="shared" si="80"/>
        <v>D+</v>
      </c>
      <c r="AV54" s="211"/>
      <c r="AW54" s="107">
        <v>2</v>
      </c>
      <c r="AX54" s="47" t="s">
        <v>123</v>
      </c>
      <c r="AY54" s="59">
        <f t="shared" ref="AY54:BG55" si="119">COUNTIFS($B$2:$B$54,"="&amp;$AW54,$AC$2:$AC$54,"="&amp;$AV$51,$AF$2:$AF$54,"="&amp;AY$2)</f>
        <v>1</v>
      </c>
      <c r="AZ54" s="48">
        <f t="shared" si="119"/>
        <v>2</v>
      </c>
      <c r="BA54" s="48">
        <f t="shared" si="119"/>
        <v>2</v>
      </c>
      <c r="BB54" s="48">
        <f t="shared" si="119"/>
        <v>0</v>
      </c>
      <c r="BC54" s="48">
        <f t="shared" si="119"/>
        <v>0</v>
      </c>
      <c r="BD54" s="48">
        <f t="shared" si="119"/>
        <v>0</v>
      </c>
      <c r="BE54" s="48">
        <f t="shared" si="119"/>
        <v>1</v>
      </c>
      <c r="BF54" s="48">
        <f t="shared" si="119"/>
        <v>0</v>
      </c>
      <c r="BG54" s="47">
        <f t="shared" si="119"/>
        <v>0</v>
      </c>
    </row>
    <row r="55" spans="1:59" ht="19.899999999999999" customHeight="1" thickTop="1" x14ac:dyDescent="0.3">
      <c r="A55" s="189" t="s">
        <v>130</v>
      </c>
      <c r="B55" s="190"/>
      <c r="C55" s="190"/>
      <c r="D55" s="190"/>
      <c r="E55" s="217"/>
      <c r="F55" s="134">
        <f>_xlfn.VAR.P(F2:F54)</f>
        <v>1324.1787112851548</v>
      </c>
      <c r="G55" s="137">
        <f>_xlfn.VAR.P(G2:G54)</f>
        <v>331.0446778212887</v>
      </c>
      <c r="H55" s="198"/>
      <c r="I55" s="199"/>
      <c r="J55" s="161">
        <f t="shared" ref="J55:W55" si="120">_xlfn.VAR.P(J2:J54)</f>
        <v>603.96012815948734</v>
      </c>
      <c r="K55" s="137">
        <f t="shared" si="120"/>
        <v>499.16246379494282</v>
      </c>
      <c r="L55" s="219"/>
      <c r="M55" s="220"/>
      <c r="N55" s="129">
        <f t="shared" si="120"/>
        <v>50.554998647205394</v>
      </c>
      <c r="O55" s="134">
        <f t="shared" si="120"/>
        <v>379.20897116411533</v>
      </c>
      <c r="P55" s="137">
        <f t="shared" si="120"/>
        <v>313.41284927020121</v>
      </c>
      <c r="Q55" s="219"/>
      <c r="R55" s="220"/>
      <c r="S55" s="129">
        <f t="shared" si="120"/>
        <v>649.75863296546811</v>
      </c>
      <c r="T55" s="198"/>
      <c r="U55" s="225"/>
      <c r="V55" s="134">
        <f t="shared" si="120"/>
        <v>405.26877892488432</v>
      </c>
      <c r="W55" s="137">
        <f t="shared" si="120"/>
        <v>265.35796169454915</v>
      </c>
      <c r="X55" s="261"/>
      <c r="Y55" s="262"/>
      <c r="Z55" s="262"/>
      <c r="AA55" s="262"/>
      <c r="AB55" s="262"/>
      <c r="AC55" s="262"/>
      <c r="AD55" s="262"/>
      <c r="AE55" s="262"/>
      <c r="AF55" s="199"/>
      <c r="AV55" s="211"/>
      <c r="AW55" s="204">
        <v>4</v>
      </c>
      <c r="AX55" s="47" t="s">
        <v>123</v>
      </c>
      <c r="AY55" s="60">
        <f t="shared" si="119"/>
        <v>0</v>
      </c>
      <c r="AZ55" s="50">
        <f t="shared" si="119"/>
        <v>0</v>
      </c>
      <c r="BA55" s="50">
        <f t="shared" si="119"/>
        <v>0</v>
      </c>
      <c r="BB55" s="50">
        <f t="shared" si="119"/>
        <v>0</v>
      </c>
      <c r="BC55" s="50">
        <f t="shared" si="119"/>
        <v>0</v>
      </c>
      <c r="BD55" s="50">
        <f t="shared" si="119"/>
        <v>0</v>
      </c>
      <c r="BE55" s="50">
        <f t="shared" si="119"/>
        <v>0</v>
      </c>
      <c r="BF55" s="50">
        <f t="shared" si="119"/>
        <v>0</v>
      </c>
      <c r="BG55" s="49">
        <f t="shared" si="119"/>
        <v>0</v>
      </c>
    </row>
    <row r="56" spans="1:59" ht="19.899999999999999" customHeight="1" x14ac:dyDescent="0.3">
      <c r="A56" s="192" t="s">
        <v>131</v>
      </c>
      <c r="B56" s="193"/>
      <c r="C56" s="193"/>
      <c r="D56" s="193"/>
      <c r="E56" s="216"/>
      <c r="F56" s="5">
        <f>_xlfn.VAR.S(F2:F54)</f>
        <v>1349.6436865021778</v>
      </c>
      <c r="G56" s="167">
        <f>_xlfn.VAR.S(G2:G54)</f>
        <v>337.41092162554446</v>
      </c>
      <c r="H56" s="200"/>
      <c r="I56" s="201"/>
      <c r="J56" s="162">
        <f t="shared" ref="J56:W56" si="121">_xlfn.VAR.S(J2:J54)</f>
        <v>615.5747460087083</v>
      </c>
      <c r="K56" s="167">
        <f t="shared" si="121"/>
        <v>508.76174194484508</v>
      </c>
      <c r="L56" s="221"/>
      <c r="M56" s="222"/>
      <c r="N56" s="185">
        <f t="shared" si="121"/>
        <v>51.527210159651652</v>
      </c>
      <c r="O56" s="5">
        <f t="shared" si="121"/>
        <v>386.50145137880969</v>
      </c>
      <c r="P56" s="167">
        <f t="shared" si="121"/>
        <v>319.44001944847446</v>
      </c>
      <c r="Q56" s="221"/>
      <c r="R56" s="222"/>
      <c r="S56" s="185">
        <f t="shared" si="121"/>
        <v>662.25399129172729</v>
      </c>
      <c r="T56" s="226"/>
      <c r="U56" s="227"/>
      <c r="V56" s="5">
        <f t="shared" si="121"/>
        <v>413.06240928882414</v>
      </c>
      <c r="W56" s="167">
        <f t="shared" si="121"/>
        <v>270.46099941944425</v>
      </c>
      <c r="X56" s="263"/>
      <c r="Y56" s="263"/>
      <c r="Z56" s="263"/>
      <c r="AA56" s="263"/>
      <c r="AB56" s="263"/>
      <c r="AC56" s="263"/>
      <c r="AD56" s="263"/>
      <c r="AE56" s="263"/>
      <c r="AF56" s="201"/>
      <c r="AV56" s="211"/>
      <c r="AW56" s="205"/>
      <c r="AX56" s="41" t="s">
        <v>124</v>
      </c>
      <c r="AY56" s="56">
        <f t="shared" ref="AY56:BG56" si="122">SUMIFS($W$2:$W$54,$B$2:$B$54,"="&amp;$AW55,$AC$2:$AC$54,"="&amp;$AV$51,$AF$2:$AF$54,"="&amp;AY$2)</f>
        <v>0</v>
      </c>
      <c r="AZ56" s="42">
        <f t="shared" si="122"/>
        <v>0</v>
      </c>
      <c r="BA56" s="42">
        <f t="shared" si="122"/>
        <v>0</v>
      </c>
      <c r="BB56" s="42">
        <f t="shared" si="122"/>
        <v>0</v>
      </c>
      <c r="BC56" s="42">
        <f t="shared" si="122"/>
        <v>0</v>
      </c>
      <c r="BD56" s="42">
        <f t="shared" si="122"/>
        <v>0</v>
      </c>
      <c r="BE56" s="42">
        <f t="shared" si="122"/>
        <v>0</v>
      </c>
      <c r="BF56" s="42">
        <f t="shared" si="122"/>
        <v>0</v>
      </c>
      <c r="BG56" s="41">
        <f t="shared" si="122"/>
        <v>0</v>
      </c>
    </row>
    <row r="57" spans="1:59" ht="19.899999999999999" customHeight="1" thickBot="1" x14ac:dyDescent="0.35">
      <c r="A57" s="192" t="s">
        <v>132</v>
      </c>
      <c r="B57" s="193"/>
      <c r="C57" s="193"/>
      <c r="D57" s="193"/>
      <c r="E57" s="216"/>
      <c r="F57" s="7">
        <f>_xlfn.STDEV.P(F2:F54)</f>
        <v>36.389266429610188</v>
      </c>
      <c r="G57" s="136">
        <f>_xlfn.STDEV.P(G2:G54)</f>
        <v>18.194633214805094</v>
      </c>
      <c r="H57" s="200"/>
      <c r="I57" s="201"/>
      <c r="J57" s="163">
        <f t="shared" ref="J57:W57" si="123">_xlfn.STDEV.P(J2:J54)</f>
        <v>24.575600260410475</v>
      </c>
      <c r="K57" s="136">
        <f t="shared" si="123"/>
        <v>22.341944046902963</v>
      </c>
      <c r="L57" s="221"/>
      <c r="M57" s="222"/>
      <c r="N57" s="130">
        <f t="shared" si="123"/>
        <v>7.1102038400601</v>
      </c>
      <c r="O57" s="7">
        <f t="shared" si="123"/>
        <v>19.473288658162375</v>
      </c>
      <c r="P57" s="136">
        <f t="shared" si="123"/>
        <v>17.703469978233116</v>
      </c>
      <c r="Q57" s="221"/>
      <c r="R57" s="222"/>
      <c r="S57" s="130">
        <f t="shared" si="123"/>
        <v>25.490363531449844</v>
      </c>
      <c r="T57" s="226"/>
      <c r="U57" s="227"/>
      <c r="V57" s="7">
        <f t="shared" si="123"/>
        <v>20.131288555998701</v>
      </c>
      <c r="W57" s="136">
        <f t="shared" si="123"/>
        <v>16.289811591744982</v>
      </c>
      <c r="X57" s="263"/>
      <c r="Y57" s="263"/>
      <c r="Z57" s="263"/>
      <c r="AA57" s="263"/>
      <c r="AB57" s="263"/>
      <c r="AC57" s="263"/>
      <c r="AD57" s="263"/>
      <c r="AE57" s="263"/>
      <c r="AF57" s="201"/>
      <c r="AV57" s="212"/>
      <c r="AW57" s="208"/>
      <c r="AX57" s="65" t="s">
        <v>125</v>
      </c>
      <c r="AY57" s="63" t="str">
        <f t="shared" ref="AY57:BG57" si="124">IFERROR(ROUND(AVERAGEIFS($W$2:$W$54,$B$2:$B$54,"="&amp;$AW55,$AC$2:$AC$54,"="&amp;$AV$51,$AF$2:$AF$54,"="&amp;AY$2),2),"-")</f>
        <v>-</v>
      </c>
      <c r="AZ57" s="64" t="str">
        <f t="shared" si="124"/>
        <v>-</v>
      </c>
      <c r="BA57" s="64" t="str">
        <f t="shared" si="124"/>
        <v>-</v>
      </c>
      <c r="BB57" s="64" t="str">
        <f t="shared" si="124"/>
        <v>-</v>
      </c>
      <c r="BC57" s="64" t="str">
        <f t="shared" si="124"/>
        <v>-</v>
      </c>
      <c r="BD57" s="64" t="str">
        <f t="shared" si="124"/>
        <v>-</v>
      </c>
      <c r="BE57" s="64" t="str">
        <f t="shared" si="124"/>
        <v>-</v>
      </c>
      <c r="BF57" s="64" t="str">
        <f t="shared" si="124"/>
        <v>-</v>
      </c>
      <c r="BG57" s="65" t="str">
        <f t="shared" si="124"/>
        <v>-</v>
      </c>
    </row>
    <row r="58" spans="1:59" ht="19.899999999999999" customHeight="1" thickTop="1" thickBot="1" x14ac:dyDescent="0.35">
      <c r="A58" s="195" t="s">
        <v>133</v>
      </c>
      <c r="B58" s="196"/>
      <c r="C58" s="196"/>
      <c r="D58" s="196"/>
      <c r="E58" s="218"/>
      <c r="F58" s="135">
        <f>_xlfn.STDEV.S(F2:F54)</f>
        <v>36.73749700921632</v>
      </c>
      <c r="G58" s="138">
        <f>_xlfn.STDEV.S(G2:G54)</f>
        <v>18.36874850460816</v>
      </c>
      <c r="H58" s="200"/>
      <c r="I58" s="201"/>
      <c r="J58" s="164">
        <f t="shared" ref="J58:W58" si="125">_xlfn.STDEV.S(J2:J54)</f>
        <v>24.81077882712891</v>
      </c>
      <c r="K58" s="138">
        <f t="shared" si="125"/>
        <v>22.555747425985359</v>
      </c>
      <c r="L58" s="221"/>
      <c r="M58" s="222"/>
      <c r="N58" s="131">
        <f t="shared" si="125"/>
        <v>7.1782456185095569</v>
      </c>
      <c r="O58" s="135">
        <f t="shared" si="125"/>
        <v>19.65964016402156</v>
      </c>
      <c r="P58" s="138">
        <f t="shared" si="125"/>
        <v>17.872885034276766</v>
      </c>
      <c r="Q58" s="221"/>
      <c r="R58" s="222"/>
      <c r="S58" s="131">
        <f t="shared" si="125"/>
        <v>25.734296013136387</v>
      </c>
      <c r="T58" s="226"/>
      <c r="U58" s="227"/>
      <c r="V58" s="135">
        <f t="shared" si="125"/>
        <v>20.323936855068808</v>
      </c>
      <c r="W58" s="138">
        <f t="shared" si="125"/>
        <v>16.4456985081037</v>
      </c>
      <c r="X58" s="263"/>
      <c r="Y58" s="263"/>
      <c r="Z58" s="263"/>
      <c r="AA58" s="263"/>
      <c r="AB58" s="263"/>
      <c r="AC58" s="263"/>
      <c r="AD58" s="263"/>
      <c r="AE58" s="263"/>
      <c r="AF58" s="201"/>
    </row>
    <row r="59" spans="1:59" ht="19.899999999999999" customHeight="1" thickTop="1" x14ac:dyDescent="0.3">
      <c r="A59" s="255" t="s">
        <v>89</v>
      </c>
      <c r="B59" s="256"/>
      <c r="C59" s="256"/>
      <c r="D59" s="256"/>
      <c r="E59" s="257"/>
      <c r="F59" s="177">
        <f>ROUND(AVERAGE(F2:F54),2)</f>
        <v>113.83</v>
      </c>
      <c r="G59" s="137">
        <f>ROUND(AVERAGE(G2:G54),2)</f>
        <v>56.92</v>
      </c>
      <c r="H59" s="200"/>
      <c r="I59" s="201"/>
      <c r="J59" s="161">
        <f t="shared" ref="J59:W59" si="126">ROUND(AVERAGE(J2:J54),2)</f>
        <v>64.66</v>
      </c>
      <c r="K59" s="137">
        <f t="shared" si="126"/>
        <v>58.78</v>
      </c>
      <c r="L59" s="221"/>
      <c r="M59" s="222"/>
      <c r="N59" s="129">
        <f t="shared" si="126"/>
        <v>95.16</v>
      </c>
      <c r="O59" s="134">
        <f t="shared" si="126"/>
        <v>53.87</v>
      </c>
      <c r="P59" s="137">
        <f t="shared" si="126"/>
        <v>48.97</v>
      </c>
      <c r="Q59" s="221"/>
      <c r="R59" s="222"/>
      <c r="S59" s="129">
        <f t="shared" si="126"/>
        <v>51.53</v>
      </c>
      <c r="T59" s="226"/>
      <c r="U59" s="227"/>
      <c r="V59" s="132">
        <f t="shared" si="126"/>
        <v>88.49</v>
      </c>
      <c r="W59" s="137">
        <f t="shared" si="126"/>
        <v>61.64</v>
      </c>
      <c r="X59" s="263"/>
      <c r="Y59" s="263"/>
      <c r="Z59" s="263"/>
      <c r="AA59" s="263"/>
      <c r="AB59" s="263"/>
      <c r="AC59" s="263"/>
      <c r="AD59" s="263"/>
      <c r="AE59" s="263"/>
      <c r="AF59" s="201"/>
      <c r="AX59" s="43" t="s">
        <v>89</v>
      </c>
      <c r="AY59" s="57" t="str">
        <f t="shared" ref="AY59:BG59" si="127">IFERROR(ROUND(AVERAGEIFS($W$2:$W$54,$B$2:$B$54,"="&amp;$AW57,$AC$2:$AC$54,"="&amp;$AV$51,$AF$2:$AF$54,"="&amp;AY$2),2),"-")</f>
        <v>-</v>
      </c>
      <c r="AZ59" s="44" t="str">
        <f t="shared" si="127"/>
        <v>-</v>
      </c>
      <c r="BA59" s="44" t="str">
        <f t="shared" si="127"/>
        <v>-</v>
      </c>
      <c r="BB59" s="44" t="str">
        <f t="shared" si="127"/>
        <v>-</v>
      </c>
      <c r="BC59" s="44" t="str">
        <f t="shared" si="127"/>
        <v>-</v>
      </c>
      <c r="BD59" s="44" t="str">
        <f t="shared" si="127"/>
        <v>-</v>
      </c>
      <c r="BE59" s="44" t="str">
        <f t="shared" si="127"/>
        <v>-</v>
      </c>
      <c r="BF59" s="44" t="str">
        <f t="shared" si="127"/>
        <v>-</v>
      </c>
      <c r="BG59" s="43" t="str">
        <f t="shared" si="127"/>
        <v>-</v>
      </c>
    </row>
    <row r="60" spans="1:59" ht="19.899999999999999" customHeight="1" x14ac:dyDescent="0.3">
      <c r="A60" s="192" t="s">
        <v>134</v>
      </c>
      <c r="B60" s="193"/>
      <c r="C60" s="193"/>
      <c r="D60" s="193"/>
      <c r="E60" s="194"/>
      <c r="F60" s="178">
        <f>MAX(F2:F54)</f>
        <v>167</v>
      </c>
      <c r="G60" s="136">
        <f>MAX(G2:G54)</f>
        <v>83.5</v>
      </c>
      <c r="H60" s="200"/>
      <c r="I60" s="201"/>
      <c r="J60" s="163">
        <f t="shared" ref="J60:W60" si="128">MAX(J2:J54)</f>
        <v>105</v>
      </c>
      <c r="K60" s="136">
        <f t="shared" si="128"/>
        <v>95.45</v>
      </c>
      <c r="L60" s="221"/>
      <c r="M60" s="222"/>
      <c r="N60" s="130">
        <f t="shared" si="128"/>
        <v>100</v>
      </c>
      <c r="O60" s="7">
        <f t="shared" si="128"/>
        <v>102</v>
      </c>
      <c r="P60" s="136">
        <f t="shared" si="128"/>
        <v>92.73</v>
      </c>
      <c r="Q60" s="221"/>
      <c r="R60" s="222"/>
      <c r="S60" s="130">
        <f t="shared" si="128"/>
        <v>95</v>
      </c>
      <c r="T60" s="226"/>
      <c r="U60" s="227"/>
      <c r="V60" s="133">
        <f t="shared" si="128"/>
        <v>100</v>
      </c>
      <c r="W60" s="136">
        <f t="shared" si="128"/>
        <v>89.82</v>
      </c>
      <c r="X60" s="263"/>
      <c r="Y60" s="263"/>
      <c r="Z60" s="263"/>
      <c r="AA60" s="263"/>
      <c r="AB60" s="263"/>
      <c r="AC60" s="263"/>
      <c r="AD60" s="263"/>
      <c r="AE60" s="263"/>
      <c r="AF60" s="201"/>
      <c r="AW60" s="204">
        <v>3</v>
      </c>
      <c r="AX60" s="47" t="s">
        <v>95</v>
      </c>
      <c r="AY60" s="59">
        <f t="shared" ref="AY60:BG60" si="129">COUNTIFS($B$2:$B$54,"="&amp;$AW60,$AC$2:$AC$54,"="&amp;$AV$51,$AF$2:$AF$54,"="&amp;AY$2)</f>
        <v>0</v>
      </c>
      <c r="AZ60" s="48">
        <f t="shared" si="129"/>
        <v>0</v>
      </c>
      <c r="BA60" s="48">
        <f t="shared" si="129"/>
        <v>0</v>
      </c>
      <c r="BB60" s="48">
        <f t="shared" si="129"/>
        <v>2</v>
      </c>
      <c r="BC60" s="48">
        <f t="shared" si="129"/>
        <v>0</v>
      </c>
      <c r="BD60" s="48">
        <f t="shared" si="129"/>
        <v>0</v>
      </c>
      <c r="BE60" s="48">
        <f t="shared" si="129"/>
        <v>0</v>
      </c>
      <c r="BF60" s="48">
        <f t="shared" si="129"/>
        <v>0</v>
      </c>
      <c r="BG60" s="47">
        <f t="shared" si="129"/>
        <v>0</v>
      </c>
    </row>
    <row r="61" spans="1:59" ht="19.899999999999999" customHeight="1" x14ac:dyDescent="0.3">
      <c r="A61" s="192" t="s">
        <v>135</v>
      </c>
      <c r="B61" s="193"/>
      <c r="C61" s="193"/>
      <c r="D61" s="193"/>
      <c r="E61" s="194"/>
      <c r="F61" s="178">
        <f>MIN(F2:F54)</f>
        <v>16</v>
      </c>
      <c r="G61" s="136">
        <f>MIN(G2:G54)</f>
        <v>8</v>
      </c>
      <c r="H61" s="200"/>
      <c r="I61" s="201"/>
      <c r="J61" s="163">
        <f t="shared" ref="J61:W61" si="130">MIN(J2:J54)</f>
        <v>0</v>
      </c>
      <c r="K61" s="136">
        <f t="shared" si="130"/>
        <v>0</v>
      </c>
      <c r="L61" s="221"/>
      <c r="M61" s="222"/>
      <c r="N61" s="130">
        <f t="shared" si="130"/>
        <v>60</v>
      </c>
      <c r="O61" s="7">
        <f t="shared" si="130"/>
        <v>9</v>
      </c>
      <c r="P61" s="136">
        <f t="shared" si="130"/>
        <v>8.18</v>
      </c>
      <c r="Q61" s="221"/>
      <c r="R61" s="222"/>
      <c r="S61" s="130">
        <f t="shared" si="130"/>
        <v>0</v>
      </c>
      <c r="T61" s="226"/>
      <c r="U61" s="227"/>
      <c r="V61" s="133">
        <f t="shared" si="130"/>
        <v>0</v>
      </c>
      <c r="W61" s="136">
        <f t="shared" si="130"/>
        <v>26.57</v>
      </c>
      <c r="X61" s="263"/>
      <c r="Y61" s="263"/>
      <c r="Z61" s="263"/>
      <c r="AA61" s="263"/>
      <c r="AB61" s="263"/>
      <c r="AC61" s="263"/>
      <c r="AD61" s="263"/>
      <c r="AE61" s="263"/>
      <c r="AF61" s="201"/>
      <c r="AW61" s="205"/>
      <c r="AX61" s="41" t="s">
        <v>88</v>
      </c>
      <c r="AY61" s="56">
        <f t="shared" ref="AY61:BG61" si="131">SUMIFS($W$2:$W$54,$B$2:$B$54,"="&amp;$AW60,$AC$2:$AC$54,"="&amp;$AV$51,$AF$2:$AF$54,"="&amp;AY$2)</f>
        <v>0</v>
      </c>
      <c r="AZ61" s="42">
        <f t="shared" si="131"/>
        <v>0</v>
      </c>
      <c r="BA61" s="42">
        <f t="shared" si="131"/>
        <v>0</v>
      </c>
      <c r="BB61" s="42">
        <f t="shared" si="131"/>
        <v>135.59</v>
      </c>
      <c r="BC61" s="42">
        <f t="shared" si="131"/>
        <v>0</v>
      </c>
      <c r="BD61" s="42">
        <f t="shared" si="131"/>
        <v>0</v>
      </c>
      <c r="BE61" s="42">
        <f t="shared" si="131"/>
        <v>0</v>
      </c>
      <c r="BF61" s="42">
        <f t="shared" si="131"/>
        <v>0</v>
      </c>
      <c r="BG61" s="41">
        <f t="shared" si="131"/>
        <v>0</v>
      </c>
    </row>
    <row r="62" spans="1:59" ht="19.899999999999999" customHeight="1" thickBot="1" x14ac:dyDescent="0.35">
      <c r="A62" s="258" t="s">
        <v>136</v>
      </c>
      <c r="B62" s="259"/>
      <c r="C62" s="259"/>
      <c r="D62" s="259"/>
      <c r="E62" s="260"/>
      <c r="F62" s="179">
        <f>MEDIAN(F2:F54)</f>
        <v>126</v>
      </c>
      <c r="G62" s="156">
        <f>MEDIAN(G2:G54)</f>
        <v>63</v>
      </c>
      <c r="H62" s="200"/>
      <c r="I62" s="201"/>
      <c r="J62" s="188">
        <f t="shared" ref="J62:W62" si="132">MEDIAN(J2:J54)</f>
        <v>66</v>
      </c>
      <c r="K62" s="156">
        <f t="shared" si="132"/>
        <v>60</v>
      </c>
      <c r="L62" s="221"/>
      <c r="M62" s="222"/>
      <c r="N62" s="157">
        <f t="shared" si="132"/>
        <v>97.78</v>
      </c>
      <c r="O62" s="155">
        <f t="shared" si="132"/>
        <v>56</v>
      </c>
      <c r="P62" s="156">
        <f t="shared" si="132"/>
        <v>50.91</v>
      </c>
      <c r="Q62" s="221"/>
      <c r="R62" s="222"/>
      <c r="S62" s="157">
        <f t="shared" si="132"/>
        <v>53</v>
      </c>
      <c r="T62" s="226"/>
      <c r="U62" s="227"/>
      <c r="V62" s="154">
        <f t="shared" si="132"/>
        <v>100</v>
      </c>
      <c r="W62" s="156">
        <f t="shared" si="132"/>
        <v>67.44</v>
      </c>
      <c r="X62" s="263"/>
      <c r="Y62" s="263"/>
      <c r="Z62" s="263"/>
      <c r="AA62" s="263"/>
      <c r="AB62" s="263"/>
      <c r="AC62" s="263"/>
      <c r="AD62" s="263"/>
      <c r="AE62" s="263"/>
      <c r="AF62" s="201"/>
      <c r="AW62" s="207"/>
      <c r="AX62" s="43" t="s">
        <v>89</v>
      </c>
      <c r="AY62" s="57" t="str">
        <f t="shared" ref="AY62:BG62" si="133">IFERROR(ROUND(AVERAGEIFS($W$2:$W$54,$B$2:$B$54,"="&amp;$AW60,$AC$2:$AC$54,"="&amp;$AV$51,$AF$2:$AF$54,"="&amp;AY$2),2),"-")</f>
        <v>-</v>
      </c>
      <c r="AZ62" s="44" t="str">
        <f t="shared" si="133"/>
        <v>-</v>
      </c>
      <c r="BA62" s="44" t="str">
        <f t="shared" si="133"/>
        <v>-</v>
      </c>
      <c r="BB62" s="44">
        <f t="shared" si="133"/>
        <v>67.8</v>
      </c>
      <c r="BC62" s="44" t="str">
        <f t="shared" si="133"/>
        <v>-</v>
      </c>
      <c r="BD62" s="44" t="str">
        <f t="shared" si="133"/>
        <v>-</v>
      </c>
      <c r="BE62" s="44" t="str">
        <f t="shared" si="133"/>
        <v>-</v>
      </c>
      <c r="BF62" s="44" t="str">
        <f t="shared" si="133"/>
        <v>-</v>
      </c>
      <c r="BG62" s="43" t="str">
        <f t="shared" si="133"/>
        <v>-</v>
      </c>
    </row>
    <row r="63" spans="1:59" ht="19.899999999999999" customHeight="1" thickTop="1" x14ac:dyDescent="0.3">
      <c r="A63" s="189" t="s">
        <v>137</v>
      </c>
      <c r="B63" s="190"/>
      <c r="C63" s="190"/>
      <c r="D63" s="190"/>
      <c r="E63" s="191"/>
      <c r="F63" s="177"/>
      <c r="G63" s="137"/>
      <c r="H63" s="200"/>
      <c r="I63" s="201"/>
      <c r="J63" s="161"/>
      <c r="K63" s="137"/>
      <c r="L63" s="221"/>
      <c r="M63" s="222"/>
      <c r="N63" s="129"/>
      <c r="O63" s="134"/>
      <c r="P63" s="137"/>
      <c r="Q63" s="221"/>
      <c r="R63" s="222"/>
      <c r="S63" s="129"/>
      <c r="T63" s="226"/>
      <c r="U63" s="227"/>
      <c r="V63" s="134"/>
      <c r="W63" s="137"/>
      <c r="X63" s="263"/>
      <c r="Y63" s="263"/>
      <c r="Z63" s="263"/>
      <c r="AA63" s="263"/>
      <c r="AB63" s="263"/>
      <c r="AC63" s="263"/>
      <c r="AD63" s="263"/>
      <c r="AE63" s="263"/>
      <c r="AF63" s="201"/>
    </row>
    <row r="64" spans="1:59" ht="19.899999999999999" customHeight="1" x14ac:dyDescent="0.3">
      <c r="A64" s="192" t="s">
        <v>138</v>
      </c>
      <c r="B64" s="193"/>
      <c r="C64" s="193"/>
      <c r="D64" s="193"/>
      <c r="E64" s="194"/>
      <c r="F64" s="178"/>
      <c r="G64" s="136"/>
      <c r="H64" s="200"/>
      <c r="I64" s="201"/>
      <c r="J64" s="163"/>
      <c r="K64" s="136"/>
      <c r="L64" s="221"/>
      <c r="M64" s="222"/>
      <c r="N64" s="130"/>
      <c r="O64" s="7"/>
      <c r="P64" s="136"/>
      <c r="Q64" s="221"/>
      <c r="R64" s="222"/>
      <c r="S64" s="130"/>
      <c r="T64" s="226"/>
      <c r="U64" s="227"/>
      <c r="V64" s="7"/>
      <c r="W64" s="136"/>
      <c r="X64" s="263"/>
      <c r="Y64" s="263"/>
      <c r="Z64" s="263"/>
      <c r="AA64" s="263"/>
      <c r="AB64" s="263"/>
      <c r="AC64" s="263"/>
      <c r="AD64" s="263"/>
      <c r="AE64" s="263"/>
      <c r="AF64" s="201"/>
    </row>
    <row r="65" spans="1:32" ht="19.899999999999999" customHeight="1" x14ac:dyDescent="0.3">
      <c r="A65" s="192" t="s">
        <v>139</v>
      </c>
      <c r="B65" s="193"/>
      <c r="C65" s="193"/>
      <c r="D65" s="193"/>
      <c r="E65" s="194"/>
      <c r="F65" s="178"/>
      <c r="G65" s="136"/>
      <c r="H65" s="200"/>
      <c r="I65" s="201"/>
      <c r="J65" s="163"/>
      <c r="K65" s="136"/>
      <c r="L65" s="221"/>
      <c r="M65" s="222"/>
      <c r="N65" s="130"/>
      <c r="O65" s="7"/>
      <c r="P65" s="136"/>
      <c r="Q65" s="221"/>
      <c r="R65" s="222"/>
      <c r="S65" s="130"/>
      <c r="T65" s="226"/>
      <c r="U65" s="227"/>
      <c r="V65" s="7"/>
      <c r="W65" s="136"/>
      <c r="X65" s="263"/>
      <c r="Y65" s="263"/>
      <c r="Z65" s="263"/>
      <c r="AA65" s="263"/>
      <c r="AB65" s="263"/>
      <c r="AC65" s="263"/>
      <c r="AD65" s="263"/>
      <c r="AE65" s="263"/>
      <c r="AF65" s="201"/>
    </row>
    <row r="66" spans="1:32" ht="19.899999999999999" customHeight="1" thickBot="1" x14ac:dyDescent="0.35">
      <c r="A66" s="195" t="s">
        <v>140</v>
      </c>
      <c r="B66" s="196"/>
      <c r="C66" s="196"/>
      <c r="D66" s="196"/>
      <c r="E66" s="197"/>
      <c r="F66" s="180"/>
      <c r="G66" s="138"/>
      <c r="H66" s="202"/>
      <c r="I66" s="203"/>
      <c r="J66" s="164"/>
      <c r="K66" s="138"/>
      <c r="L66" s="223"/>
      <c r="M66" s="224"/>
      <c r="N66" s="131"/>
      <c r="O66" s="135"/>
      <c r="P66" s="138"/>
      <c r="Q66" s="223"/>
      <c r="R66" s="224"/>
      <c r="S66" s="131"/>
      <c r="T66" s="228"/>
      <c r="U66" s="229"/>
      <c r="V66" s="135"/>
      <c r="W66" s="138"/>
      <c r="X66" s="264"/>
      <c r="Y66" s="264"/>
      <c r="Z66" s="264"/>
      <c r="AA66" s="264"/>
      <c r="AB66" s="264"/>
      <c r="AC66" s="264"/>
      <c r="AD66" s="264"/>
      <c r="AE66" s="264"/>
      <c r="AF66" s="203"/>
    </row>
    <row r="67" spans="1:32" ht="19.899999999999999" customHeight="1" thickTop="1" x14ac:dyDescent="0.3"/>
  </sheetData>
  <mergeCells count="66">
    <mergeCell ref="AW60:AW62"/>
    <mergeCell ref="A61:E61"/>
    <mergeCell ref="A62:E62"/>
    <mergeCell ref="X55:AF66"/>
    <mergeCell ref="BT2:BU2"/>
    <mergeCell ref="BV2:BW2"/>
    <mergeCell ref="BX2:BY2"/>
    <mergeCell ref="BZ2:CA2"/>
    <mergeCell ref="BR4:BR7"/>
    <mergeCell ref="BR8:BR11"/>
    <mergeCell ref="BR12:BR15"/>
    <mergeCell ref="BR16:BR19"/>
    <mergeCell ref="BR20:BR23"/>
    <mergeCell ref="BM3:BM6"/>
    <mergeCell ref="BM7:BM10"/>
    <mergeCell ref="BM11:BM14"/>
    <mergeCell ref="BM15:BM18"/>
    <mergeCell ref="BM19:BM22"/>
    <mergeCell ref="AQ29:AR29"/>
    <mergeCell ref="AS29:AT29"/>
    <mergeCell ref="AJ2:AK2"/>
    <mergeCell ref="AJ13:AK13"/>
    <mergeCell ref="AJ10:AJ11"/>
    <mergeCell ref="AJ14:AK14"/>
    <mergeCell ref="AJ17:AJ18"/>
    <mergeCell ref="AJ29:AJ30"/>
    <mergeCell ref="AK29:AL29"/>
    <mergeCell ref="L55:M66"/>
    <mergeCell ref="Q55:R66"/>
    <mergeCell ref="T55:U66"/>
    <mergeCell ref="AM29:AN29"/>
    <mergeCell ref="AO29:AP29"/>
    <mergeCell ref="AV51:AV57"/>
    <mergeCell ref="AV39:AV50"/>
    <mergeCell ref="AV27:AV38"/>
    <mergeCell ref="AV15:AV26"/>
    <mergeCell ref="AV3:AV14"/>
    <mergeCell ref="AW3:AW5"/>
    <mergeCell ref="AW6:AW8"/>
    <mergeCell ref="AW9:AW11"/>
    <mergeCell ref="AW12:AW14"/>
    <mergeCell ref="AW15:AW17"/>
    <mergeCell ref="AW18:AW20"/>
    <mergeCell ref="AW21:AW23"/>
    <mergeCell ref="AW24:AW26"/>
    <mergeCell ref="AW27:AW29"/>
    <mergeCell ref="AW30:AW32"/>
    <mergeCell ref="AW48:AW50"/>
    <mergeCell ref="AW51:AW53"/>
    <mergeCell ref="AW55:AW57"/>
    <mergeCell ref="AW33:AW35"/>
    <mergeCell ref="AW36:AW38"/>
    <mergeCell ref="AW39:AW41"/>
    <mergeCell ref="AW45:AW47"/>
    <mergeCell ref="AW42:AW44"/>
    <mergeCell ref="A63:E63"/>
    <mergeCell ref="A64:E64"/>
    <mergeCell ref="A65:E65"/>
    <mergeCell ref="A66:E66"/>
    <mergeCell ref="H55:I66"/>
    <mergeCell ref="A56:E56"/>
    <mergeCell ref="A55:E55"/>
    <mergeCell ref="A57:E57"/>
    <mergeCell ref="A58:E58"/>
    <mergeCell ref="A59:E59"/>
    <mergeCell ref="A60:E60"/>
  </mergeCells>
  <phoneticPr fontId="18" type="noConversion"/>
  <conditionalFormatting sqref="AB2:AB54">
    <cfRule type="containsText" dxfId="0" priority="1" operator="containsText" text="Y">
      <formula>NOT(ISERROR(SEARCH("Y",AB2)))</formula>
    </cfRule>
  </conditionalFormatting>
  <pageMargins left="0.7" right="0.7" top="0.75" bottom="0.75" header="0.3" footer="0.3"/>
  <pageSetup paperSize="9" orientation="portrait" horizontalDpi="4294967293" verticalDpi="1200" r:id="rId1"/>
  <ignoredErrors>
    <ignoredError sqref="AL31:AL39 AN31:AN39 AP31:AP39 AR31:AR39 BU4:BU23 BW4:BW23 BY4:BY23 BV4:BV23 BX4:BX23 BZ4:BZ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6.5" x14ac:dyDescent="0.3"/>
  <sheetData>
    <row r="1" spans="1:9" x14ac:dyDescent="0.3">
      <c r="A1" s="12" t="s">
        <v>5</v>
      </c>
      <c r="B1" s="13" t="s">
        <v>74</v>
      </c>
      <c r="D1" s="12" t="s">
        <v>5</v>
      </c>
      <c r="E1" s="13">
        <v>101</v>
      </c>
      <c r="F1" s="13">
        <v>102</v>
      </c>
      <c r="G1" s="13">
        <v>103</v>
      </c>
      <c r="H1" s="13">
        <v>104</v>
      </c>
      <c r="I1" s="13">
        <v>105</v>
      </c>
    </row>
    <row r="2" spans="1:9" x14ac:dyDescent="0.3">
      <c r="A2" s="13">
        <v>101</v>
      </c>
      <c r="B2" s="13" t="s">
        <v>75</v>
      </c>
      <c r="D2" s="13" t="s">
        <v>74</v>
      </c>
      <c r="E2" s="13" t="s">
        <v>75</v>
      </c>
      <c r="F2" s="13" t="s">
        <v>76</v>
      </c>
      <c r="G2" s="13" t="s">
        <v>77</v>
      </c>
      <c r="H2" s="13" t="s">
        <v>78</v>
      </c>
      <c r="I2" s="13" t="s">
        <v>79</v>
      </c>
    </row>
    <row r="3" spans="1:9" x14ac:dyDescent="0.3">
      <c r="A3" s="13">
        <v>102</v>
      </c>
      <c r="B3" s="13" t="s">
        <v>76</v>
      </c>
    </row>
    <row r="4" spans="1:9" x14ac:dyDescent="0.3">
      <c r="A4" s="13">
        <v>103</v>
      </c>
      <c r="B4" s="13" t="s">
        <v>77</v>
      </c>
    </row>
    <row r="5" spans="1:9" x14ac:dyDescent="0.3">
      <c r="A5" s="13">
        <v>104</v>
      </c>
      <c r="B5" s="13" t="s">
        <v>78</v>
      </c>
    </row>
    <row r="6" spans="1:9" x14ac:dyDescent="0.3">
      <c r="A6" s="13">
        <v>105</v>
      </c>
      <c r="B6" s="13" t="s">
        <v>79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분반1</vt:lpstr>
      <vt:lpstr>학과코드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Administrator</cp:lastModifiedBy>
  <cp:lastPrinted>2013-06-30T08:50:02Z</cp:lastPrinted>
  <dcterms:created xsi:type="dcterms:W3CDTF">2013-06-29T13:49:36Z</dcterms:created>
  <dcterms:modified xsi:type="dcterms:W3CDTF">2019-11-24T13:23:04Z</dcterms:modified>
</cp:coreProperties>
</file>