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1차_원고\제5부 엑셀에서 제공하는 분석 기능\Chap18_가상분석을 이용한 예측\Chap18 가상분석을 이용한 예측_준비파일\"/>
    </mc:Choice>
  </mc:AlternateContent>
  <xr:revisionPtr revIDLastSave="0" documentId="13_ncr:1_{D7C28F66-357C-47A0-BF80-7133FC9C673C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V16" i="1"/>
  <c r="V17" i="1"/>
  <c r="V18" i="1"/>
  <c r="V19" i="1"/>
  <c r="V20" i="1"/>
  <c r="V22" i="1"/>
  <c r="V24" i="1"/>
  <c r="V25" i="1"/>
  <c r="V27" i="1"/>
  <c r="V28" i="1"/>
  <c r="V29" i="1"/>
  <c r="V30" i="1"/>
  <c r="V31" i="1"/>
  <c r="V32" i="1"/>
  <c r="V33" i="1"/>
  <c r="V35" i="1"/>
  <c r="V3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U3" i="1" l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U17" i="1"/>
  <c r="U18" i="1"/>
  <c r="U19" i="1"/>
  <c r="U20" i="1"/>
  <c r="U21" i="1"/>
  <c r="V21" i="1" s="1"/>
  <c r="U22" i="1"/>
  <c r="U23" i="1"/>
  <c r="V23" i="1" s="1"/>
  <c r="U24" i="1"/>
  <c r="U25" i="1"/>
  <c r="U26" i="1"/>
  <c r="V26" i="1" s="1"/>
  <c r="U27" i="1"/>
  <c r="U28" i="1"/>
  <c r="U29" i="1"/>
  <c r="U30" i="1"/>
  <c r="U31" i="1"/>
  <c r="U32" i="1"/>
  <c r="U33" i="1"/>
  <c r="U34" i="1"/>
  <c r="V34" i="1" s="1"/>
  <c r="U35" i="1"/>
  <c r="U36" i="1"/>
  <c r="U2" i="1"/>
  <c r="V2" i="1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P5" i="1" l="1"/>
  <c r="AP4" i="1"/>
  <c r="AQ5" i="1"/>
  <c r="AQ4" i="1"/>
  <c r="Y10" i="1"/>
  <c r="AA11" i="1"/>
  <c r="AA10" i="1"/>
  <c r="Y11" i="1"/>
  <c r="AA9" i="1"/>
  <c r="AA12" i="1"/>
  <c r="Y12" i="1"/>
  <c r="Y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E3" i="1" l="1"/>
  <c r="T3" i="1" s="1"/>
  <c r="E4" i="1"/>
  <c r="T4" i="1" s="1"/>
  <c r="E5" i="1"/>
  <c r="T5" i="1" s="1"/>
  <c r="E6" i="1"/>
  <c r="T6" i="1" s="1"/>
  <c r="E7" i="1"/>
  <c r="T7" i="1" s="1"/>
  <c r="E8" i="1"/>
  <c r="T8" i="1" s="1"/>
  <c r="E9" i="1"/>
  <c r="T9" i="1" s="1"/>
  <c r="E10" i="1"/>
  <c r="T10" i="1" s="1"/>
  <c r="E11" i="1"/>
  <c r="T11" i="1" s="1"/>
  <c r="E12" i="1"/>
  <c r="T12" i="1" s="1"/>
  <c r="E13" i="1"/>
  <c r="T13" i="1" s="1"/>
  <c r="E14" i="1"/>
  <c r="T14" i="1" s="1"/>
  <c r="E15" i="1"/>
  <c r="T15" i="1" s="1"/>
  <c r="E16" i="1"/>
  <c r="T16" i="1" s="1"/>
  <c r="E17" i="1"/>
  <c r="T17" i="1" s="1"/>
  <c r="E18" i="1"/>
  <c r="T18" i="1" s="1"/>
  <c r="E19" i="1"/>
  <c r="T19" i="1" s="1"/>
  <c r="E20" i="1"/>
  <c r="T20" i="1" s="1"/>
  <c r="E21" i="1"/>
  <c r="T21" i="1" s="1"/>
  <c r="E22" i="1"/>
  <c r="T22" i="1" s="1"/>
  <c r="E23" i="1"/>
  <c r="T23" i="1" s="1"/>
  <c r="E24" i="1"/>
  <c r="T24" i="1" s="1"/>
  <c r="E25" i="1"/>
  <c r="T25" i="1" s="1"/>
  <c r="E26" i="1"/>
  <c r="T26" i="1" s="1"/>
  <c r="E27" i="1"/>
  <c r="T27" i="1" s="1"/>
  <c r="E28" i="1"/>
  <c r="T28" i="1" s="1"/>
  <c r="E29" i="1"/>
  <c r="T29" i="1" s="1"/>
  <c r="E30" i="1"/>
  <c r="T30" i="1" s="1"/>
  <c r="E31" i="1"/>
  <c r="T31" i="1" s="1"/>
  <c r="E32" i="1"/>
  <c r="T32" i="1" s="1"/>
  <c r="E33" i="1"/>
  <c r="T33" i="1" s="1"/>
  <c r="E34" i="1"/>
  <c r="T34" i="1" s="1"/>
  <c r="E35" i="1"/>
  <c r="T35" i="1" s="1"/>
  <c r="E36" i="1"/>
  <c r="T36" i="1" s="1"/>
  <c r="E2" i="1"/>
  <c r="T2" i="1" s="1"/>
  <c r="AH20" i="1" l="1"/>
  <c r="AJ11" i="1"/>
  <c r="AL8" i="1"/>
  <c r="AI26" i="1"/>
  <c r="AG23" i="1"/>
  <c r="AL5" i="1"/>
  <c r="AV9" i="1"/>
  <c r="AU9" i="1"/>
  <c r="AV10" i="1"/>
  <c r="AU10" i="1"/>
  <c r="AV8" i="1"/>
  <c r="AU8" i="1"/>
  <c r="AU7" i="1"/>
  <c r="AV7" i="1"/>
  <c r="AU4" i="1"/>
  <c r="AV4" i="1"/>
  <c r="AU6" i="1"/>
  <c r="AV6" i="1"/>
  <c r="AU5" i="1"/>
  <c r="AV5" i="1"/>
  <c r="AM11" i="1"/>
  <c r="AG17" i="1"/>
  <c r="AH11" i="1"/>
  <c r="AL11" i="1"/>
  <c r="AM5" i="1"/>
  <c r="AH16" i="1"/>
  <c r="AJ15" i="1"/>
  <c r="AK15" i="1"/>
  <c r="AI15" i="1"/>
  <c r="AL16" i="1"/>
  <c r="AM16" i="1"/>
  <c r="AM15" i="1"/>
  <c r="AH15" i="1"/>
  <c r="AM17" i="1"/>
  <c r="AG15" i="1"/>
  <c r="AG16" i="1"/>
  <c r="AI16" i="1"/>
  <c r="AK16" i="1"/>
  <c r="AL15" i="1"/>
  <c r="AJ16" i="1"/>
  <c r="AM13" i="1"/>
  <c r="AJ12" i="1"/>
  <c r="AG13" i="1"/>
  <c r="AL14" i="1"/>
  <c r="AI13" i="1"/>
  <c r="AG12" i="1"/>
  <c r="AG14" i="1"/>
  <c r="AI12" i="1"/>
  <c r="AH12" i="1"/>
  <c r="AJ13" i="1"/>
  <c r="AM12" i="1"/>
  <c r="AK12" i="1"/>
  <c r="AH14" i="1"/>
  <c r="AH13" i="1"/>
  <c r="AL13" i="1"/>
  <c r="AK13" i="1"/>
  <c r="AL12" i="1"/>
  <c r="AL17" i="1"/>
  <c r="AH25" i="1"/>
  <c r="AK26" i="1"/>
  <c r="AM25" i="1"/>
  <c r="AI24" i="1"/>
  <c r="AI25" i="1"/>
  <c r="AH24" i="1"/>
  <c r="AG24" i="1"/>
  <c r="AK25" i="1"/>
  <c r="AL25" i="1"/>
  <c r="AK24" i="1"/>
  <c r="AJ24" i="1"/>
  <c r="AJ26" i="1"/>
  <c r="AG26" i="1"/>
  <c r="AL24" i="1"/>
  <c r="AJ25" i="1"/>
  <c r="AM24" i="1"/>
  <c r="AG25" i="1"/>
  <c r="AL26" i="1"/>
  <c r="AI22" i="1"/>
  <c r="AK22" i="1"/>
  <c r="AH23" i="1"/>
  <c r="AM21" i="1"/>
  <c r="AK21" i="1"/>
  <c r="AK23" i="1"/>
  <c r="AI21" i="1"/>
  <c r="AJ21" i="1"/>
  <c r="AM23" i="1"/>
  <c r="AH22" i="1"/>
  <c r="AH21" i="1"/>
  <c r="AM22" i="1"/>
  <c r="AJ23" i="1"/>
  <c r="AI23" i="1"/>
  <c r="AG21" i="1"/>
  <c r="AG22" i="1"/>
  <c r="AL22" i="1"/>
  <c r="AL21" i="1"/>
  <c r="AJ22" i="1"/>
  <c r="AJ4" i="1"/>
  <c r="AI4" i="1"/>
  <c r="AK3" i="1"/>
  <c r="AH5" i="1"/>
  <c r="AJ3" i="1"/>
  <c r="AG3" i="1"/>
  <c r="AI5" i="1"/>
  <c r="AK5" i="1"/>
  <c r="AI3" i="1"/>
  <c r="AM4" i="1"/>
  <c r="AG4" i="1"/>
  <c r="AK4" i="1"/>
  <c r="AL4" i="1"/>
  <c r="AH4" i="1"/>
  <c r="AL3" i="1"/>
  <c r="AM3" i="1"/>
  <c r="AH3" i="1"/>
  <c r="AJ5" i="1"/>
  <c r="AH17" i="1"/>
  <c r="AI9" i="1"/>
  <c r="AK9" i="1"/>
  <c r="AI10" i="1"/>
  <c r="AL9" i="1"/>
  <c r="AJ9" i="1"/>
  <c r="AM9" i="1"/>
  <c r="AH9" i="1"/>
  <c r="AG11" i="1"/>
  <c r="AL10" i="1"/>
  <c r="AG10" i="1"/>
  <c r="AK10" i="1"/>
  <c r="AG9" i="1"/>
  <c r="AH10" i="1"/>
  <c r="AM10" i="1"/>
  <c r="AJ10" i="1"/>
  <c r="AH18" i="1"/>
  <c r="AJ18" i="1"/>
  <c r="AG20" i="1"/>
  <c r="AM19" i="1"/>
  <c r="AL19" i="1"/>
  <c r="AK18" i="1"/>
  <c r="AK19" i="1"/>
  <c r="AG18" i="1"/>
  <c r="AI19" i="1"/>
  <c r="AL18" i="1"/>
  <c r="AG19" i="1"/>
  <c r="AJ20" i="1"/>
  <c r="AH19" i="1"/>
  <c r="AK20" i="1"/>
  <c r="AM18" i="1"/>
  <c r="AI18" i="1"/>
  <c r="AJ19" i="1"/>
  <c r="AK8" i="1"/>
  <c r="AI6" i="1"/>
  <c r="AK6" i="1"/>
  <c r="AL6" i="1"/>
  <c r="AJ6" i="1"/>
  <c r="AJ7" i="1"/>
  <c r="AI7" i="1"/>
  <c r="AK7" i="1"/>
  <c r="AH7" i="1"/>
  <c r="AL7" i="1"/>
  <c r="AH8" i="1"/>
  <c r="AI8" i="1"/>
  <c r="AM7" i="1"/>
  <c r="AM6" i="1"/>
  <c r="AH6" i="1"/>
  <c r="AJ8" i="1"/>
  <c r="AG6" i="1"/>
  <c r="AG7" i="1"/>
  <c r="AI17" i="1"/>
  <c r="AM14" i="1"/>
  <c r="AM20" i="1"/>
  <c r="AL20" i="1"/>
  <c r="AJ17" i="1"/>
  <c r="AV3" i="1"/>
  <c r="AU3" i="1"/>
  <c r="AI20" i="1"/>
  <c r="AQ12" i="1"/>
  <c r="AP12" i="1"/>
  <c r="AP13" i="1"/>
  <c r="AQ13" i="1"/>
  <c r="AP10" i="1"/>
  <c r="AQ10" i="1"/>
  <c r="AP9" i="1"/>
  <c r="AQ9" i="1"/>
  <c r="AP14" i="1"/>
  <c r="AQ14" i="1"/>
  <c r="AP11" i="1"/>
  <c r="AQ11" i="1"/>
  <c r="AQ8" i="1"/>
  <c r="AP8" i="1"/>
  <c r="AM26" i="1"/>
  <c r="AM8" i="1"/>
  <c r="AH26" i="1"/>
  <c r="AJ14" i="1"/>
  <c r="AK17" i="1"/>
  <c r="AK11" i="1"/>
  <c r="AL23" i="1"/>
  <c r="AI11" i="1"/>
  <c r="AK14" i="1"/>
  <c r="AI14" i="1"/>
  <c r="AG8" i="1"/>
  <c r="AB9" i="1"/>
  <c r="Z12" i="1"/>
  <c r="AB11" i="1"/>
  <c r="AG5" i="1"/>
  <c r="Z11" i="1"/>
  <c r="AB10" i="1"/>
  <c r="AB12" i="1"/>
  <c r="Z9" i="1"/>
  <c r="Z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U27" i="1" l="1"/>
  <c r="AY27" i="1"/>
  <c r="AV27" i="1"/>
  <c r="AZ27" i="1"/>
  <c r="AW27" i="1"/>
  <c r="AX27" i="1"/>
  <c r="AY26" i="1"/>
  <c r="AZ26" i="1"/>
  <c r="AW26" i="1"/>
  <c r="AX26" i="1"/>
  <c r="AU26" i="1"/>
  <c r="AV26" i="1"/>
  <c r="AU25" i="1"/>
  <c r="AY25" i="1"/>
  <c r="AV25" i="1"/>
  <c r="AZ25" i="1"/>
  <c r="AW25" i="1"/>
  <c r="AX25" i="1"/>
  <c r="AZ24" i="1"/>
  <c r="AY24" i="1"/>
  <c r="AX24" i="1"/>
  <c r="AW24" i="1"/>
  <c r="AV24" i="1"/>
  <c r="AU24" i="1"/>
  <c r="AU23" i="1"/>
  <c r="AY23" i="1"/>
  <c r="AV23" i="1"/>
  <c r="AZ23" i="1"/>
  <c r="AW23" i="1"/>
  <c r="AX23" i="1"/>
  <c r="AY22" i="1"/>
  <c r="AZ22" i="1"/>
  <c r="AW22" i="1"/>
  <c r="AX22" i="1"/>
  <c r="AU22" i="1"/>
  <c r="AV22" i="1"/>
  <c r="AU21" i="1"/>
  <c r="AY21" i="1"/>
  <c r="AV21" i="1"/>
  <c r="AZ21" i="1"/>
  <c r="AW21" i="1"/>
  <c r="AX21" i="1"/>
  <c r="AZ20" i="1"/>
  <c r="AY20" i="1"/>
  <c r="AX20" i="1"/>
  <c r="AW20" i="1"/>
  <c r="AV20" i="1"/>
  <c r="AU20" i="1"/>
  <c r="AU19" i="1"/>
  <c r="AY19" i="1"/>
  <c r="AV19" i="1"/>
  <c r="AZ19" i="1"/>
  <c r="AW19" i="1"/>
  <c r="AX19" i="1"/>
  <c r="AZ18" i="1"/>
  <c r="AY18" i="1"/>
  <c r="AX18" i="1"/>
  <c r="AW18" i="1"/>
  <c r="AV18" i="1"/>
  <c r="AU18" i="1"/>
  <c r="AU17" i="1"/>
  <c r="AY17" i="1"/>
  <c r="AV17" i="1"/>
  <c r="AZ17" i="1"/>
  <c r="AW17" i="1"/>
  <c r="AX17" i="1"/>
  <c r="AY16" i="1"/>
  <c r="AZ16" i="1"/>
  <c r="AX16" i="1"/>
  <c r="AW16" i="1"/>
  <c r="AV16" i="1"/>
  <c r="AU16" i="1"/>
  <c r="AZ14" i="1"/>
  <c r="AU15" i="1"/>
  <c r="AY15" i="1"/>
  <c r="AV15" i="1"/>
  <c r="AZ15" i="1"/>
  <c r="AW15" i="1"/>
  <c r="AX15" i="1"/>
  <c r="AX14" i="1"/>
  <c r="AY14" i="1"/>
  <c r="AW14" i="1"/>
  <c r="AV14" i="1"/>
  <c r="AU14" i="1"/>
  <c r="AA16" i="1"/>
  <c r="Y16" i="1"/>
  <c r="X16" i="1"/>
  <c r="Z5" i="1"/>
  <c r="Z4" i="1"/>
  <c r="Y5" i="1"/>
  <c r="Y4" i="1"/>
  <c r="Z3" i="1"/>
  <c r="Y3" i="1"/>
</calcChain>
</file>

<file path=xl/sharedStrings.xml><?xml version="1.0" encoding="utf-8"?>
<sst xmlns="http://schemas.openxmlformats.org/spreadsheetml/2006/main" count="281" uniqueCount="208">
  <si>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</si>
  <si>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</si>
  <si>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</si>
  <si>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</si>
  <si>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</si>
  <si>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</si>
  <si>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</si>
  <si>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</si>
  <si>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</si>
  <si>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</si>
  <si>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</si>
  <si>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</si>
  <si>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</si>
  <si>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</si>
  <si>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</si>
  <si>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</si>
  <si>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</si>
  <si>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</si>
  <si>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</si>
  <si>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</si>
  <si>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</si>
  <si>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</si>
  <si>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</si>
  <si>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</si>
  <si>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</si>
  <si>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</si>
  <si>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</si>
  <si>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</si>
  <si>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</si>
  <si>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</si>
  <si>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</si>
  <si>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</si>
  <si>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</si>
  <si>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</si>
  <si>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</si>
  <si>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</si>
  <si>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</si>
  <si>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</si>
  <si>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</si>
  <si>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</si>
  <si>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</si>
  <si>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</si>
  <si>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</si>
  <si>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</si>
  <si>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</si>
  <si>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</si>
  <si>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</si>
  <si>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</si>
  <si>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</si>
  <si>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</si>
  <si>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</si>
  <si>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</si>
  <si>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</si>
  <si>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</si>
  <si>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</si>
  <si>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</si>
  <si>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</si>
  <si>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</si>
  <si>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</si>
  <si>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</si>
  <si>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</si>
  <si>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</si>
  <si>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</si>
  <si>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</si>
  <si>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</si>
  <si>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</si>
  <si>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</si>
  <si>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</si>
  <si>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</si>
  <si>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</si>
  <si>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</si>
  <si>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</si>
  <si>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</si>
  <si>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</si>
  <si>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</si>
  <si>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</si>
  <si>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</si>
  <si>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</si>
  <si>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</si>
  <si>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</si>
  <si>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</si>
  <si>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</si>
  <si>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</si>
  <si>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</si>
  <si>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</si>
  <si>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</si>
  <si>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</si>
  <si>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</si>
  <si>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</si>
  <si>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</si>
  <si>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</si>
  <si>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</si>
  <si>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</si>
  <si>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</si>
  <si>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</si>
  <si>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</si>
  <si>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</si>
  <si>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</si>
  <si>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</si>
  <si>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</si>
  <si>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</si>
  <si>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</si>
  <si>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</si>
  <si>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</si>
  <si>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</si>
  <si>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</si>
  <si>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</si>
  <si>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</si>
  <si>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</si>
  <si>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</si>
  <si>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</si>
  <si>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</si>
  <si>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</si>
  <si>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</si>
  <si>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</si>
  <si>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</si>
  <si>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</si>
  <si>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</si>
  <si>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</si>
  <si>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</si>
  <si>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</si>
  <si>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</si>
  <si>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</si>
  <si>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</si>
  <si>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</si>
  <si>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</si>
  <si>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</si>
  <si>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</si>
  <si>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</si>
  <si>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</si>
  <si>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</si>
  <si>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</si>
  <si>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</si>
  <si>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</si>
  <si>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</si>
  <si>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</si>
  <si>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</si>
  <si>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</si>
  <si>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</si>
  <si>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</si>
  <si>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</si>
  <si>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</si>
  <si>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</si>
  <si>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</si>
  <si>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</si>
  <si>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</si>
  <si>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</si>
  <si>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</si>
  <si>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</si>
  <si>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</si>
  <si>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</si>
  <si>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</si>
  <si>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</si>
  <si>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</si>
  <si>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</si>
  <si>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</si>
  <si>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</si>
  <si>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</si>
  <si>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</si>
  <si>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</si>
  <si>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</si>
  <si>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</si>
  <si>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</si>
  <si>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</si>
  <si>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</si>
  <si>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</si>
  <si>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</si>
  <si>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</si>
  <si>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</si>
  <si>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</si>
  <si>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</si>
  <si>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</si>
  <si>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</si>
  <si>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</si>
  <si>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</si>
  <si>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</si>
  <si>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</si>
  <si>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</si>
  <si>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</si>
  <si>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</si>
  <si>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</si>
  <si>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</si>
  <si>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</si>
  <si>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</si>
  <si>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</si>
  <si>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</si>
  <si>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</si>
  <si>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</si>
  <si>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</si>
  <si>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</si>
  <si>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</si>
  <si>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</si>
  <si>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</si>
  <si>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</si>
  <si>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</si>
  <si>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</si>
  <si>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</si>
  <si>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</si>
  <si>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</si>
  <si>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</si>
  <si>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</si>
  <si>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</si>
  <si>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</si>
  <si>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</si>
  <si>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</si>
  <si>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</si>
  <si>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</si>
  <si>
    <t>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</si>
</sst>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0" xfId="0" applyFont="1" applyFill="1" applyBorder="1">
      <alignment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7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5" xfId="0" applyFont="1" applyFill="1" applyBorder="1">
      <alignment vertical="center"/>
    </xf>
    <xf numFmtId="0" fontId="3" fillId="2" borderId="86" xfId="0" applyFont="1" applyFill="1" applyBorder="1">
      <alignment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89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8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8" fillId="0" borderId="15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9" fontId="7" fillId="0" borderId="12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7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08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BA37"/>
  <sheetViews>
    <sheetView tabSelected="1" zoomScaleNormal="100" workbookViewId="0">
      <pane ySplit="1" topLeftCell="A12" activePane="bottomLeft" state="frozen"/>
      <selection pane="bottomLeft" activeCell="V13" sqref="V13"/>
    </sheetView>
  </sheetViews>
  <sheetFormatPr defaultColWidth="9" defaultRowHeight="17.100000000000001" customHeight="1" x14ac:dyDescent="0.3"/>
  <cols>
    <col min="1" max="1" width="15.625" style="2" customWidth="1"/>
    <col min="2" max="2" width="7.625" style="2" customWidth="1"/>
    <col min="3" max="3" width="8.75" style="2" hidden="1" customWidth="1"/>
    <col min="4" max="4" width="15.625" style="2" hidden="1" customWidth="1"/>
    <col min="5" max="5" width="10.625" style="2" hidden="1" customWidth="1"/>
    <col min="6" max="6" width="5.625" style="2" hidden="1" customWidth="1"/>
    <col min="7" max="9" width="3.625" style="2" hidden="1" customWidth="1"/>
    <col min="10" max="10" width="4.625" style="2" hidden="1" customWidth="1"/>
    <col min="11" max="11" width="6.625" style="2" hidden="1" customWidth="1"/>
    <col min="12" max="12" width="23.625" style="3" hidden="1" customWidth="1"/>
    <col min="13" max="13" width="13.625" style="5" hidden="1" customWidth="1"/>
    <col min="14" max="14" width="11.125" style="2" hidden="1" customWidth="1"/>
    <col min="15" max="18" width="3.625" style="2" customWidth="1"/>
    <col min="19" max="19" width="9" style="1" customWidth="1"/>
    <col min="20" max="20" width="4.625" style="2" hidden="1" customWidth="1"/>
    <col min="21" max="21" width="11.375" style="2" customWidth="1"/>
    <col min="22" max="22" width="8.625" style="1" customWidth="1"/>
    <col min="23" max="23" width="3.625" style="1" customWidth="1"/>
    <col min="24" max="24" width="10.625" style="1" hidden="1" customWidth="1"/>
    <col min="25" max="28" width="8.625" style="1" hidden="1" customWidth="1"/>
    <col min="29" max="29" width="3.625" style="1" hidden="1" customWidth="1"/>
    <col min="30" max="30" width="9.875" style="1" hidden="1" customWidth="1"/>
    <col min="31" max="31" width="3.625" style="1" hidden="1" customWidth="1"/>
    <col min="32" max="32" width="15.75" style="1" hidden="1" customWidth="1"/>
    <col min="33" max="40" width="9" style="1" hidden="1" customWidth="1"/>
    <col min="41" max="41" width="4.625" style="1" hidden="1" customWidth="1"/>
    <col min="42" max="43" width="9.625" style="1" hidden="1" customWidth="1"/>
    <col min="44" max="44" width="3.625" style="1" hidden="1" customWidth="1"/>
    <col min="45" max="45" width="4.625" style="1" hidden="1" customWidth="1"/>
    <col min="46" max="46" width="10.625" style="1" hidden="1" customWidth="1"/>
    <col min="47" max="48" width="8.625" style="1" hidden="1" customWidth="1"/>
    <col min="49" max="53" width="9" style="1" hidden="1" customWidth="1"/>
    <col min="54" max="16384" width="9" style="1"/>
  </cols>
  <sheetData>
    <row r="1" spans="1:52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207</v>
      </c>
      <c r="Q1" s="109" t="s">
        <v>152</v>
      </c>
      <c r="R1" s="109" t="s">
        <v>153</v>
      </c>
      <c r="S1" s="108" t="s">
        <v>5</v>
      </c>
      <c r="T1" s="110" t="s">
        <v>156</v>
      </c>
      <c r="U1" s="111" t="s">
        <v>166</v>
      </c>
      <c r="V1" s="112" t="s">
        <v>167</v>
      </c>
    </row>
    <row r="2" spans="1:52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14705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v>17</v>
      </c>
      <c r="Q2" s="116">
        <f t="shared" ref="Q2:Q36" ca="1" si="10">DATEDIF(N2, TODAY(), "YM")</f>
        <v>4</v>
      </c>
      <c r="R2" s="116">
        <f t="shared" ref="R2:R36" ca="1" si="11">DATEDIF(N2, TODAY(), "MD")</f>
        <v>26</v>
      </c>
      <c r="S2" s="121">
        <v>123650</v>
      </c>
      <c r="T2" s="139" t="str">
        <f t="shared" ref="T2:T36" si="12">CHOOSE(WEEKDAY(E2), "일", "월", "화", "수", "목", "금", "토")</f>
        <v>목</v>
      </c>
      <c r="U2" s="136" t="str">
        <f>HLOOKUP(S2, 할인율!$C$1:$F$3,3,TRUE)</f>
        <v>GOLD</v>
      </c>
      <c r="V2" s="122">
        <f>INDEX(할인율!$C$4:$F$11,MATCH(P2,할인율!$B$4:$B$11,1), MATCH(U2,할인율!$C$3:$F$3,0))</f>
        <v>0.18</v>
      </c>
      <c r="X2" s="9"/>
      <c r="Y2" s="10" t="s">
        <v>169</v>
      </c>
      <c r="Z2" s="11" t="s">
        <v>170</v>
      </c>
      <c r="AD2" s="25"/>
      <c r="AE2" s="26"/>
      <c r="AF2" s="11"/>
      <c r="AG2" s="10" t="s">
        <v>176</v>
      </c>
      <c r="AH2" s="26" t="s">
        <v>177</v>
      </c>
      <c r="AI2" s="26" t="s">
        <v>178</v>
      </c>
      <c r="AJ2" s="26" t="s">
        <v>179</v>
      </c>
      <c r="AK2" s="26" t="s">
        <v>180</v>
      </c>
      <c r="AL2" s="26" t="s">
        <v>181</v>
      </c>
      <c r="AM2" s="11" t="s">
        <v>182</v>
      </c>
      <c r="AO2" s="70"/>
      <c r="AP2" s="167" t="s">
        <v>192</v>
      </c>
      <c r="AQ2" s="169" t="s">
        <v>193</v>
      </c>
      <c r="AS2" s="78"/>
      <c r="AT2" s="52"/>
      <c r="AU2" s="51" t="s">
        <v>194</v>
      </c>
      <c r="AV2" s="11" t="s">
        <v>195</v>
      </c>
    </row>
    <row r="3" spans="1:52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16074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v>20</v>
      </c>
      <c r="Q3" s="115">
        <f t="shared" ca="1" si="10"/>
        <v>8</v>
      </c>
      <c r="R3" s="115">
        <f t="shared" ca="1" si="11"/>
        <v>20</v>
      </c>
      <c r="S3" s="127">
        <v>250060</v>
      </c>
      <c r="T3" s="141" t="str">
        <f t="shared" si="12"/>
        <v>일</v>
      </c>
      <c r="U3" s="138" t="str">
        <f>HLOOKUP(S3, 할인율!$C$1:$F$3,3,TRUE)</f>
        <v>PURE GOLD</v>
      </c>
      <c r="V3" s="151">
        <f>INDEX(할인율!$C$4:$F$11,MATCH(P3,할인율!$B$4:$B$11,1), MATCH(U3,할인율!$C$3:$F$3,0))</f>
        <v>0.23</v>
      </c>
      <c r="X3" s="12">
        <v>20</v>
      </c>
      <c r="Y3" s="45">
        <f ca="1">COUNTIFS($I$2:$I$36,"&gt;="&amp;$X3,$I$2:$I$36,"&lt;"&amp;$X4, $J$2:$J$36,"="&amp;Y$2)</f>
        <v>1</v>
      </c>
      <c r="Z3" s="49">
        <f ca="1">COUNTIFS($I$2:$I$36,"&gt;="&amp;$X3,$I$2:$I$36,"&lt;"&amp;$X4, $J$2:$J$36,"="&amp;Z$2)</f>
        <v>0</v>
      </c>
      <c r="AD3" s="166" t="s">
        <v>171</v>
      </c>
      <c r="AE3" s="178" t="s">
        <v>169</v>
      </c>
      <c r="AF3" s="27" t="s">
        <v>183</v>
      </c>
      <c r="AG3" s="63">
        <f>COUNTIFS($U$2:$U$36,"="&amp;$AD$3,$J$2:$J$36,"="&amp;$AE3,$T$2:$T$36,"="&amp;AG$2)</f>
        <v>2</v>
      </c>
      <c r="AH3" s="47">
        <f t="shared" ref="AH3:AM3" si="13">COUNTIFS($U$2:$U$36,"="&amp;$AD$3,$J$2:$J$36,"="&amp;$AE3,$T$2:$T$36,"="&amp;AH$2)</f>
        <v>0</v>
      </c>
      <c r="AI3" s="47">
        <f t="shared" si="13"/>
        <v>0</v>
      </c>
      <c r="AJ3" s="47">
        <f t="shared" si="13"/>
        <v>0</v>
      </c>
      <c r="AK3" s="47">
        <f t="shared" si="13"/>
        <v>0</v>
      </c>
      <c r="AL3" s="47">
        <f t="shared" si="13"/>
        <v>1</v>
      </c>
      <c r="AM3" s="27">
        <f t="shared" si="13"/>
        <v>1</v>
      </c>
      <c r="AO3" s="71"/>
      <c r="AP3" s="168"/>
      <c r="AQ3" s="170"/>
      <c r="AS3" s="161" t="s">
        <v>190</v>
      </c>
      <c r="AT3" s="77" t="s">
        <v>203</v>
      </c>
      <c r="AU3" s="72">
        <f>_xlfn.MAXIFS($V$2:$V$36,$J$2:$J$36,"="&amp;$AS$3,$U$2:$U$36,"="&amp;$AT3)</f>
        <v>0.23</v>
      </c>
      <c r="AV3" s="73">
        <f>_xlfn.MINIFS($V$2:$V$36,$J$2:$J$36,"="&amp;$AS$3,$U$2:$U$36,"="&amp;$AT3)</f>
        <v>0.15</v>
      </c>
    </row>
    <row r="4" spans="1:52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13744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v>9</v>
      </c>
      <c r="Q4" s="115">
        <f t="shared" ca="1" si="10"/>
        <v>5</v>
      </c>
      <c r="R4" s="115">
        <f t="shared" ca="1" si="11"/>
        <v>30</v>
      </c>
      <c r="S4" s="127">
        <v>6500</v>
      </c>
      <c r="T4" s="147" t="str">
        <f t="shared" si="12"/>
        <v>토</v>
      </c>
      <c r="U4" s="135" t="str">
        <f>HLOOKUP(S4, 할인율!$C$1:$F$3,3,TRUE)</f>
        <v>BRONZE</v>
      </c>
      <c r="V4" s="151">
        <f>INDEX(할인율!$C$4:$F$11,MATCH(P4,할인율!$B$4:$B$11,1), MATCH(U4,할인율!$C$3:$F$3,0))</f>
        <v>0.02</v>
      </c>
      <c r="X4" s="13">
        <v>30</v>
      </c>
      <c r="Y4" s="24">
        <f ca="1">COUNTIFS($I$2:$I$36,"&gt;="&amp;$X4,$I$2:$I$36,"&lt;"&amp;$X5, $J$2:$J$36,"="&amp;Y$2)</f>
        <v>10</v>
      </c>
      <c r="Z4" s="14">
        <f ca="1">COUNTIFS($I$2:$I$36,"&gt;="&amp;$X4,$I$2:$I$36,"&lt;"&amp;$X5, $J$2:$J$36,"="&amp;Z$2)</f>
        <v>9</v>
      </c>
      <c r="AD4" s="159"/>
      <c r="AE4" s="179"/>
      <c r="AF4" s="28" t="s">
        <v>185</v>
      </c>
      <c r="AG4" s="60">
        <f>SUMIFS($S$2:$S$36,$U$2:$U$36,"="&amp;$AD$3,$J$2:$J$36,"="&amp;$AE3,$T$2:$T$36,"="&amp;AG$2)</f>
        <v>464060</v>
      </c>
      <c r="AH4" s="48">
        <f t="shared" ref="AH4:AM4" si="14">SUMIFS($S$2:$S$36,$U$2:$U$36,"="&amp;$AD$3,$J$2:$J$36,"="&amp;$AE3,$T$2:$T$36,"="&amp;AH$2)</f>
        <v>0</v>
      </c>
      <c r="AI4" s="48">
        <f t="shared" si="14"/>
        <v>0</v>
      </c>
      <c r="AJ4" s="48">
        <f t="shared" si="14"/>
        <v>0</v>
      </c>
      <c r="AK4" s="48">
        <f t="shared" si="14"/>
        <v>0</v>
      </c>
      <c r="AL4" s="48">
        <f t="shared" si="14"/>
        <v>224100</v>
      </c>
      <c r="AM4" s="29">
        <f t="shared" si="14"/>
        <v>200500</v>
      </c>
      <c r="AO4" s="12" t="s">
        <v>190</v>
      </c>
      <c r="AP4" s="72">
        <f>_xlfn.MAXIFS($S$2:$S$36,$J$2:$J$36,"="&amp;$AO4)</f>
        <v>250060</v>
      </c>
      <c r="AQ4" s="73">
        <f>_xlfn.MINIFS($S$2:$S$36,$J$2:$J$36,"="&amp;$AO4)</f>
        <v>400</v>
      </c>
      <c r="AS4" s="162"/>
      <c r="AT4" s="75" t="s">
        <v>204</v>
      </c>
      <c r="AU4" s="72">
        <f t="shared" ref="AU4:AU6" si="15">_xlfn.MAXIFS($V$2:$V$36,$J$2:$J$36,"="&amp;$AS$3,$U$2:$U$36,"="&amp;$AT4)</f>
        <v>0.18</v>
      </c>
      <c r="AV4" s="73">
        <f t="shared" ref="AV4:AV6" si="16">_xlfn.MINIFS($V$2:$V$36,$J$2:$J$36,"="&amp;$AS$3,$U$2:$U$36,"="&amp;$AT4)</f>
        <v>0.12</v>
      </c>
    </row>
    <row r="5" spans="1:52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11574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v>10</v>
      </c>
      <c r="Q5" s="115">
        <f t="shared" ca="1" si="10"/>
        <v>4</v>
      </c>
      <c r="R5" s="115">
        <f t="shared" ca="1" si="11"/>
        <v>1</v>
      </c>
      <c r="S5" s="127">
        <v>143000</v>
      </c>
      <c r="T5" s="147" t="str">
        <f t="shared" si="12"/>
        <v>토</v>
      </c>
      <c r="U5" s="137" t="str">
        <f>HLOOKUP(S5, 할인율!$C$1:$F$3,3,TRUE)</f>
        <v>GOLD</v>
      </c>
      <c r="V5" s="151">
        <f>INDEX(할인율!$C$4:$F$11,MATCH(P5,할인율!$B$4:$B$11,1), MATCH(U5,할인율!$C$3:$F$3,0))</f>
        <v>0.15</v>
      </c>
      <c r="X5" s="15">
        <v>40</v>
      </c>
      <c r="Y5" s="20">
        <f ca="1">COUNTIFS($I$2:$I$36,"&gt;="&amp;$X5,$J$2:$J$36,"="&amp;Y$2)</f>
        <v>8</v>
      </c>
      <c r="Z5" s="43">
        <f ca="1">COUNTIFS($I$2:$I$36,"&gt;="&amp;$X5,$J$2:$J$36,"="&amp;Z$2)</f>
        <v>7</v>
      </c>
      <c r="AD5" s="159"/>
      <c r="AE5" s="180"/>
      <c r="AF5" s="30" t="s">
        <v>186</v>
      </c>
      <c r="AG5" s="64">
        <f>IFERROR(ROUND(AVERAGEIFS($V$2:$V$36,$U$2:$U$36,"="&amp;$AD$3,$J$2:$J$36,"="&amp;$AE3,$T$2:$T$36,"="&amp;AG$2),2),"-")</f>
        <v>0.21</v>
      </c>
      <c r="AH5" s="31" t="str">
        <f t="shared" ref="AH5:AM5" si="17">IFERROR(ROUND(AVERAGEIFS($V$2:$V$36,$U$2:$U$36,"="&amp;$AD$3,$J$2:$J$36,"="&amp;$AE3,$T$2:$T$36,"="&amp;AH$2),2),"-")</f>
        <v>-</v>
      </c>
      <c r="AI5" s="31" t="str">
        <f t="shared" si="17"/>
        <v>-</v>
      </c>
      <c r="AJ5" s="31" t="str">
        <f t="shared" si="17"/>
        <v>-</v>
      </c>
      <c r="AK5" s="31" t="str">
        <f t="shared" si="17"/>
        <v>-</v>
      </c>
      <c r="AL5" s="31">
        <f t="shared" si="17"/>
        <v>0.2</v>
      </c>
      <c r="AM5" s="32">
        <f t="shared" si="17"/>
        <v>0.15</v>
      </c>
      <c r="AO5" s="15" t="s">
        <v>191</v>
      </c>
      <c r="AP5" s="20">
        <f>_xlfn.MAXIFS($S$2:$S$36,$J$2:$J$36,"="&amp;$AO5)</f>
        <v>270100</v>
      </c>
      <c r="AQ5" s="66">
        <f>_xlfn.MINIFS($S$2:$S$36,$J$2:$J$36,"="&amp;$AO5)</f>
        <v>2400</v>
      </c>
      <c r="AS5" s="162"/>
      <c r="AT5" s="75" t="s">
        <v>205</v>
      </c>
      <c r="AU5" s="72">
        <f t="shared" si="15"/>
        <v>0.13</v>
      </c>
      <c r="AV5" s="73">
        <f t="shared" si="16"/>
        <v>0.03</v>
      </c>
    </row>
    <row r="6" spans="1:52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16385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v>8</v>
      </c>
      <c r="Q6" s="115">
        <f t="shared" ca="1" si="10"/>
        <v>8</v>
      </c>
      <c r="R6" s="115">
        <f t="shared" ca="1" si="11"/>
        <v>9</v>
      </c>
      <c r="S6" s="127">
        <v>186300</v>
      </c>
      <c r="T6" s="140" t="str">
        <f t="shared" si="12"/>
        <v>목</v>
      </c>
      <c r="U6" s="137" t="str">
        <f>HLOOKUP(S6, 할인율!$C$1:$F$3,3,TRUE)</f>
        <v>GOLD</v>
      </c>
      <c r="V6" s="151">
        <f>INDEX(할인율!$C$4:$F$11,MATCH(P6,할인율!$B$4:$B$11,1), MATCH(U6,할인율!$C$3:$F$3,0))</f>
        <v>0.12</v>
      </c>
      <c r="AD6" s="159"/>
      <c r="AE6" s="181" t="s">
        <v>170</v>
      </c>
      <c r="AF6" s="33" t="s">
        <v>183</v>
      </c>
      <c r="AG6" s="59">
        <f t="shared" ref="AG6:AM6" si="18">COUNTIFS($U$2:$U$36,"="&amp;$AD$3,$J$2:$J$36,"="&amp;$AE6,$T$2:$T$36,"="&amp;AG$2)</f>
        <v>1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0</v>
      </c>
      <c r="AL6" s="34">
        <f t="shared" si="18"/>
        <v>1</v>
      </c>
      <c r="AM6" s="33">
        <f t="shared" si="18"/>
        <v>1</v>
      </c>
      <c r="AS6" s="163"/>
      <c r="AT6" s="79" t="s">
        <v>206</v>
      </c>
      <c r="AU6" s="96">
        <f t="shared" si="15"/>
        <v>0</v>
      </c>
      <c r="AV6" s="97">
        <f t="shared" si="16"/>
        <v>0</v>
      </c>
    </row>
    <row r="7" spans="1:52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10742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v>0</v>
      </c>
      <c r="Q7" s="115">
        <f t="shared" ca="1" si="10"/>
        <v>10</v>
      </c>
      <c r="R7" s="115">
        <f t="shared" ca="1" si="11"/>
        <v>2</v>
      </c>
      <c r="S7" s="127">
        <v>400</v>
      </c>
      <c r="T7" s="145" t="str">
        <f t="shared" si="12"/>
        <v>금</v>
      </c>
      <c r="U7" s="135" t="str">
        <f>HLOOKUP(S7, 할인율!$C$1:$F$3,3,TRUE)</f>
        <v>BRONZE</v>
      </c>
      <c r="V7" s="151">
        <f>INDEX(할인율!$C$4:$F$11,MATCH(P7,할인율!$B$4:$B$11,1), MATCH(U7,할인율!$C$3:$F$3,0))</f>
        <v>0</v>
      </c>
      <c r="X7" s="18"/>
      <c r="Y7" s="174" t="s">
        <v>169</v>
      </c>
      <c r="Z7" s="175"/>
      <c r="AA7" s="176" t="s">
        <v>170</v>
      </c>
      <c r="AB7" s="177"/>
      <c r="AD7" s="159"/>
      <c r="AE7" s="182"/>
      <c r="AF7" s="28" t="s">
        <v>185</v>
      </c>
      <c r="AG7" s="60">
        <f t="shared" ref="AG7:AM7" si="19">SUMIFS($S$2:$S$36,$U$2:$U$36,"="&amp;$AD$3,$J$2:$J$36,"="&amp;$AE6,$T$2:$T$36,"="&amp;AG$2)</f>
        <v>210300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0</v>
      </c>
      <c r="AL7" s="48">
        <f t="shared" si="19"/>
        <v>221000</v>
      </c>
      <c r="AM7" s="29">
        <f t="shared" si="19"/>
        <v>270100</v>
      </c>
      <c r="AO7" s="9"/>
      <c r="AP7" s="74" t="s">
        <v>194</v>
      </c>
      <c r="AQ7" s="11" t="s">
        <v>195</v>
      </c>
      <c r="AS7" s="164" t="s">
        <v>191</v>
      </c>
      <c r="AT7" s="77" t="s">
        <v>203</v>
      </c>
      <c r="AU7" s="98">
        <f>_xlfn.MAXIFS($V$2:$V$36,$J$2:$J$36,"="&amp;$AS$7,$U$2:$U$36,"="&amp;$AT7)</f>
        <v>0.2</v>
      </c>
      <c r="AV7" s="88">
        <f>_xlfn.MINIFS($V$2:$V$36,$J$2:$J$36,"="&amp;$AS$7,$U$2:$U$36,"="&amp;$AT7)</f>
        <v>0.18</v>
      </c>
    </row>
    <row r="8" spans="1:52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12291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v>12</v>
      </c>
      <c r="Q8" s="115">
        <f t="shared" ca="1" si="10"/>
        <v>4</v>
      </c>
      <c r="R8" s="115">
        <f t="shared" ca="1" si="11"/>
        <v>2</v>
      </c>
      <c r="S8" s="127">
        <v>168000</v>
      </c>
      <c r="T8" s="144" t="str">
        <f t="shared" si="12"/>
        <v>수</v>
      </c>
      <c r="U8" s="137" t="str">
        <f>HLOOKUP(S8, 할인율!$C$1:$F$3,3,TRUE)</f>
        <v>GOLD</v>
      </c>
      <c r="V8" s="151">
        <f>INDEX(할인율!$C$4:$F$11,MATCH(P8,할인율!$B$4:$B$11,1), MATCH(U8,할인율!$C$3:$F$3,0))</f>
        <v>0.15</v>
      </c>
      <c r="X8" s="19"/>
      <c r="Y8" s="20" t="s">
        <v>174</v>
      </c>
      <c r="Z8" s="21" t="s">
        <v>175</v>
      </c>
      <c r="AA8" s="16" t="s">
        <v>174</v>
      </c>
      <c r="AB8" s="17" t="s">
        <v>175</v>
      </c>
      <c r="AD8" s="159"/>
      <c r="AE8" s="182"/>
      <c r="AF8" s="35" t="s">
        <v>186</v>
      </c>
      <c r="AG8" s="61">
        <f t="shared" ref="AG8:AM8" si="20">IFERROR(ROUND(AVERAGEIFS($V$2:$V$36,$U$2:$U$36,"="&amp;$AD$3,$J$2:$J$36,"="&amp;$AE6,$T$2:$T$36,"="&amp;AG$2),2),"-")</f>
        <v>0.18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 t="str">
        <f t="shared" si="20"/>
        <v>-</v>
      </c>
      <c r="AL8" s="36">
        <f t="shared" si="20"/>
        <v>0.2</v>
      </c>
      <c r="AM8" s="37">
        <f t="shared" si="20"/>
        <v>0.18</v>
      </c>
      <c r="AO8" s="12" t="s">
        <v>196</v>
      </c>
      <c r="AP8" s="45">
        <f>_xlfn.MAXIFS($V$2:$V$36,$T$2:$T$36, "="&amp;$AO8)</f>
        <v>0.23</v>
      </c>
      <c r="AQ8" s="83">
        <f>_xlfn.MINIFS($V$2:$V$36,$T$2:$T$36, "="&amp;$AO8)</f>
        <v>0</v>
      </c>
      <c r="AS8" s="162"/>
      <c r="AT8" s="75" t="s">
        <v>204</v>
      </c>
      <c r="AU8" s="89">
        <f t="shared" ref="AU8:AU10" si="21">_xlfn.MAXIFS($V$2:$V$36,$J$2:$J$36,"="&amp;$AS$7,$U$2:$U$36,"="&amp;$AT8)</f>
        <v>0.15</v>
      </c>
      <c r="AV8" s="73">
        <f t="shared" ref="AV8:AV10" si="22">_xlfn.MINIFS($V$2:$V$36,$J$2:$J$36,"="&amp;$AS$7,$U$2:$U$36,"="&amp;$AT8)</f>
        <v>0.1</v>
      </c>
    </row>
    <row r="9" spans="1:52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16495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v>13</v>
      </c>
      <c r="Q9" s="115">
        <f t="shared" ca="1" si="10"/>
        <v>9</v>
      </c>
      <c r="R9" s="115">
        <f t="shared" ca="1" si="11"/>
        <v>29</v>
      </c>
      <c r="S9" s="127">
        <v>270100</v>
      </c>
      <c r="T9" s="147" t="str">
        <f t="shared" si="12"/>
        <v>토</v>
      </c>
      <c r="U9" s="138" t="str">
        <f>HLOOKUP(S9, 할인율!$C$1:$F$3,3,TRUE)</f>
        <v>PURE GOLD</v>
      </c>
      <c r="V9" s="151">
        <f>INDEX(할인율!$C$4:$F$11,MATCH(P9,할인율!$B$4:$B$11,1), MATCH(U9,할인율!$C$3:$F$3,0))</f>
        <v>0.18</v>
      </c>
      <c r="X9" s="22" t="s">
        <v>171</v>
      </c>
      <c r="Y9" s="45">
        <f>SUMIFS($S$2:$S$36,$U$2:$U$36,"="&amp;$X9,$J$2:$J$36,"="&amp;Y$7)</f>
        <v>888660</v>
      </c>
      <c r="Z9" s="53">
        <f>IFERROR(ROUND(AVERAGEIFS($V$2:$V$36,$U$2:$U$36,"="&amp;$X9,$J$2:$J$36,"="&amp;Y$7),2),"-")</f>
        <v>0.19</v>
      </c>
      <c r="AA9" s="56">
        <f>SUMIFS($S$2:$S$36,$U$2:$U$36,"="&amp;$X9,$J$2:$J$36,"="&amp;AA$7)</f>
        <v>701400</v>
      </c>
      <c r="AB9" s="49">
        <f>IFERROR(ROUND(AVERAGEIFS($V$2:$V$36,$U$2:$U$36,"="&amp;$X9,$J$2:$J$36,"="&amp;AA$7),2),"-")</f>
        <v>0.19</v>
      </c>
      <c r="AD9" s="157" t="s">
        <v>172</v>
      </c>
      <c r="AE9" s="183" t="s">
        <v>169</v>
      </c>
      <c r="AF9" s="38" t="s">
        <v>183</v>
      </c>
      <c r="AG9" s="65">
        <f>COUNTIFS($U$2:$U$36,"="&amp;$AD$9,$J$2:$J$36,"="&amp;$AE9,$T$2:$T$36,"="&amp;AG$2)</f>
        <v>0</v>
      </c>
      <c r="AH9" s="39">
        <f t="shared" ref="AH9:AM9" si="23">COUNTIFS($U$2:$U$36,"="&amp;$AD$9,$J$2:$J$36,"="&amp;$AE9,$T$2:$T$36,"="&amp;AH$2)</f>
        <v>1</v>
      </c>
      <c r="AI9" s="39">
        <f t="shared" si="23"/>
        <v>2</v>
      </c>
      <c r="AJ9" s="39">
        <f t="shared" si="23"/>
        <v>1</v>
      </c>
      <c r="AK9" s="39">
        <f t="shared" si="23"/>
        <v>1</v>
      </c>
      <c r="AL9" s="39">
        <f t="shared" si="23"/>
        <v>1</v>
      </c>
      <c r="AM9" s="38">
        <f t="shared" si="23"/>
        <v>1</v>
      </c>
      <c r="AO9" s="13" t="s">
        <v>197</v>
      </c>
      <c r="AP9" s="89">
        <f t="shared" ref="AP9:AP14" si="24">_xlfn.MAXIFS($V$2:$V$36,$T$2:$T$36, "="&amp;$AO9)</f>
        <v>0.12</v>
      </c>
      <c r="AQ9" s="73">
        <f t="shared" ref="AQ9:AQ14" si="25">_xlfn.MINIFS($V$2:$V$36,$T$2:$T$36, "="&amp;$AO9)</f>
        <v>0.04</v>
      </c>
      <c r="AS9" s="162"/>
      <c r="AT9" s="75" t="s">
        <v>205</v>
      </c>
      <c r="AU9" s="89">
        <f t="shared" si="21"/>
        <v>0.1</v>
      </c>
      <c r="AV9" s="73">
        <f t="shared" si="22"/>
        <v>0.05</v>
      </c>
    </row>
    <row r="10" spans="1:52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14350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v>6</v>
      </c>
      <c r="Q10" s="115">
        <f t="shared" ca="1" si="10"/>
        <v>11</v>
      </c>
      <c r="R10" s="115">
        <f t="shared" ca="1" si="11"/>
        <v>10</v>
      </c>
      <c r="S10" s="127">
        <v>199000</v>
      </c>
      <c r="T10" s="143" t="str">
        <f t="shared" si="12"/>
        <v>화</v>
      </c>
      <c r="U10" s="137" t="str">
        <f>HLOOKUP(S10, 할인율!$C$1:$F$3,3,TRUE)</f>
        <v>GOLD</v>
      </c>
      <c r="V10" s="151">
        <f>INDEX(할인율!$C$4:$F$11,MATCH(P10,할인율!$B$4:$B$11,1), MATCH(U10,할인율!$C$3:$F$3,0))</f>
        <v>0.12</v>
      </c>
      <c r="X10" s="23" t="s">
        <v>172</v>
      </c>
      <c r="Y10" s="24">
        <f>SUMIFS($S$2:$S$36,$U$2:$U$36,"="&amp;$X10,$J$2:$J$36,"="&amp;Y$7)</f>
        <v>1147250</v>
      </c>
      <c r="Z10" s="54">
        <f>IFERROR(ROUND(AVERAGEIFS($V$2:$V$36,$U$2:$U$36,"="&amp;$X10,$J$2:$J$36,"="&amp;Y$7),2),"-")</f>
        <v>0.14000000000000001</v>
      </c>
      <c r="AA10" s="57">
        <f>SUMIFS($S$2:$S$36,$U$2:$U$36,"="&amp;$X10,$J$2:$J$36,"="&amp;AA$7)</f>
        <v>836800</v>
      </c>
      <c r="AB10" s="14">
        <f>IFERROR(ROUND(AVERAGEIFS($V$2:$V$36,$U$2:$U$36,"="&amp;$X10,$J$2:$J$36,"="&amp;AA$7),2),"-")</f>
        <v>0.13</v>
      </c>
      <c r="AD10" s="159"/>
      <c r="AE10" s="182"/>
      <c r="AF10" s="28" t="s">
        <v>185</v>
      </c>
      <c r="AG10" s="60">
        <f>SUMIFS($S$2:$S$36,$U$2:$U$36,"="&amp;$AD$9,$J$2:$J$36,"="&amp;$AE9,$T$2:$T$36,"="&amp;AG$2)</f>
        <v>0</v>
      </c>
      <c r="AH10" s="48">
        <f t="shared" ref="AH10:AM10" si="26">SUMIFS($S$2:$S$36,$U$2:$U$36,"="&amp;$AD$9,$J$2:$J$36,"="&amp;$AE9,$T$2:$T$36,"="&amp;AH$2)</f>
        <v>193000</v>
      </c>
      <c r="AI10" s="48">
        <f t="shared" si="26"/>
        <v>353000</v>
      </c>
      <c r="AJ10" s="48">
        <f t="shared" si="26"/>
        <v>147600</v>
      </c>
      <c r="AK10" s="48">
        <f t="shared" si="26"/>
        <v>123650</v>
      </c>
      <c r="AL10" s="48">
        <f t="shared" si="26"/>
        <v>187000</v>
      </c>
      <c r="AM10" s="29">
        <f t="shared" si="26"/>
        <v>143000</v>
      </c>
      <c r="AO10" s="13" t="s">
        <v>198</v>
      </c>
      <c r="AP10" s="89">
        <f t="shared" si="24"/>
        <v>0.15</v>
      </c>
      <c r="AQ10" s="73">
        <f t="shared" si="25"/>
        <v>0</v>
      </c>
      <c r="AS10" s="165"/>
      <c r="AT10" s="76" t="s">
        <v>206</v>
      </c>
      <c r="AU10" s="93">
        <f t="shared" si="21"/>
        <v>0.04</v>
      </c>
      <c r="AV10" s="90">
        <f t="shared" si="22"/>
        <v>0</v>
      </c>
    </row>
    <row r="11" spans="1:52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17867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v>6</v>
      </c>
      <c r="Q11" s="115">
        <f t="shared" ca="1" si="10"/>
        <v>7</v>
      </c>
      <c r="R11" s="115">
        <f t="shared" ca="1" si="11"/>
        <v>11</v>
      </c>
      <c r="S11" s="127">
        <v>200500</v>
      </c>
      <c r="T11" s="147" t="str">
        <f t="shared" si="12"/>
        <v>토</v>
      </c>
      <c r="U11" s="138" t="str">
        <f>HLOOKUP(S11, 할인율!$C$1:$F$3,3,TRUE)</f>
        <v>PURE GOLD</v>
      </c>
      <c r="V11" s="151">
        <f>INDEX(할인율!$C$4:$F$11,MATCH(P11,할인율!$B$4:$B$11,1), MATCH(U11,할인율!$C$3:$F$3,0))</f>
        <v>0.15</v>
      </c>
      <c r="X11" s="23" t="s">
        <v>184</v>
      </c>
      <c r="Y11" s="24">
        <f>SUMIFS($S$2:$S$36,$U$2:$U$36,"="&amp;$X11,$J$2:$J$36,"="&amp;Y$7)</f>
        <v>268300</v>
      </c>
      <c r="Z11" s="54">
        <f>IFERROR(ROUND(AVERAGEIFS($V$2:$V$36,$U$2:$U$36,"="&amp;$X11,$J$2:$J$36,"="&amp;Y$7),2),"-")</f>
        <v>7.0000000000000007E-2</v>
      </c>
      <c r="AA11" s="57">
        <f>SUMIFS($S$2:$S$36,$U$2:$U$36,"="&amp;$X11,$J$2:$J$36,"="&amp;AA$7)</f>
        <v>202900</v>
      </c>
      <c r="AB11" s="14">
        <f>IFERROR(ROUND(AVERAGEIFS($V$2:$V$36,$U$2:$U$36,"="&amp;$X11,$J$2:$J$36,"="&amp;AA$7),2),"-")</f>
        <v>7.0000000000000007E-2</v>
      </c>
      <c r="AD11" s="159"/>
      <c r="AE11" s="184"/>
      <c r="AF11" s="30" t="s">
        <v>186</v>
      </c>
      <c r="AG11" s="64" t="str">
        <f>IFERROR(ROUND(AVERAGEIFS($V$2:$V$36,$U$2:$U$36,"="&amp;$AD$9,$J$2:$J$36,"="&amp;$AE9,$T$2:$T$36,"="&amp;AG$2),2),"-")</f>
        <v>-</v>
      </c>
      <c r="AH11" s="31">
        <f t="shared" ref="AH11:AM11" si="27">IFERROR(ROUND(AVERAGEIFS($V$2:$V$36,$U$2:$U$36,"="&amp;$AD$9,$J$2:$J$36,"="&amp;$AE9,$T$2:$T$36,"="&amp;AH$2),2),"-")</f>
        <v>0.12</v>
      </c>
      <c r="AI11" s="31">
        <f t="shared" si="27"/>
        <v>0.14000000000000001</v>
      </c>
      <c r="AJ11" s="31">
        <f t="shared" si="27"/>
        <v>0.12</v>
      </c>
      <c r="AK11" s="31">
        <f t="shared" si="27"/>
        <v>0.18</v>
      </c>
      <c r="AL11" s="31">
        <f t="shared" si="27"/>
        <v>0.15</v>
      </c>
      <c r="AM11" s="32">
        <f t="shared" si="27"/>
        <v>0.15</v>
      </c>
      <c r="AO11" s="13" t="s">
        <v>199</v>
      </c>
      <c r="AP11" s="89">
        <f t="shared" si="24"/>
        <v>0.15</v>
      </c>
      <c r="AQ11" s="73">
        <f t="shared" si="25"/>
        <v>7.0000000000000007E-2</v>
      </c>
    </row>
    <row r="12" spans="1:52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15919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v>19</v>
      </c>
      <c r="Q12" s="115">
        <f t="shared" ca="1" si="10"/>
        <v>9</v>
      </c>
      <c r="R12" s="115">
        <f t="shared" ca="1" si="11"/>
        <v>10</v>
      </c>
      <c r="S12" s="127">
        <v>3700</v>
      </c>
      <c r="T12" s="142" t="str">
        <f t="shared" si="12"/>
        <v>월</v>
      </c>
      <c r="U12" s="135" t="str">
        <f>HLOOKUP(S12, 할인율!$C$1:$F$3,3,TRUE)</f>
        <v>BRONZE</v>
      </c>
      <c r="V12" s="151">
        <f>INDEX(할인율!$C$4:$F$11,MATCH(P12,할인율!$B$4:$B$11,1), MATCH(U12,할인율!$C$3:$F$3,0))</f>
        <v>0.04</v>
      </c>
      <c r="X12" s="19" t="s">
        <v>173</v>
      </c>
      <c r="Y12" s="20">
        <f>SUMIFS($S$2:$S$36,$U$2:$U$36,"="&amp;$X12,$J$2:$J$36,"="&amp;Y$7)</f>
        <v>9600</v>
      </c>
      <c r="Z12" s="55">
        <f>IFERROR(ROUND(AVERAGEIFS($V$2:$V$36,$U$2:$U$36,"="&amp;$X12,$J$2:$J$36,"="&amp;Y$7),2),"-")</f>
        <v>0</v>
      </c>
      <c r="AA12" s="58">
        <f>SUMIFS($S$2:$S$36,$U$2:$U$36,"="&amp;$X12,$J$2:$J$36,"="&amp;AA$7)</f>
        <v>12600</v>
      </c>
      <c r="AB12" s="46">
        <f>IFERROR(ROUND(AVERAGEIFS($V$2:$V$36,$U$2:$U$36,"="&amp;$X12,$J$2:$J$36,"="&amp;AA$7),2),"-")</f>
        <v>0.02</v>
      </c>
      <c r="AD12" s="159"/>
      <c r="AE12" s="181" t="s">
        <v>170</v>
      </c>
      <c r="AF12" s="33" t="s">
        <v>183</v>
      </c>
      <c r="AG12" s="59">
        <f>COUNTIFS($U$2:$U$36,"="&amp;$AD$9,$J$2:$J$36,"="&amp;$AE12,$T$2:$T$36,"="&amp;AG$2)</f>
        <v>0</v>
      </c>
      <c r="AH12" s="34">
        <f t="shared" ref="AH12:AM12" si="28">COUNTIFS($U$2:$U$36,"="&amp;$AD$9,$J$2:$J$36,"="&amp;$AE12,$T$2:$T$36,"="&amp;AH$2)</f>
        <v>0</v>
      </c>
      <c r="AI12" s="34">
        <f t="shared" si="28"/>
        <v>2</v>
      </c>
      <c r="AJ12" s="34">
        <f t="shared" si="28"/>
        <v>1</v>
      </c>
      <c r="AK12" s="34">
        <f t="shared" si="28"/>
        <v>2</v>
      </c>
      <c r="AL12" s="34">
        <f t="shared" si="28"/>
        <v>0</v>
      </c>
      <c r="AM12" s="33">
        <f t="shared" si="28"/>
        <v>1</v>
      </c>
      <c r="AO12" s="13" t="s">
        <v>200</v>
      </c>
      <c r="AP12" s="89">
        <f t="shared" si="24"/>
        <v>0.18</v>
      </c>
      <c r="AQ12" s="73">
        <f t="shared" si="25"/>
        <v>0.03</v>
      </c>
      <c r="AS12" s="81"/>
      <c r="AT12" s="82"/>
      <c r="AU12" s="171">
        <v>20</v>
      </c>
      <c r="AV12" s="172"/>
      <c r="AW12" s="172">
        <v>30</v>
      </c>
      <c r="AX12" s="172"/>
      <c r="AY12" s="172">
        <v>40</v>
      </c>
      <c r="AZ12" s="173"/>
    </row>
    <row r="13" spans="1:52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11606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v>11</v>
      </c>
      <c r="Q13" s="115">
        <f t="shared" ca="1" si="10"/>
        <v>2</v>
      </c>
      <c r="R13" s="115">
        <f t="shared" ca="1" si="11"/>
        <v>27</v>
      </c>
      <c r="S13" s="127">
        <v>46000</v>
      </c>
      <c r="T13" s="143" t="str">
        <f t="shared" si="12"/>
        <v>화</v>
      </c>
      <c r="U13" s="148" t="str">
        <f>HLOOKUP(S13, 할인율!$C$1:$F$3,3,TRUE)</f>
        <v>SILVER</v>
      </c>
      <c r="V13" s="151">
        <f>INDEX(할인율!$C$4:$F$11,MATCH(P13,할인율!$B$4:$B$11,1), MATCH(U13,할인율!$C$3:$F$3,0))</f>
        <v>0.1</v>
      </c>
      <c r="AD13" s="159"/>
      <c r="AE13" s="182"/>
      <c r="AF13" s="28" t="s">
        <v>185</v>
      </c>
      <c r="AG13" s="60">
        <f>SUMIFS($S$2:$S$36,$U$2:$U$36,"="&amp;$AD$9,$J$2:$J$36,"="&amp;$AE12,$T$2:$T$36,"="&amp;AG$2)</f>
        <v>0</v>
      </c>
      <c r="AH13" s="48">
        <f t="shared" ref="AH13:AM13" si="29">SUMIFS($S$2:$S$36,$U$2:$U$36,"="&amp;$AD$9,$J$2:$J$36,"="&amp;$AE12,$T$2:$T$36,"="&amp;AH$2)</f>
        <v>0</v>
      </c>
      <c r="AI13" s="48">
        <f t="shared" si="29"/>
        <v>230500</v>
      </c>
      <c r="AJ13" s="48">
        <f t="shared" si="29"/>
        <v>168000</v>
      </c>
      <c r="AK13" s="48">
        <f t="shared" si="29"/>
        <v>328300</v>
      </c>
      <c r="AL13" s="48">
        <f t="shared" si="29"/>
        <v>0</v>
      </c>
      <c r="AM13" s="29">
        <f t="shared" si="29"/>
        <v>110000</v>
      </c>
      <c r="AO13" s="13" t="s">
        <v>201</v>
      </c>
      <c r="AP13" s="89">
        <f t="shared" si="24"/>
        <v>0.2</v>
      </c>
      <c r="AQ13" s="73">
        <f t="shared" si="25"/>
        <v>0</v>
      </c>
      <c r="AS13" s="84"/>
      <c r="AT13" s="85"/>
      <c r="AU13" s="68" t="s">
        <v>194</v>
      </c>
      <c r="AV13" s="86" t="s">
        <v>195</v>
      </c>
      <c r="AW13" s="86" t="s">
        <v>194</v>
      </c>
      <c r="AX13" s="86" t="s">
        <v>195</v>
      </c>
      <c r="AY13" s="86" t="s">
        <v>194</v>
      </c>
      <c r="AZ13" s="69" t="s">
        <v>195</v>
      </c>
    </row>
    <row r="14" spans="1:52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16938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v>2</v>
      </c>
      <c r="Q14" s="115">
        <f t="shared" ca="1" si="10"/>
        <v>2</v>
      </c>
      <c r="R14" s="115">
        <f t="shared" ca="1" si="11"/>
        <v>0</v>
      </c>
      <c r="S14" s="127">
        <v>97300</v>
      </c>
      <c r="T14" s="140" t="str">
        <f t="shared" si="12"/>
        <v>목</v>
      </c>
      <c r="U14" s="148" t="str">
        <f>HLOOKUP(S14, 할인율!$C$1:$F$3,3,TRUE)</f>
        <v>SILVER</v>
      </c>
      <c r="V14" s="151">
        <f>INDEX(할인율!$C$4:$F$11,MATCH(P14,할인율!$B$4:$B$11,1), MATCH(U14,할인율!$C$3:$F$3,0))</f>
        <v>0.03</v>
      </c>
      <c r="X14" s="187" t="s">
        <v>189</v>
      </c>
      <c r="Y14" s="188"/>
      <c r="Z14" s="188"/>
      <c r="AA14" s="188"/>
      <c r="AB14" s="189"/>
      <c r="AD14" s="158"/>
      <c r="AE14" s="185"/>
      <c r="AF14" s="35" t="s">
        <v>186</v>
      </c>
      <c r="AG14" s="61" t="str">
        <f>IFERROR(ROUND(AVERAGEIFS($V$2:$V$36,$U$2:$U$36,"="&amp;$AD$9,$J$2:$J$36,"="&amp;$AE12,$T$2:$T$36,"="&amp;AG$2),2),"-")</f>
        <v>-</v>
      </c>
      <c r="AH14" s="36" t="str">
        <f t="shared" ref="AH14:AM14" si="30">IFERROR(ROUND(AVERAGEIFS($V$2:$V$36,$U$2:$U$36,"="&amp;$AD$9,$J$2:$J$36,"="&amp;$AE12,$T$2:$T$36,"="&amp;AH$2),2),"-")</f>
        <v>-</v>
      </c>
      <c r="AI14" s="36">
        <f t="shared" si="30"/>
        <v>0.13</v>
      </c>
      <c r="AJ14" s="36">
        <f t="shared" si="30"/>
        <v>0.15</v>
      </c>
      <c r="AK14" s="36">
        <f t="shared" si="30"/>
        <v>0.14000000000000001</v>
      </c>
      <c r="AL14" s="36" t="str">
        <f t="shared" si="30"/>
        <v>-</v>
      </c>
      <c r="AM14" s="37">
        <f t="shared" si="30"/>
        <v>0.12</v>
      </c>
      <c r="AO14" s="15" t="s">
        <v>202</v>
      </c>
      <c r="AP14" s="67">
        <f t="shared" si="24"/>
        <v>0.18</v>
      </c>
      <c r="AQ14" s="90">
        <f t="shared" si="25"/>
        <v>0.02</v>
      </c>
      <c r="AS14" s="166" t="s">
        <v>196</v>
      </c>
      <c r="AT14" s="73" t="s">
        <v>190</v>
      </c>
      <c r="AU14" s="45">
        <f ca="1">_xlfn.MAXIFS($V$2:$V$36,$T$2:$T$36,"="&amp;$AS$14,$J$2:$J$36,"="&amp;$AT14,$I$2:$I$36,"&gt;="&amp;$AU$12,$I$2:$I$36,"&lt;"&amp;$AW$12)</f>
        <v>0</v>
      </c>
      <c r="AV14" s="95">
        <f ca="1">_xlfn.MINIFS($V$2:$V$36,$T$2:$T$36,"="&amp;$AS$14,$J$2:$J$36,"="&amp;$AT14,$I$2:$I$36,"&gt;="&amp;$AU$12,$I$2:$I$36,"&lt;"&amp;$AW$12)</f>
        <v>0</v>
      </c>
      <c r="AW14" s="95">
        <f ca="1">_xlfn.MAXIFS($V$2:$V$36,$T$2:$T$36,"="&amp;$AS$14,$J$2:$J$36,"="&amp;$AT14,$I$2:$I$36,"&gt;="&amp;$AW$12,$I$2:$I$36,"&lt;"&amp;$AY$12)</f>
        <v>0.18</v>
      </c>
      <c r="AX14" s="95">
        <f ca="1">_xlfn.MINIFS($V$2:$V$36,$T$2:$T$36,"="&amp;$AS$14,$J$2:$J$36,"="&amp;$AT14,$I$2:$I$36,"&gt;="&amp;$AW$12,$I$2:$I$36,"&lt;"&amp;$AY$12)</f>
        <v>0</v>
      </c>
      <c r="AY14" s="95">
        <f ca="1">_xlfn.MAXIFS($V$2:$V$36,$T$2:$T$36,"="&amp;$AS$14,$J$2:$J$36,"="&amp;$AT14,$I$2:$I$36,"&gt;="&amp;$AY$12)</f>
        <v>0.23</v>
      </c>
      <c r="AZ14" s="94">
        <f ca="1">_xlfn.MINIFS($V$2:$V$36,$T$2:$T$36,"="&amp;$AS$14,$J$2:$J$36,"="&amp;$AT14,$I$2:$I$36,"&gt;="&amp;$AY$12)</f>
        <v>0.13</v>
      </c>
    </row>
    <row r="15" spans="1:52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14045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v>5</v>
      </c>
      <c r="Q15" s="115">
        <f t="shared" ca="1" si="10"/>
        <v>7</v>
      </c>
      <c r="R15" s="115">
        <f t="shared" ca="1" si="11"/>
        <v>22</v>
      </c>
      <c r="S15" s="127">
        <v>23000</v>
      </c>
      <c r="T15" s="147" t="str">
        <f t="shared" si="12"/>
        <v>토</v>
      </c>
      <c r="U15" s="148" t="str">
        <f>HLOOKUP(S15, 할인율!$C$1:$F$3,3,TRUE)</f>
        <v>SILVER</v>
      </c>
      <c r="V15" s="151">
        <f>INDEX(할인율!$C$4:$F$11,MATCH(P15,할인율!$B$4:$B$11,1), MATCH(U15,할인율!$C$3:$F$3,0))</f>
        <v>7.0000000000000007E-2</v>
      </c>
      <c r="X15" s="20" t="s">
        <v>183</v>
      </c>
      <c r="Y15" s="190" t="s">
        <v>187</v>
      </c>
      <c r="Z15" s="190"/>
      <c r="AA15" s="190" t="s">
        <v>188</v>
      </c>
      <c r="AB15" s="191"/>
      <c r="AD15" s="157" t="s">
        <v>184</v>
      </c>
      <c r="AE15" s="183" t="s">
        <v>169</v>
      </c>
      <c r="AF15" s="38" t="s">
        <v>183</v>
      </c>
      <c r="AG15" s="65">
        <f>COUNTIFS($U$2:$U$36,"="&amp;$AD$15,$J$2:$J$36,"="&amp;$AE15,$T$2:$T$36,"="&amp;AG$2)</f>
        <v>1</v>
      </c>
      <c r="AH15" s="39">
        <f t="shared" ref="AH15:AM15" si="31">COUNTIFS($U$2:$U$36,"="&amp;$AD$15,$J$2:$J$36,"="&amp;$AE15,$T$2:$T$36,"="&amp;AH$2)</f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9">
        <f t="shared" si="31"/>
        <v>1</v>
      </c>
      <c r="AM15" s="38">
        <f t="shared" si="31"/>
        <v>0</v>
      </c>
      <c r="AS15" s="159"/>
      <c r="AT15" s="87" t="s">
        <v>191</v>
      </c>
      <c r="AU15" s="91">
        <f t="shared" ref="AU15" ca="1" si="32">_xlfn.MAXIFS($V$2:$V$36,$T$2:$T$36,"="&amp;$AS$14,$J$2:$J$36,"="&amp;$AT15,$I$2:$I$36,"&gt;="&amp;$AU$12,$I$2:$I$36,"&lt;"&amp;$AW$12)</f>
        <v>0</v>
      </c>
      <c r="AV15" s="96">
        <f t="shared" ref="AV15" ca="1" si="33">_xlfn.MINIFS($V$2:$V$36,$T$2:$T$36,"="&amp;$AS$14,$J$2:$J$36,"="&amp;$AT15,$I$2:$I$36,"&gt;="&amp;$AU$12,$I$2:$I$36,"&lt;"&amp;$AW$12)</f>
        <v>0</v>
      </c>
      <c r="AW15" s="96">
        <f t="shared" ref="AW15" ca="1" si="34">_xlfn.MAXIFS($V$2:$V$36,$T$2:$T$36,"="&amp;$AS$14,$J$2:$J$36,"="&amp;$AT15,$I$2:$I$36,"&gt;="&amp;$AW$12,$I$2:$I$36,"&lt;"&amp;$AY$12)</f>
        <v>0.18</v>
      </c>
      <c r="AX15" s="96">
        <f t="shared" ref="AX15" ca="1" si="35">_xlfn.MINIFS($V$2:$V$36,$T$2:$T$36,"="&amp;$AS$14,$J$2:$J$36,"="&amp;$AT15,$I$2:$I$36,"&gt;="&amp;$AW$12,$I$2:$I$36,"&lt;"&amp;$AY$12)</f>
        <v>0.18</v>
      </c>
      <c r="AY15" s="96">
        <f t="shared" ref="AY15" ca="1" si="36">_xlfn.MAXIFS($V$2:$V$36,$T$2:$T$36,"="&amp;$AS$14,$J$2:$J$36,"="&amp;$AT15,$I$2:$I$36,"&gt;="&amp;$AY$12)</f>
        <v>0</v>
      </c>
      <c r="AZ15" s="101">
        <f t="shared" ref="AZ15" ca="1" si="37">_xlfn.MINIFS($V$2:$V$36,$T$2:$T$36,"="&amp;$AS$14,$J$2:$J$36,"="&amp;$AT15,$I$2:$I$36,"&gt;="&amp;$AY$12)</f>
        <v>0</v>
      </c>
    </row>
    <row r="16" spans="1:52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12845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v>13</v>
      </c>
      <c r="Q16" s="115">
        <f t="shared" ca="1" si="10"/>
        <v>2</v>
      </c>
      <c r="R16" s="115">
        <f t="shared" ca="1" si="11"/>
        <v>26</v>
      </c>
      <c r="S16" s="127">
        <v>154000</v>
      </c>
      <c r="T16" s="143" t="str">
        <f t="shared" si="12"/>
        <v>화</v>
      </c>
      <c r="U16" s="137" t="str">
        <f>HLOOKUP(S16, 할인율!$C$1:$F$3,3,TRUE)</f>
        <v>GOLD</v>
      </c>
      <c r="V16" s="151">
        <f>INDEX(할인율!$C$4:$F$11,MATCH(P16,할인율!$B$4:$B$11,1), MATCH(U16,할인율!$C$3:$F$3,0))</f>
        <v>0.15</v>
      </c>
      <c r="X16" s="44">
        <f ca="1">COUNTIFS(I2:I36,"&gt;=30",I2:I36,"&lt;40",J2:J36,"=여",U2:U36,"=GOLD")</f>
        <v>3</v>
      </c>
      <c r="Y16" s="192">
        <f ca="1">SUMIFS(S2:S36,I2:I36,"&gt;=30",I2:I36,"&lt;40",J2:J36,"=여",U2:U36,"=GOLD")</f>
        <v>410500</v>
      </c>
      <c r="Z16" s="193"/>
      <c r="AA16" s="192">
        <f ca="1">ROUND(AVERAGEIFS(V2:V36,I2:I36,"&gt;=30",I2:I36,"&lt;40",J2:J36,"=여",U2:U36,"=GOLD"),2)</f>
        <v>0.13</v>
      </c>
      <c r="AB16" s="194"/>
      <c r="AD16" s="159"/>
      <c r="AE16" s="182"/>
      <c r="AF16" s="28" t="s">
        <v>185</v>
      </c>
      <c r="AG16" s="60">
        <f>SUMIFS($S$2:$S$36,$U$2:$U$36,"="&amp;$AD$15,$J$2:$J$36,"="&amp;$AE15,$T$2:$T$36,"="&amp;AG$2)</f>
        <v>16700</v>
      </c>
      <c r="AH16" s="48">
        <f t="shared" ref="AH16:AM16" si="38">SUMIFS($S$2:$S$36,$U$2:$U$36,"="&amp;$AD$15,$J$2:$J$36,"="&amp;$AE15,$T$2:$T$36,"="&amp;AH$2)</f>
        <v>17300</v>
      </c>
      <c r="AI16" s="48">
        <f t="shared" si="38"/>
        <v>68100</v>
      </c>
      <c r="AJ16" s="48">
        <f t="shared" si="38"/>
        <v>36800</v>
      </c>
      <c r="AK16" s="48">
        <f t="shared" si="38"/>
        <v>97300</v>
      </c>
      <c r="AL16" s="48">
        <f t="shared" si="38"/>
        <v>32100</v>
      </c>
      <c r="AM16" s="29">
        <f t="shared" si="38"/>
        <v>0</v>
      </c>
      <c r="AS16" s="157" t="s">
        <v>197</v>
      </c>
      <c r="AT16" s="88" t="s">
        <v>190</v>
      </c>
      <c r="AU16" s="98">
        <f ca="1">_xlfn.MAXIFS($V$2:$V$36,$T$2:$T$36,"="&amp;$AS$16,$J$2:$J$36,"="&amp;$AT16,$I$2:$I$36,"&gt;="&amp;$AU$12,$I$2:$I$36,"&lt;"&amp;$AW$12)</f>
        <v>0</v>
      </c>
      <c r="AV16" s="99">
        <f ca="1">_xlfn.MINIFS($V$2:$V$36,$T$2:$T$36,"="&amp;$AS$16,$J$2:$J$36,"="&amp;$AT16,$I$2:$I$36,"&gt;="&amp;$AU$12,$I$2:$I$36,"&lt;"&amp;$AW$12)</f>
        <v>0</v>
      </c>
      <c r="AW16" s="99">
        <f ca="1">_xlfn.MAXIFS($V$2:$V$36,$T$2:$T$36,"="&amp;$AS$16,$J$2:$J$36,"="&amp;$AT16,$I$2:$I$36,"&gt;="&amp;$AW$12,$I$2:$I$36,"&lt;"&amp;$AY$12)</f>
        <v>0.12</v>
      </c>
      <c r="AX16" s="99">
        <f ca="1">_xlfn.MINIFS($V$2:$V$36,$T$2:$T$36,"="&amp;$AS$16,$J$2:$J$36,"="&amp;$AT16,$I$2:$I$36,"&gt;="&amp;$AW$12,$I$2:$I$36,"&lt;"&amp;$AY$12)</f>
        <v>0.12</v>
      </c>
      <c r="AY16" s="99">
        <f ca="1">_xlfn.MAXIFS($V$2:$V$36,$T$2:$T$36,"="&amp;$AS$16,$J$2:$J$36,"="&amp;$AT16,$I$2:$I$36,"&gt;="&amp;$AY$12)</f>
        <v>7.0000000000000007E-2</v>
      </c>
      <c r="AZ16" s="102">
        <f ca="1">_xlfn.MINIFS($V$2:$V$36,$T$2:$T$36,"="&amp;$AS$16,$J$2:$J$36,"="&amp;$AT16,$I$2:$I$36,"&gt;="&amp;$AY$12)</f>
        <v>7.0000000000000007E-2</v>
      </c>
    </row>
    <row r="17" spans="1:52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15410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v>5</v>
      </c>
      <c r="Q17" s="115">
        <f t="shared" ca="1" si="10"/>
        <v>7</v>
      </c>
      <c r="R17" s="115">
        <f t="shared" ca="1" si="11"/>
        <v>7</v>
      </c>
      <c r="S17" s="127">
        <v>110000</v>
      </c>
      <c r="T17" s="147" t="str">
        <f t="shared" si="12"/>
        <v>토</v>
      </c>
      <c r="U17" s="137" t="str">
        <f>HLOOKUP(S17, 할인율!$C$1:$F$3,3,TRUE)</f>
        <v>GOLD</v>
      </c>
      <c r="V17" s="151">
        <f>INDEX(할인율!$C$4:$F$11,MATCH(P17,할인율!$B$4:$B$11,1), MATCH(U17,할인율!$C$3:$F$3,0))</f>
        <v>0.12</v>
      </c>
      <c r="AD17" s="159"/>
      <c r="AE17" s="184"/>
      <c r="AF17" s="30" t="s">
        <v>186</v>
      </c>
      <c r="AG17" s="64">
        <f>IFERROR(ROUND(AVERAGEIFS($V$2:$V$36,$U$2:$U$36,"="&amp;$AD$15,$J$2:$J$36,"="&amp;$AE15,$T$2:$T$36,"="&amp;AG$2),2),"-")</f>
        <v>0.13</v>
      </c>
      <c r="AH17" s="31">
        <f t="shared" ref="AH17:AM17" si="39">IFERROR(ROUND(AVERAGEIFS($V$2:$V$36,$U$2:$U$36,"="&amp;$AD$15,$J$2:$J$36,"="&amp;$AE15,$T$2:$T$36,"="&amp;AH$2),2),"-")</f>
        <v>7.0000000000000007E-2</v>
      </c>
      <c r="AI17" s="31">
        <f t="shared" si="39"/>
        <v>7.0000000000000007E-2</v>
      </c>
      <c r="AJ17" s="31">
        <f t="shared" si="39"/>
        <v>7.0000000000000007E-2</v>
      </c>
      <c r="AK17" s="31">
        <f t="shared" si="39"/>
        <v>0.03</v>
      </c>
      <c r="AL17" s="31">
        <f t="shared" si="39"/>
        <v>0.05</v>
      </c>
      <c r="AM17" s="32" t="str">
        <f t="shared" si="39"/>
        <v>-</v>
      </c>
      <c r="AS17" s="158"/>
      <c r="AT17" s="80" t="s">
        <v>191</v>
      </c>
      <c r="AU17" s="92">
        <f ca="1">_xlfn.MAXIFS($V$2:$V$36,$T$2:$T$36,"="&amp;$AS$16,$J$2:$J$36,"="&amp;$AT17,$I$2:$I$36,"&gt;="&amp;$AU$12,$I$2:$I$36,"&lt;"&amp;$AW$12)</f>
        <v>0</v>
      </c>
      <c r="AV17" s="100">
        <f ca="1">_xlfn.MINIFS($V$2:$V$36,$T$2:$T$36,"="&amp;$AS$16,$J$2:$J$36,"="&amp;$AT17,$I$2:$I$36,"&gt;="&amp;$AU$12,$I$2:$I$36,"&lt;"&amp;$AW$12)</f>
        <v>0</v>
      </c>
      <c r="AW17" s="100">
        <f ca="1">_xlfn.MAXIFS($V$2:$V$36,$T$2:$T$36,"="&amp;$AS$16,$J$2:$J$36,"="&amp;$AT17,$I$2:$I$36,"&gt;="&amp;$AW$12,$I$2:$I$36,"&lt;"&amp;$AY$12)</f>
        <v>0</v>
      </c>
      <c r="AX17" s="100">
        <f ca="1">_xlfn.MINIFS($V$2:$V$36,$T$2:$T$36,"="&amp;$AS$16,$J$2:$J$36,"="&amp;$AT17,$I$2:$I$36,"&gt;="&amp;$AW$12,$I$2:$I$36,"&lt;"&amp;$AY$12)</f>
        <v>0</v>
      </c>
      <c r="AY17" s="100">
        <f ca="1">_xlfn.MAXIFS($V$2:$V$36,$T$2:$T$36,"="&amp;$AS$16,$J$2:$J$36,"="&amp;$AT17,$I$2:$I$36,"&gt;="&amp;$AY$12)</f>
        <v>0.05</v>
      </c>
      <c r="AZ17" s="103">
        <f ca="1">_xlfn.MINIFS($V$2:$V$36,$T$2:$T$36,"="&amp;$AS$16,$J$2:$J$36,"="&amp;$AT17,$I$2:$I$36,"&gt;="&amp;$AY$12)</f>
        <v>0.04</v>
      </c>
    </row>
    <row r="18" spans="1:52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16072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v>11</v>
      </c>
      <c r="Q18" s="115">
        <f t="shared" ca="1" si="10"/>
        <v>9</v>
      </c>
      <c r="R18" s="115">
        <f t="shared" ca="1" si="11"/>
        <v>0</v>
      </c>
      <c r="S18" s="127">
        <v>130000</v>
      </c>
      <c r="T18" s="143" t="str">
        <f t="shared" si="12"/>
        <v>화</v>
      </c>
      <c r="U18" s="137" t="str">
        <f>HLOOKUP(S18, 할인율!$C$1:$F$3,3,TRUE)</f>
        <v>GOLD</v>
      </c>
      <c r="V18" s="151">
        <f>INDEX(할인율!$C$4:$F$11,MATCH(P18,할인율!$B$4:$B$11,1), MATCH(U18,할인율!$C$3:$F$3,0))</f>
        <v>0.15</v>
      </c>
      <c r="AD18" s="159"/>
      <c r="AE18" s="181" t="s">
        <v>170</v>
      </c>
      <c r="AF18" s="33" t="s">
        <v>183</v>
      </c>
      <c r="AG18" s="59">
        <f>COUNTIFS($U$2:$U$36,"="&amp;$AD$15,$J$2:$J$36,"="&amp;$AE18,$T$2:$T$36,"="&amp;AG$2)</f>
        <v>0</v>
      </c>
      <c r="AH18" s="34">
        <f t="shared" ref="AH18:AM18" si="40">COUNTIFS($U$2:$U$36,"="&amp;$AD$15,$J$2:$J$36,"="&amp;$AE18,$T$2:$T$36,"="&amp;AH$2)</f>
        <v>1</v>
      </c>
      <c r="AI18" s="34">
        <f t="shared" si="40"/>
        <v>1</v>
      </c>
      <c r="AJ18" s="34">
        <f t="shared" si="40"/>
        <v>0</v>
      </c>
      <c r="AK18" s="34">
        <f t="shared" si="40"/>
        <v>0</v>
      </c>
      <c r="AL18" s="34">
        <f t="shared" si="40"/>
        <v>1</v>
      </c>
      <c r="AM18" s="33">
        <f t="shared" si="40"/>
        <v>1</v>
      </c>
      <c r="AS18" s="159" t="s">
        <v>198</v>
      </c>
      <c r="AT18" s="73" t="s">
        <v>190</v>
      </c>
      <c r="AU18" s="89">
        <f ca="1">_xlfn.MAXIFS($V$2:$V$36,$T$2:$T$36,"="&amp;$AS$18,$J$2:$J$36,"="&amp;$AT18,$I$2:$I$36,"&gt;="&amp;$AU$12,$I$2:$I$36,"&lt;"&amp;$AW$12)</f>
        <v>0</v>
      </c>
      <c r="AV18" s="72">
        <f ca="1">_xlfn.MINIFS($V$2:$V$36,$T$2:$T$36,"="&amp;$AS$18,$J$2:$J$36,"="&amp;$AT18,$I$2:$I$36,"&gt;="&amp;$AU$12,$I$2:$I$36,"&lt;"&amp;$AW$12)</f>
        <v>0</v>
      </c>
      <c r="AW18" s="72">
        <f ca="1">_xlfn.MAXIFS($V$2:$V$36,$T$2:$T$36,"="&amp;$AS$18,$J$2:$J$36,"="&amp;$AT18,$I$2:$I$36,"&gt;="&amp;$AW$12,$I$2:$I$36,"&lt;"&amp;$AY$12)</f>
        <v>0.15</v>
      </c>
      <c r="AX18" s="72">
        <f ca="1">_xlfn.MINIFS($V$2:$V$36,$T$2:$T$36,"="&amp;$AS$18,$J$2:$J$36,"="&amp;$AT18,$I$2:$I$36,"&gt;="&amp;$AW$12,$I$2:$I$36,"&lt;"&amp;$AY$12)</f>
        <v>7.0000000000000007E-2</v>
      </c>
      <c r="AY18" s="72">
        <f ca="1">_xlfn.MAXIFS($V$2:$V$36,$T$2:$T$36,"="&amp;$AS$18,$J$2:$J$36,"="&amp;$AT18,$I$2:$I$36,"&gt;="&amp;$AY$12)</f>
        <v>0</v>
      </c>
      <c r="AZ18" s="104">
        <f ca="1">_xlfn.MINIFS($V$2:$V$36,$T$2:$T$36,"="&amp;$AS$18,$J$2:$J$36,"="&amp;$AT18,$I$2:$I$36,"&gt;="&amp;$AY$12)</f>
        <v>0</v>
      </c>
    </row>
    <row r="19" spans="1:52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13554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v>10</v>
      </c>
      <c r="Q19" s="115">
        <f t="shared" ca="1" si="10"/>
        <v>1</v>
      </c>
      <c r="R19" s="115">
        <f t="shared" ca="1" si="11"/>
        <v>27</v>
      </c>
      <c r="S19" s="127">
        <v>210300</v>
      </c>
      <c r="T19" s="141" t="str">
        <f t="shared" si="12"/>
        <v>일</v>
      </c>
      <c r="U19" s="138" t="str">
        <f>HLOOKUP(S19, 할인율!$C$1:$F$3,3,TRUE)</f>
        <v>PURE GOLD</v>
      </c>
      <c r="V19" s="151">
        <f>INDEX(할인율!$C$4:$F$11,MATCH(P19,할인율!$B$4:$B$11,1), MATCH(U19,할인율!$C$3:$F$3,0))</f>
        <v>0.18</v>
      </c>
      <c r="AD19" s="159"/>
      <c r="AE19" s="182"/>
      <c r="AF19" s="28" t="s">
        <v>185</v>
      </c>
      <c r="AG19" s="60">
        <f>SUMIFS($S$2:$S$36,$U$2:$U$36,"="&amp;$AD$15,$J$2:$J$36,"="&amp;$AE18,$T$2:$T$36,"="&amp;AG$2)</f>
        <v>0</v>
      </c>
      <c r="AH19" s="48">
        <f t="shared" ref="AH19:AM19" si="41">SUMIFS($S$2:$S$36,$U$2:$U$36,"="&amp;$AD$15,$J$2:$J$36,"="&amp;$AE18,$T$2:$T$36,"="&amp;AH$2)</f>
        <v>55600</v>
      </c>
      <c r="AI19" s="48">
        <f t="shared" si="41"/>
        <v>46000</v>
      </c>
      <c r="AJ19" s="48">
        <f t="shared" si="41"/>
        <v>0</v>
      </c>
      <c r="AK19" s="48">
        <f t="shared" si="41"/>
        <v>0</v>
      </c>
      <c r="AL19" s="48">
        <f t="shared" si="41"/>
        <v>78300</v>
      </c>
      <c r="AM19" s="29">
        <f t="shared" si="41"/>
        <v>23000</v>
      </c>
      <c r="AS19" s="159"/>
      <c r="AT19" s="87" t="s">
        <v>191</v>
      </c>
      <c r="AU19" s="91">
        <f ca="1">_xlfn.MAXIFS($V$2:$V$36,$T$2:$T$36,"="&amp;$AS$18,$J$2:$J$36,"="&amp;$AT19,$I$2:$I$36,"&gt;="&amp;$AU$12,$I$2:$I$36,"&lt;"&amp;$AW$12)</f>
        <v>0</v>
      </c>
      <c r="AV19" s="96">
        <f ca="1">_xlfn.MINIFS($V$2:$V$36,$T$2:$T$36,"="&amp;$AS$18,$J$2:$J$36,"="&amp;$AT19,$I$2:$I$36,"&gt;="&amp;$AU$12,$I$2:$I$36,"&lt;"&amp;$AW$12)</f>
        <v>0</v>
      </c>
      <c r="AW19" s="96">
        <f ca="1">_xlfn.MAXIFS($V$2:$V$36,$T$2:$T$36,"="&amp;$AS$18,$J$2:$J$36,"="&amp;$AT19,$I$2:$I$36,"&gt;="&amp;$AW$12,$I$2:$I$36,"&lt;"&amp;$AY$12)</f>
        <v>0.1</v>
      </c>
      <c r="AX19" s="96">
        <f ca="1">_xlfn.MINIFS($V$2:$V$36,$T$2:$T$36,"="&amp;$AS$18,$J$2:$J$36,"="&amp;$AT19,$I$2:$I$36,"&gt;="&amp;$AW$12,$I$2:$I$36,"&lt;"&amp;$AY$12)</f>
        <v>0</v>
      </c>
      <c r="AY19" s="96">
        <f ca="1">_xlfn.MAXIFS($V$2:$V$36,$T$2:$T$36,"="&amp;$AS$18,$J$2:$J$36,"="&amp;$AT19,$I$2:$I$36,"&gt;="&amp;$AY$12)</f>
        <v>0.15</v>
      </c>
      <c r="AZ19" s="101">
        <f ca="1">_xlfn.MINIFS($V$2:$V$36,$T$2:$T$36,"="&amp;$AS$18,$J$2:$J$36,"="&amp;$AT19,$I$2:$I$36,"&gt;="&amp;$AY$12)</f>
        <v>0.15</v>
      </c>
    </row>
    <row r="20" spans="1:52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11634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v>9</v>
      </c>
      <c r="Q20" s="115">
        <f t="shared" ca="1" si="10"/>
        <v>0</v>
      </c>
      <c r="R20" s="115">
        <f t="shared" ca="1" si="11"/>
        <v>17</v>
      </c>
      <c r="S20" s="127">
        <v>68100</v>
      </c>
      <c r="T20" s="143" t="str">
        <f t="shared" si="12"/>
        <v>화</v>
      </c>
      <c r="U20" s="148" t="str">
        <f>HLOOKUP(S20, 할인율!$C$1:$F$3,3,TRUE)</f>
        <v>SILVER</v>
      </c>
      <c r="V20" s="151">
        <f>INDEX(할인율!$C$4:$F$11,MATCH(P20,할인율!$B$4:$B$11,1), MATCH(U20,할인율!$C$3:$F$3,0))</f>
        <v>7.0000000000000007E-2</v>
      </c>
      <c r="AD20" s="158"/>
      <c r="AE20" s="185"/>
      <c r="AF20" s="35" t="s">
        <v>186</v>
      </c>
      <c r="AG20" s="61" t="str">
        <f>IFERROR(ROUND(AVERAGEIFS($V$2:$V$36,$U$2:$U$36,"="&amp;$AD$15,$J$2:$J$36,"="&amp;$AE18,$T$2:$T$36,"="&amp;AG$2),2),"-")</f>
        <v>-</v>
      </c>
      <c r="AH20" s="36">
        <f t="shared" ref="AH20:AM20" si="42">IFERROR(ROUND(AVERAGEIFS($V$2:$V$36,$U$2:$U$36,"="&amp;$AD$15,$J$2:$J$36,"="&amp;$AE18,$T$2:$T$36,"="&amp;AH$2),2),"-")</f>
        <v>0.05</v>
      </c>
      <c r="AI20" s="36">
        <f t="shared" si="42"/>
        <v>0.1</v>
      </c>
      <c r="AJ20" s="36" t="str">
        <f t="shared" si="42"/>
        <v>-</v>
      </c>
      <c r="AK20" s="36" t="str">
        <f t="shared" si="42"/>
        <v>-</v>
      </c>
      <c r="AL20" s="36">
        <f t="shared" si="42"/>
        <v>0.05</v>
      </c>
      <c r="AM20" s="37">
        <f t="shared" si="42"/>
        <v>7.0000000000000007E-2</v>
      </c>
      <c r="AS20" s="157" t="s">
        <v>199</v>
      </c>
      <c r="AT20" s="88" t="s">
        <v>190</v>
      </c>
      <c r="AU20" s="98">
        <f ca="1">_xlfn.MAXIFS($V$2:$V$36,$T$2:$T$36,"="&amp;$AS$20,$J$2:$J$36,"="&amp;$AT20,$I$2:$I$36,"&gt;="&amp;$AU$12,$I$2:$I$36,"&lt;"&amp;$AW$12)</f>
        <v>0</v>
      </c>
      <c r="AV20" s="99">
        <f ca="1">_xlfn.MINIFS($V$2:$V$36,$T$2:$T$36,"="&amp;$AS$20,$J$2:$J$36,"="&amp;$AT20,$I$2:$I$36,"&gt;="&amp;$AU$12,$I$2:$I$36,"&lt;"&amp;$AW$12)</f>
        <v>0</v>
      </c>
      <c r="AW20" s="99">
        <f ca="1">_xlfn.MAXIFS($V$2:$V$36,$T$2:$T$36,"="&amp;$AS$20,$J$2:$J$36,"="&amp;$AT20,$I$2:$I$36,"&gt;="&amp;$AW$12,$I$2:$I$36,"&lt;"&amp;$AY$12)</f>
        <v>0.12</v>
      </c>
      <c r="AX20" s="99">
        <f ca="1">_xlfn.MINIFS($V$2:$V$36,$T$2:$T$36,"="&amp;$AS$20,$J$2:$J$36,"="&amp;$AT20,$I$2:$I$36,"&gt;="&amp;$AW$12,$I$2:$I$36,"&lt;"&amp;$AY$12)</f>
        <v>7.0000000000000007E-2</v>
      </c>
      <c r="AY20" s="99">
        <f ca="1">_xlfn.MAXIFS($V$2:$V$36,$T$2:$T$36,"="&amp;$AS$20,$J$2:$J$36,"="&amp;$AT20,$I$2:$I$36,"&gt;="&amp;$AY$12)</f>
        <v>0</v>
      </c>
      <c r="AZ20" s="102">
        <f ca="1">_xlfn.MINIFS($V$2:$V$36,$T$2:$T$36,"="&amp;$AS$20,$J$2:$J$36,"="&amp;$AT20,$I$2:$I$36,"&gt;="&amp;$AY$12)</f>
        <v>0</v>
      </c>
    </row>
    <row r="21" spans="1:52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17425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v>19</v>
      </c>
      <c r="Q21" s="115">
        <f t="shared" ca="1" si="10"/>
        <v>8</v>
      </c>
      <c r="R21" s="115">
        <f t="shared" ca="1" si="11"/>
        <v>9</v>
      </c>
      <c r="S21" s="127">
        <v>16700</v>
      </c>
      <c r="T21" s="141" t="str">
        <f t="shared" si="12"/>
        <v>일</v>
      </c>
      <c r="U21" s="148" t="str">
        <f>HLOOKUP(S21, 할인율!$C$1:$F$3,3,TRUE)</f>
        <v>SILVER</v>
      </c>
      <c r="V21" s="151">
        <f>INDEX(할인율!$C$4:$F$11,MATCH(P21,할인율!$B$4:$B$11,1), MATCH(U21,할인율!$C$3:$F$3,0))</f>
        <v>0.13</v>
      </c>
      <c r="AD21" s="159" t="s">
        <v>173</v>
      </c>
      <c r="AE21" s="182" t="s">
        <v>169</v>
      </c>
      <c r="AF21" s="38" t="s">
        <v>183</v>
      </c>
      <c r="AG21" s="65">
        <f>COUNTIFS($U$2:$U$36,"="&amp;$AD$21,$J$2:$J$36,"="&amp;$AE21,$T$2:$T$36,"="&amp;AG$2)</f>
        <v>1</v>
      </c>
      <c r="AH21" s="39">
        <f t="shared" ref="AH21:AM21" si="43">COUNTIFS($U$2:$U$36,"="&amp;$AD$21,$J$2:$J$36,"="&amp;$AE21,$T$2:$T$36,"="&amp;AH$2)</f>
        <v>0</v>
      </c>
      <c r="AI21" s="39">
        <f t="shared" si="43"/>
        <v>0</v>
      </c>
      <c r="AJ21" s="39">
        <f t="shared" si="43"/>
        <v>0</v>
      </c>
      <c r="AK21" s="39">
        <f t="shared" si="43"/>
        <v>0</v>
      </c>
      <c r="AL21" s="39">
        <f t="shared" si="43"/>
        <v>1</v>
      </c>
      <c r="AM21" s="38">
        <f t="shared" si="43"/>
        <v>0</v>
      </c>
      <c r="AS21" s="158"/>
      <c r="AT21" s="80" t="s">
        <v>191</v>
      </c>
      <c r="AU21" s="92">
        <f ca="1">_xlfn.MAXIFS($V$2:$V$36,$T$2:$T$36,"="&amp;$AS$20,$J$2:$J$36,"="&amp;$AT21,$I$2:$I$36,"&gt;="&amp;$AU$12,$I$2:$I$36,"&lt;"&amp;$AW$12)</f>
        <v>0</v>
      </c>
      <c r="AV21" s="100">
        <f ca="1">_xlfn.MINIFS($V$2:$V$36,$T$2:$T$36,"="&amp;$AS$20,$J$2:$J$36,"="&amp;$AT21,$I$2:$I$36,"&gt;="&amp;$AU$12,$I$2:$I$36,"&lt;"&amp;$AW$12)</f>
        <v>0</v>
      </c>
      <c r="AW21" s="100">
        <f ca="1">_xlfn.MAXIFS($V$2:$V$36,$T$2:$T$36,"="&amp;$AS$20,$J$2:$J$36,"="&amp;$AT21,$I$2:$I$36,"&gt;="&amp;$AW$12,$I$2:$I$36,"&lt;"&amp;$AY$12)</f>
        <v>0.15</v>
      </c>
      <c r="AX21" s="100">
        <f ca="1">_xlfn.MINIFS($V$2:$V$36,$T$2:$T$36,"="&amp;$AS$20,$J$2:$J$36,"="&amp;$AT21,$I$2:$I$36,"&gt;="&amp;$AW$12,$I$2:$I$36,"&lt;"&amp;$AY$12)</f>
        <v>0.15</v>
      </c>
      <c r="AY21" s="100">
        <f ca="1">_xlfn.MAXIFS($V$2:$V$36,$T$2:$T$36,"="&amp;$AS$20,$J$2:$J$36,"="&amp;$AT21,$I$2:$I$36,"&gt;="&amp;$AY$12)</f>
        <v>0</v>
      </c>
      <c r="AZ21" s="103">
        <f ca="1">_xlfn.MINIFS($V$2:$V$36,$T$2:$T$36,"="&amp;$AS$20,$J$2:$J$36,"="&amp;$AT21,$I$2:$I$36,"&gt;="&amp;$AY$12)</f>
        <v>0</v>
      </c>
    </row>
    <row r="22" spans="1:52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13197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v>0</v>
      </c>
      <c r="Q22" s="115">
        <f t="shared" ca="1" si="10"/>
        <v>11</v>
      </c>
      <c r="R22" s="115">
        <f t="shared" ca="1" si="11"/>
        <v>13</v>
      </c>
      <c r="S22" s="127">
        <v>9200</v>
      </c>
      <c r="T22" s="141" t="str">
        <f t="shared" si="12"/>
        <v>일</v>
      </c>
      <c r="U22" s="135" t="str">
        <f>HLOOKUP(S22, 할인율!$C$1:$F$3,3,TRUE)</f>
        <v>BRONZE</v>
      </c>
      <c r="V22" s="151">
        <f>INDEX(할인율!$C$4:$F$11,MATCH(P22,할인율!$B$4:$B$11,1), MATCH(U22,할인율!$C$3:$F$3,0))</f>
        <v>0</v>
      </c>
      <c r="AD22" s="159"/>
      <c r="AE22" s="182"/>
      <c r="AF22" s="28" t="s">
        <v>185</v>
      </c>
      <c r="AG22" s="60">
        <f>SUMIFS($S$2:$S$36,$U$2:$U$36,"="&amp;$AD$21,$J$2:$J$36,"="&amp;$AE21,$T$2:$T$36,"="&amp;AG$2)</f>
        <v>9200</v>
      </c>
      <c r="AH22" s="48">
        <f t="shared" ref="AH22:AM22" si="44">SUMIFS($S$2:$S$36,$U$2:$U$36,"="&amp;$AD$21,$J$2:$J$36,"="&amp;$AE21,$T$2:$T$36,"="&amp;AH$2)</f>
        <v>0</v>
      </c>
      <c r="AI22" s="48">
        <f t="shared" si="44"/>
        <v>0</v>
      </c>
      <c r="AJ22" s="48">
        <f t="shared" si="44"/>
        <v>0</v>
      </c>
      <c r="AK22" s="48">
        <f t="shared" si="44"/>
        <v>0</v>
      </c>
      <c r="AL22" s="48">
        <f t="shared" si="44"/>
        <v>400</v>
      </c>
      <c r="AM22" s="29">
        <f t="shared" si="44"/>
        <v>0</v>
      </c>
      <c r="AS22" s="159" t="s">
        <v>200</v>
      </c>
      <c r="AT22" s="73" t="s">
        <v>190</v>
      </c>
      <c r="AU22" s="89">
        <f ca="1">_xlfn.MAXIFS($V$2:$V$36,$T$2:$T$36,"="&amp;$AS$22,$J$2:$J$36,"="&amp;$AT22,$I$2:$I$36,"&gt;="&amp;$AU$12,$I$2:$I$36,"&lt;"&amp;$AW$12)</f>
        <v>0</v>
      </c>
      <c r="AV22" s="72">
        <f ca="1">_xlfn.MINIFS($V$2:$V$36,$T$2:$T$36,"="&amp;$AS$22,$J$2:$J$36,"="&amp;$AT22,$I$2:$I$36,"&gt;="&amp;$AU$12,$I$2:$I$36,"&lt;"&amp;$AW$12)</f>
        <v>0</v>
      </c>
      <c r="AW22" s="72">
        <f ca="1">_xlfn.MAXIFS($V$2:$V$36,$T$2:$T$36,"="&amp;$AS$22,$J$2:$J$36,"="&amp;$AT22,$I$2:$I$36,"&gt;="&amp;$AW$12,$I$2:$I$36,"&lt;"&amp;$AY$12)</f>
        <v>0</v>
      </c>
      <c r="AX22" s="72">
        <f ca="1">_xlfn.MINIFS($V$2:$V$36,$T$2:$T$36,"="&amp;$AS$22,$J$2:$J$36,"="&amp;$AT22,$I$2:$I$36,"&gt;="&amp;$AW$12,$I$2:$I$36,"&lt;"&amp;$AY$12)</f>
        <v>0</v>
      </c>
      <c r="AY22" s="72">
        <f ca="1">_xlfn.MAXIFS($V$2:$V$36,$T$2:$T$36,"="&amp;$AS$22,$J$2:$J$36,"="&amp;$AT22,$I$2:$I$36,"&gt;="&amp;$AY$12)</f>
        <v>0.18</v>
      </c>
      <c r="AZ22" s="104">
        <f ca="1">_xlfn.MINIFS($V$2:$V$36,$T$2:$T$36,"="&amp;$AS$22,$J$2:$J$36,"="&amp;$AT22,$I$2:$I$36,"&gt;="&amp;$AY$12)</f>
        <v>0.03</v>
      </c>
    </row>
    <row r="23" spans="1:52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16160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v>3</v>
      </c>
      <c r="Q23" s="115">
        <f t="shared" ca="1" si="10"/>
        <v>4</v>
      </c>
      <c r="R23" s="115">
        <f t="shared" ca="1" si="11"/>
        <v>14</v>
      </c>
      <c r="S23" s="127">
        <v>32100</v>
      </c>
      <c r="T23" s="145" t="str">
        <f t="shared" si="12"/>
        <v>금</v>
      </c>
      <c r="U23" s="148" t="str">
        <f>HLOOKUP(S23, 할인율!$C$1:$F$3,3,TRUE)</f>
        <v>SILVER</v>
      </c>
      <c r="V23" s="151">
        <f>INDEX(할인율!$C$4:$F$11,MATCH(P23,할인율!$B$4:$B$11,1), MATCH(U23,할인율!$C$3:$F$3,0))</f>
        <v>0.05</v>
      </c>
      <c r="AD23" s="159"/>
      <c r="AE23" s="184"/>
      <c r="AF23" s="30" t="s">
        <v>186</v>
      </c>
      <c r="AG23" s="64">
        <f>IFERROR(ROUND(AVERAGEIFS($V$2:$V$36,$U$2:$U$36,"="&amp;$AD$21,$J$2:$J$36,"="&amp;$AE21,$T$2:$T$36,"="&amp;AG$2),2),"-")</f>
        <v>0</v>
      </c>
      <c r="AH23" s="31" t="str">
        <f t="shared" ref="AH23:AM23" si="45">IFERROR(ROUND(AVERAGEIFS($V$2:$V$36,$U$2:$U$36,"="&amp;$AD$21,$J$2:$J$36,"="&amp;$AE21,$T$2:$T$36,"="&amp;AH$2),2),"-")</f>
        <v>-</v>
      </c>
      <c r="AI23" s="31" t="str">
        <f t="shared" si="45"/>
        <v>-</v>
      </c>
      <c r="AJ23" s="31" t="str">
        <f t="shared" si="45"/>
        <v>-</v>
      </c>
      <c r="AK23" s="31" t="str">
        <f t="shared" si="45"/>
        <v>-</v>
      </c>
      <c r="AL23" s="31">
        <f t="shared" si="45"/>
        <v>0</v>
      </c>
      <c r="AM23" s="32" t="str">
        <f t="shared" si="45"/>
        <v>-</v>
      </c>
      <c r="AS23" s="159"/>
      <c r="AT23" s="87" t="s">
        <v>191</v>
      </c>
      <c r="AU23" s="91">
        <f ca="1">_xlfn.MAXIFS($V$2:$V$36,$T$2:$T$36,"="&amp;$AS$22,$J$2:$J$36,"="&amp;$AT23,$I$2:$I$36,"&gt;="&amp;$AU$12,$I$2:$I$36,"&lt;"&amp;$AW$12)</f>
        <v>0</v>
      </c>
      <c r="AV23" s="96">
        <f ca="1">_xlfn.MINIFS($V$2:$V$36,$T$2:$T$36,"="&amp;$AS$22,$J$2:$J$36,"="&amp;$AT23,$I$2:$I$36,"&gt;="&amp;$AU$12,$I$2:$I$36,"&lt;"&amp;$AW$12)</f>
        <v>0</v>
      </c>
      <c r="AW23" s="96">
        <f ca="1">_xlfn.MAXIFS($V$2:$V$36,$T$2:$T$36,"="&amp;$AS$22,$J$2:$J$36,"="&amp;$AT23,$I$2:$I$36,"&gt;="&amp;$AW$12,$I$2:$I$36,"&lt;"&amp;$AY$12)</f>
        <v>0.15</v>
      </c>
      <c r="AX23" s="96">
        <f ca="1">_xlfn.MINIFS($V$2:$V$36,$T$2:$T$36,"="&amp;$AS$22,$J$2:$J$36,"="&amp;$AT23,$I$2:$I$36,"&gt;="&amp;$AW$12,$I$2:$I$36,"&lt;"&amp;$AY$12)</f>
        <v>0.15</v>
      </c>
      <c r="AY23" s="96">
        <f ca="1">_xlfn.MAXIFS($V$2:$V$36,$T$2:$T$36,"="&amp;$AS$22,$J$2:$J$36,"="&amp;$AT23,$I$2:$I$36,"&gt;="&amp;$AY$12)</f>
        <v>0.12</v>
      </c>
      <c r="AZ23" s="101">
        <f ca="1">_xlfn.MINIFS($V$2:$V$36,$T$2:$T$36,"="&amp;$AS$22,$J$2:$J$36,"="&amp;$AT23,$I$2:$I$36,"&gt;="&amp;$AY$12)</f>
        <v>0.12</v>
      </c>
    </row>
    <row r="24" spans="1:52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12920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v>14</v>
      </c>
      <c r="Q24" s="115">
        <f t="shared" ca="1" si="10"/>
        <v>5</v>
      </c>
      <c r="R24" s="115">
        <f t="shared" ca="1" si="11"/>
        <v>24</v>
      </c>
      <c r="S24" s="127">
        <v>142000</v>
      </c>
      <c r="T24" s="140" t="str">
        <f t="shared" si="12"/>
        <v>목</v>
      </c>
      <c r="U24" s="137" t="str">
        <f>HLOOKUP(S24, 할인율!$C$1:$F$3,3,TRUE)</f>
        <v>GOLD</v>
      </c>
      <c r="V24" s="151">
        <f>INDEX(할인율!$C$4:$F$11,MATCH(P24,할인율!$B$4:$B$11,1), MATCH(U24,할인율!$C$3:$F$3,0))</f>
        <v>0.15</v>
      </c>
      <c r="AD24" s="159"/>
      <c r="AE24" s="181" t="s">
        <v>170</v>
      </c>
      <c r="AF24" s="33" t="s">
        <v>183</v>
      </c>
      <c r="AG24" s="59">
        <f>COUNTIFS($U$2:$U$36,"="&amp;$AD$21,$J$2:$J$36,"="&amp;$AE24,$T$2:$T$36,"="&amp;AG$2)</f>
        <v>0</v>
      </c>
      <c r="AH24" s="34">
        <f t="shared" ref="AH24:AM24" si="46">COUNTIFS($U$2:$U$36,"="&amp;$AD$21,$J$2:$J$36,"="&amp;$AE24,$T$2:$T$36,"="&amp;AH$2)</f>
        <v>1</v>
      </c>
      <c r="AI24" s="34">
        <f t="shared" si="46"/>
        <v>1</v>
      </c>
      <c r="AJ24" s="34">
        <f t="shared" si="46"/>
        <v>0</v>
      </c>
      <c r="AK24" s="34">
        <f t="shared" si="46"/>
        <v>0</v>
      </c>
      <c r="AL24" s="34">
        <f t="shared" si="46"/>
        <v>0</v>
      </c>
      <c r="AM24" s="33">
        <f t="shared" si="46"/>
        <v>1</v>
      </c>
      <c r="AS24" s="157" t="s">
        <v>201</v>
      </c>
      <c r="AT24" s="88" t="s">
        <v>190</v>
      </c>
      <c r="AU24" s="98">
        <f ca="1">_xlfn.MAXIFS($V$2:$V$36,$T$2:$T$36,"="&amp;$AS$24,$J$2:$J$36,"="&amp;$AT24,$I$2:$I$36,"&gt;="&amp;$AU$12,$I$2:$I$36,"&lt;"&amp;$AW$12)</f>
        <v>0</v>
      </c>
      <c r="AV24" s="99">
        <f ca="1">_xlfn.MINIFS($V$2:$V$36,$T$2:$T$36,"="&amp;$AS$24,$J$2:$J$36,"="&amp;$AT24,$I$2:$I$36,"&gt;="&amp;$AU$12,$I$2:$I$36,"&lt;"&amp;$AW$12)</f>
        <v>0</v>
      </c>
      <c r="AW24" s="99">
        <f ca="1">_xlfn.MAXIFS($V$2:$V$36,$T$2:$T$36,"="&amp;$AS$24,$J$2:$J$36,"="&amp;$AT24,$I$2:$I$36,"&gt;="&amp;$AW$12,$I$2:$I$36,"&lt;"&amp;$AY$12)</f>
        <v>0.15</v>
      </c>
      <c r="AX24" s="99">
        <f ca="1">_xlfn.MINIFS($V$2:$V$36,$T$2:$T$36,"="&amp;$AS$24,$J$2:$J$36,"="&amp;$AT24,$I$2:$I$36,"&gt;="&amp;$AW$12,$I$2:$I$36,"&lt;"&amp;$AY$12)</f>
        <v>0.15</v>
      </c>
      <c r="AY24" s="99">
        <f ca="1">_xlfn.MAXIFS($V$2:$V$36,$T$2:$T$36,"="&amp;$AS$24,$J$2:$J$36,"="&amp;$AT24,$I$2:$I$36,"&gt;="&amp;$AY$12)</f>
        <v>0.2</v>
      </c>
      <c r="AZ24" s="102">
        <f ca="1">_xlfn.MINIFS($V$2:$V$36,$T$2:$T$36,"="&amp;$AS$24,$J$2:$J$36,"="&amp;$AT24,$I$2:$I$36,"&gt;="&amp;$AY$12)</f>
        <v>0.05</v>
      </c>
    </row>
    <row r="25" spans="1:52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11970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v>4</v>
      </c>
      <c r="Q25" s="115">
        <f t="shared" ca="1" si="10"/>
        <v>1</v>
      </c>
      <c r="R25" s="115">
        <f t="shared" ca="1" si="11"/>
        <v>17</v>
      </c>
      <c r="S25" s="127">
        <v>100500</v>
      </c>
      <c r="T25" s="143" t="str">
        <f t="shared" si="12"/>
        <v>화</v>
      </c>
      <c r="U25" s="137" t="str">
        <f>HLOOKUP(S25, 할인율!$C$1:$F$3,3,TRUE)</f>
        <v>GOLD</v>
      </c>
      <c r="V25" s="151">
        <f>INDEX(할인율!$C$4:$F$11,MATCH(P25,할인율!$B$4:$B$11,1), MATCH(U25,할인율!$C$3:$F$3,0))</f>
        <v>0.1</v>
      </c>
      <c r="AD25" s="159"/>
      <c r="AE25" s="182"/>
      <c r="AF25" s="28" t="s">
        <v>185</v>
      </c>
      <c r="AG25" s="60">
        <f>SUMIFS($S$2:$S$36,$U$2:$U$36,"="&amp;$AD$21,$J$2:$J$36,"="&amp;$AE24,$T$2:$T$36,"="&amp;AG$2)</f>
        <v>0</v>
      </c>
      <c r="AH25" s="48">
        <f t="shared" ref="AH25:AM25" si="47">SUMIFS($S$2:$S$36,$U$2:$U$36,"="&amp;$AD$21,$J$2:$J$36,"="&amp;$AE24,$T$2:$T$36,"="&amp;AH$2)</f>
        <v>3700</v>
      </c>
      <c r="AI25" s="48">
        <f t="shared" si="47"/>
        <v>2400</v>
      </c>
      <c r="AJ25" s="48">
        <f t="shared" si="47"/>
        <v>0</v>
      </c>
      <c r="AK25" s="48">
        <f t="shared" si="47"/>
        <v>0</v>
      </c>
      <c r="AL25" s="48">
        <f t="shared" si="47"/>
        <v>0</v>
      </c>
      <c r="AM25" s="29">
        <f t="shared" si="47"/>
        <v>6500</v>
      </c>
      <c r="AS25" s="158"/>
      <c r="AT25" s="80" t="s">
        <v>191</v>
      </c>
      <c r="AU25" s="92">
        <f ca="1">_xlfn.MAXIFS($V$2:$V$36,$T$2:$T$36,"="&amp;$AS$24,$J$2:$J$36,"="&amp;$AT25,$I$2:$I$36,"&gt;="&amp;$AU$12,$I$2:$I$36,"&lt;"&amp;$AW$12)</f>
        <v>0</v>
      </c>
      <c r="AV25" s="100">
        <f ca="1">_xlfn.MINIFS($V$2:$V$36,$T$2:$T$36,"="&amp;$AS$24,$J$2:$J$36,"="&amp;$AT25,$I$2:$I$36,"&gt;="&amp;$AU$12,$I$2:$I$36,"&lt;"&amp;$AW$12)</f>
        <v>0</v>
      </c>
      <c r="AW25" s="100">
        <f ca="1">_xlfn.MAXIFS($V$2:$V$36,$T$2:$T$36,"="&amp;$AS$24,$J$2:$J$36,"="&amp;$AT25,$I$2:$I$36,"&gt;="&amp;$AW$12,$I$2:$I$36,"&lt;"&amp;$AY$12)</f>
        <v>0.05</v>
      </c>
      <c r="AX25" s="100">
        <f ca="1">_xlfn.MINIFS($V$2:$V$36,$T$2:$T$36,"="&amp;$AS$24,$J$2:$J$36,"="&amp;$AT25,$I$2:$I$36,"&gt;="&amp;$AW$12,$I$2:$I$36,"&lt;"&amp;$AY$12)</f>
        <v>0.05</v>
      </c>
      <c r="AY25" s="100">
        <f ca="1">_xlfn.MAXIFS($V$2:$V$36,$T$2:$T$36,"="&amp;$AS$24,$J$2:$J$36,"="&amp;$AT25,$I$2:$I$36,"&gt;="&amp;$AY$12)</f>
        <v>0.2</v>
      </c>
      <c r="AZ25" s="103">
        <f ca="1">_xlfn.MINIFS($V$2:$V$36,$T$2:$T$36,"="&amp;$AS$24,$J$2:$J$36,"="&amp;$AT25,$I$2:$I$36,"&gt;="&amp;$AY$12)</f>
        <v>0.2</v>
      </c>
    </row>
    <row r="26" spans="1:52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14820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v>6</v>
      </c>
      <c r="Q26" s="115">
        <f t="shared" ca="1" si="10"/>
        <v>11</v>
      </c>
      <c r="R26" s="115">
        <f t="shared" ca="1" si="11"/>
        <v>9</v>
      </c>
      <c r="S26" s="127">
        <v>17300</v>
      </c>
      <c r="T26" s="142" t="str">
        <f t="shared" si="12"/>
        <v>월</v>
      </c>
      <c r="U26" s="148" t="str">
        <f>HLOOKUP(S26, 할인율!$C$1:$F$3,3,TRUE)</f>
        <v>SILVER</v>
      </c>
      <c r="V26" s="151">
        <f>INDEX(할인율!$C$4:$F$11,MATCH(P26,할인율!$B$4:$B$11,1), MATCH(U26,할인율!$C$3:$F$3,0))</f>
        <v>7.0000000000000007E-2</v>
      </c>
      <c r="AD26" s="160"/>
      <c r="AE26" s="186"/>
      <c r="AF26" s="40" t="s">
        <v>186</v>
      </c>
      <c r="AG26" s="62" t="str">
        <f>IFERROR(ROUND(AVERAGEIFS($V$2:$V$36,$U$2:$U$36,"="&amp;$AD$21,$J$2:$J$36,"="&amp;$AE24,$T$2:$T$36,"="&amp;AG$2),2),"-")</f>
        <v>-</v>
      </c>
      <c r="AH26" s="41">
        <f t="shared" ref="AH26:AM26" si="48">IFERROR(ROUND(AVERAGEIFS($V$2:$V$36,$U$2:$U$36,"="&amp;$AD$21,$J$2:$J$36,"="&amp;$AE24,$T$2:$T$36,"="&amp;AH$2),2),"-")</f>
        <v>0.04</v>
      </c>
      <c r="AI26" s="41">
        <f t="shared" si="48"/>
        <v>0</v>
      </c>
      <c r="AJ26" s="41" t="str">
        <f t="shared" si="48"/>
        <v>-</v>
      </c>
      <c r="AK26" s="41" t="str">
        <f t="shared" si="48"/>
        <v>-</v>
      </c>
      <c r="AL26" s="41" t="str">
        <f t="shared" si="48"/>
        <v>-</v>
      </c>
      <c r="AM26" s="42">
        <f t="shared" si="48"/>
        <v>0.02</v>
      </c>
      <c r="AS26" s="159" t="s">
        <v>202</v>
      </c>
      <c r="AT26" s="73" t="s">
        <v>190</v>
      </c>
      <c r="AU26" s="89">
        <f ca="1">_xlfn.MAXIFS($V$2:$V$36,$T$2:$T$36,"="&amp;$AS$26,$J$2:$J$36,"="&amp;$AT26,$I$2:$I$36,"&gt;="&amp;$AU$12,$I$2:$I$36,"&lt;"&amp;$AW$12)</f>
        <v>0</v>
      </c>
      <c r="AV26" s="72">
        <f ca="1">_xlfn.MINIFS($V$2:$V$36,$T$2:$T$36,"="&amp;$AS$26,$J$2:$J$36,"="&amp;$AT26,$I$2:$I$36,"&gt;="&amp;$AU$12,$I$2:$I$36,"&lt;"&amp;$AW$12)</f>
        <v>0</v>
      </c>
      <c r="AW26" s="72">
        <f ca="1">_xlfn.MAXIFS($V$2:$V$36,$T$2:$T$36,"="&amp;$AS$26,$J$2:$J$36,"="&amp;$AT26,$I$2:$I$36,"&gt;="&amp;$AW$12,$I$2:$I$36,"&lt;"&amp;$AY$12)</f>
        <v>0.15</v>
      </c>
      <c r="AX26" s="72">
        <f ca="1">_xlfn.MINIFS($V$2:$V$36,$T$2:$T$36,"="&amp;$AS$26,$J$2:$J$36,"="&amp;$AT26,$I$2:$I$36,"&gt;="&amp;$AW$12,$I$2:$I$36,"&lt;"&amp;$AY$12)</f>
        <v>0.15</v>
      </c>
      <c r="AY26" s="72">
        <f ca="1">_xlfn.MAXIFS($V$2:$V$36,$T$2:$T$36,"="&amp;$AS$26,$J$2:$J$36,"="&amp;$AT26,$I$2:$I$36,"&gt;="&amp;$AY$12)</f>
        <v>0.15</v>
      </c>
      <c r="AZ26" s="104">
        <f ca="1">_xlfn.MINIFS($V$2:$V$36,$T$2:$T$36,"="&amp;$AS$26,$J$2:$J$36,"="&amp;$AT26,$I$2:$I$36,"&gt;="&amp;$AY$12)</f>
        <v>0.15</v>
      </c>
    </row>
    <row r="27" spans="1:52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13126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v>6</v>
      </c>
      <c r="Q27" s="115">
        <f t="shared" ca="1" si="10"/>
        <v>3</v>
      </c>
      <c r="R27" s="115">
        <f t="shared" ca="1" si="11"/>
        <v>30</v>
      </c>
      <c r="S27" s="127">
        <v>193000</v>
      </c>
      <c r="T27" s="142" t="str">
        <f t="shared" si="12"/>
        <v>월</v>
      </c>
      <c r="U27" s="137" t="str">
        <f>HLOOKUP(S27, 할인율!$C$1:$F$3,3,TRUE)</f>
        <v>GOLD</v>
      </c>
      <c r="V27" s="151">
        <f>INDEX(할인율!$C$4:$F$11,MATCH(P27,할인율!$B$4:$B$11,1), MATCH(U27,할인율!$C$3:$F$3,0))</f>
        <v>0.12</v>
      </c>
      <c r="AS27" s="160"/>
      <c r="AT27" s="50" t="s">
        <v>191</v>
      </c>
      <c r="AU27" s="93">
        <f ca="1">_xlfn.MAXIFS($V$2:$V$36,$T$2:$T$36,"="&amp;$AS$26,$J$2:$J$36,"="&amp;$AT27,$I$2:$I$36,"&gt;="&amp;$AU$12,$I$2:$I$36,"&lt;"&amp;$AW$12)</f>
        <v>0</v>
      </c>
      <c r="AV27" s="105">
        <f ca="1">_xlfn.MINIFS($V$2:$V$36,$T$2:$T$36,"="&amp;$AS$26,$J$2:$J$36,"="&amp;$AT27,$I$2:$I$36,"&gt;="&amp;$AU$12,$I$2:$I$36,"&lt;"&amp;$AW$12)</f>
        <v>0</v>
      </c>
      <c r="AW27" s="105">
        <f ca="1">_xlfn.MAXIFS($V$2:$V$36,$T$2:$T$36,"="&amp;$AS$26,$J$2:$J$36,"="&amp;$AT27,$I$2:$I$36,"&gt;="&amp;$AW$12,$I$2:$I$36,"&lt;"&amp;$AY$12)</f>
        <v>7.0000000000000007E-2</v>
      </c>
      <c r="AX27" s="105">
        <f ca="1">_xlfn.MINIFS($V$2:$V$36,$T$2:$T$36,"="&amp;$AS$26,$J$2:$J$36,"="&amp;$AT27,$I$2:$I$36,"&gt;="&amp;$AW$12,$I$2:$I$36,"&lt;"&amp;$AY$12)</f>
        <v>0.02</v>
      </c>
      <c r="AY27" s="105">
        <f ca="1">_xlfn.MAXIFS($V$2:$V$36,$T$2:$T$36,"="&amp;$AS$26,$J$2:$J$36,"="&amp;$AT27,$I$2:$I$36,"&gt;="&amp;$AY$12)</f>
        <v>0.18</v>
      </c>
      <c r="AZ27" s="106">
        <f ca="1">_xlfn.MINIFS($V$2:$V$36,$T$2:$T$36,"="&amp;$AS$26,$J$2:$J$36,"="&amp;$AT27,$I$2:$I$36,"&gt;="&amp;$AY$12)</f>
        <v>0.12</v>
      </c>
    </row>
    <row r="28" spans="1:52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12464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v>11</v>
      </c>
      <c r="Q28" s="115">
        <f t="shared" ca="1" si="10"/>
        <v>0</v>
      </c>
      <c r="R28" s="115">
        <f t="shared" ca="1" si="11"/>
        <v>27</v>
      </c>
      <c r="S28" s="127">
        <v>187000</v>
      </c>
      <c r="T28" s="145" t="str">
        <f t="shared" si="12"/>
        <v>금</v>
      </c>
      <c r="U28" s="137" t="str">
        <f>HLOOKUP(S28, 할인율!$C$1:$F$3,3,TRUE)</f>
        <v>GOLD</v>
      </c>
      <c r="V28" s="151">
        <f>INDEX(할인율!$C$4:$F$11,MATCH(P28,할인율!$B$4:$B$11,1), MATCH(U28,할인율!$C$3:$F$3,0))</f>
        <v>0.15</v>
      </c>
    </row>
    <row r="29" spans="1:52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17676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v>4</v>
      </c>
      <c r="Q29" s="115">
        <f t="shared" ca="1" si="10"/>
        <v>10</v>
      </c>
      <c r="R29" s="115">
        <f t="shared" ca="1" si="11"/>
        <v>15</v>
      </c>
      <c r="S29" s="127">
        <v>55600</v>
      </c>
      <c r="T29" s="142" t="str">
        <f t="shared" si="12"/>
        <v>월</v>
      </c>
      <c r="U29" s="148" t="str">
        <f>HLOOKUP(S29, 할인율!$C$1:$F$3,3,TRUE)</f>
        <v>SILVER</v>
      </c>
      <c r="V29" s="151">
        <f>INDEX(할인율!$C$4:$F$11,MATCH(P29,할인율!$B$4:$B$11,1), MATCH(U29,할인율!$C$3:$F$3,0))</f>
        <v>0.05</v>
      </c>
    </row>
    <row r="30" spans="1:52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14128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v>12</v>
      </c>
      <c r="Q30" s="115">
        <f t="shared" ca="1" si="10"/>
        <v>3</v>
      </c>
      <c r="R30" s="115">
        <f t="shared" ca="1" si="11"/>
        <v>24</v>
      </c>
      <c r="S30" s="127">
        <v>214000</v>
      </c>
      <c r="T30" s="141" t="str">
        <f t="shared" si="12"/>
        <v>일</v>
      </c>
      <c r="U30" s="138" t="str">
        <f>HLOOKUP(S30, 할인율!$C$1:$F$3,3,TRUE)</f>
        <v>PURE GOLD</v>
      </c>
      <c r="V30" s="151">
        <f>INDEX(할인율!$C$4:$F$11,MATCH(P30,할인율!$B$4:$B$11,1), MATCH(U30,할인율!$C$3:$F$3,0))</f>
        <v>0.18</v>
      </c>
    </row>
    <row r="31" spans="1:52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16720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v>18</v>
      </c>
      <c r="Q31" s="115">
        <f t="shared" ca="1" si="10"/>
        <v>9</v>
      </c>
      <c r="R31" s="115">
        <f t="shared" ca="1" si="11"/>
        <v>14</v>
      </c>
      <c r="S31" s="127">
        <v>224100</v>
      </c>
      <c r="T31" s="145" t="str">
        <f t="shared" si="12"/>
        <v>금</v>
      </c>
      <c r="U31" s="138" t="str">
        <f>HLOOKUP(S31, 할인율!$C$1:$F$3,3,TRUE)</f>
        <v>PURE GOLD</v>
      </c>
      <c r="V31" s="151">
        <f>INDEX(할인율!$C$4:$F$11,MATCH(P31,할인율!$B$4:$B$11,1), MATCH(U31,할인율!$C$3:$F$3,0))</f>
        <v>0.2</v>
      </c>
    </row>
    <row r="32" spans="1:52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14244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v>8</v>
      </c>
      <c r="Q32" s="115">
        <f t="shared" ca="1" si="10"/>
        <v>4</v>
      </c>
      <c r="R32" s="115">
        <f t="shared" ca="1" si="11"/>
        <v>25</v>
      </c>
      <c r="S32" s="127">
        <v>147600</v>
      </c>
      <c r="T32" s="144" t="str">
        <f t="shared" si="12"/>
        <v>수</v>
      </c>
      <c r="U32" s="137" t="str">
        <f>HLOOKUP(S32, 할인율!$C$1:$F$3,3,TRUE)</f>
        <v>GOLD</v>
      </c>
      <c r="V32" s="151">
        <f>INDEX(할인율!$C$4:$F$11,MATCH(P32,할인율!$B$4:$B$11,1), MATCH(U32,할인율!$C$3:$F$3,0))</f>
        <v>0.12</v>
      </c>
    </row>
    <row r="33" spans="1:22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11801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v>9</v>
      </c>
      <c r="Q33" s="115">
        <f t="shared" ca="1" si="10"/>
        <v>9</v>
      </c>
      <c r="R33" s="115">
        <f t="shared" ca="1" si="11"/>
        <v>9</v>
      </c>
      <c r="S33" s="127">
        <v>36800</v>
      </c>
      <c r="T33" s="144" t="str">
        <f t="shared" si="12"/>
        <v>수</v>
      </c>
      <c r="U33" s="148" t="str">
        <f>HLOOKUP(S33, 할인율!$C$1:$F$3,3,TRUE)</f>
        <v>SILVER</v>
      </c>
      <c r="V33" s="151">
        <f>INDEX(할인율!$C$4:$F$11,MATCH(P33,할인율!$B$4:$B$11,1), MATCH(U33,할인율!$C$3:$F$3,0))</f>
        <v>7.0000000000000007E-2</v>
      </c>
    </row>
    <row r="34" spans="1:22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12236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v>1</v>
      </c>
      <c r="Q34" s="115">
        <f t="shared" ca="1" si="10"/>
        <v>2</v>
      </c>
      <c r="R34" s="115">
        <f t="shared" ca="1" si="11"/>
        <v>0</v>
      </c>
      <c r="S34" s="127">
        <v>2400</v>
      </c>
      <c r="T34" s="143" t="str">
        <f t="shared" si="12"/>
        <v>화</v>
      </c>
      <c r="U34" s="135" t="str">
        <f>HLOOKUP(S34, 할인율!$C$1:$F$3,3,TRUE)</f>
        <v>BRONZE</v>
      </c>
      <c r="V34" s="151">
        <f>INDEX(할인율!$C$4:$F$11,MATCH(P34,할인율!$B$4:$B$11,1), MATCH(U34,할인율!$C$3:$F$3,0))</f>
        <v>0</v>
      </c>
    </row>
    <row r="35" spans="1:22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14634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v>16</v>
      </c>
      <c r="Q35" s="115">
        <f t="shared" ca="1" si="10"/>
        <v>3</v>
      </c>
      <c r="R35" s="115">
        <f t="shared" ca="1" si="11"/>
        <v>13</v>
      </c>
      <c r="S35" s="127">
        <v>221000</v>
      </c>
      <c r="T35" s="145" t="str">
        <f t="shared" si="12"/>
        <v>금</v>
      </c>
      <c r="U35" s="138" t="str">
        <f>HLOOKUP(S35, 할인율!$C$1:$F$3,3,TRUE)</f>
        <v>PURE GOLD</v>
      </c>
      <c r="V35" s="151">
        <f>INDEX(할인율!$C$4:$F$11,MATCH(P35,할인율!$B$4:$B$11,1), MATCH(U35,할인율!$C$3:$F$3,0))</f>
        <v>0.2</v>
      </c>
    </row>
    <row r="36" spans="1:22" ht="17.100000000000001" customHeight="1" thickBot="1" x14ac:dyDescent="0.35">
      <c r="A36" s="113" t="str">
        <f t="shared" si="0"/>
        <v>seaaaaaaa-8521</v>
      </c>
      <c r="B36" s="4" t="s">
        <v>40</v>
      </c>
      <c r="C36" s="128" t="s">
        <v>110</v>
      </c>
      <c r="D36" s="129" t="str">
        <f t="shared" si="1"/>
        <v>821224-2******</v>
      </c>
      <c r="E36" s="130">
        <f t="shared" si="2"/>
        <v>30309</v>
      </c>
      <c r="F36" s="129">
        <f t="shared" si="3"/>
        <v>1982</v>
      </c>
      <c r="G36" s="129">
        <f t="shared" si="4"/>
        <v>12</v>
      </c>
      <c r="H36" s="129">
        <f t="shared" si="5"/>
        <v>24</v>
      </c>
      <c r="I36" s="129">
        <f t="shared" ca="1" si="6"/>
        <v>36</v>
      </c>
      <c r="J36" s="128" t="str">
        <f t="shared" si="7"/>
        <v>여</v>
      </c>
      <c r="K36" s="129">
        <f t="shared" ca="1" si="8"/>
        <v>13472</v>
      </c>
      <c r="L36" s="131" t="s">
        <v>75</v>
      </c>
      <c r="M36" s="132" t="s">
        <v>146</v>
      </c>
      <c r="N36" s="133">
        <v>42274</v>
      </c>
      <c r="O36" s="129">
        <f t="shared" ca="1" si="9"/>
        <v>4</v>
      </c>
      <c r="P36" s="129">
        <v>4</v>
      </c>
      <c r="Q36" s="129">
        <f t="shared" ca="1" si="10"/>
        <v>1</v>
      </c>
      <c r="R36" s="129">
        <f t="shared" ca="1" si="11"/>
        <v>16</v>
      </c>
      <c r="S36" s="134">
        <v>78300</v>
      </c>
      <c r="T36" s="146" t="str">
        <f t="shared" si="12"/>
        <v>금</v>
      </c>
      <c r="U36" s="149" t="str">
        <f>HLOOKUP(S36, 할인율!$C$1:$F$3,3,TRUE)</f>
        <v>SILVER</v>
      </c>
      <c r="V36" s="152">
        <f>INDEX(할인율!$C$4:$F$11,MATCH(P36,할인율!$B$4:$B$11,1), MATCH(U36,할인율!$C$3:$F$3,0))</f>
        <v>0.05</v>
      </c>
    </row>
    <row r="37" spans="1:22" ht="17.100000000000001" customHeight="1" thickTop="1" x14ac:dyDescent="0.3"/>
  </sheetData>
  <mergeCells count="33">
    <mergeCell ref="AE21:AE23"/>
    <mergeCell ref="AE24:AE26"/>
    <mergeCell ref="X14:AB14"/>
    <mergeCell ref="Y15:Z15"/>
    <mergeCell ref="AA15:AB15"/>
    <mergeCell ref="Y16:Z16"/>
    <mergeCell ref="AA16:AB16"/>
    <mergeCell ref="AE18:AE20"/>
    <mergeCell ref="AE3:AE5"/>
    <mergeCell ref="AE6:AE8"/>
    <mergeCell ref="AE9:AE11"/>
    <mergeCell ref="AE12:AE14"/>
    <mergeCell ref="AE15:AE17"/>
    <mergeCell ref="AD3:AD8"/>
    <mergeCell ref="AD9:AD14"/>
    <mergeCell ref="AD15:AD20"/>
    <mergeCell ref="AD21:AD26"/>
    <mergeCell ref="Y7:Z7"/>
    <mergeCell ref="AA7:AB7"/>
    <mergeCell ref="AP2:AP3"/>
    <mergeCell ref="AQ2:AQ3"/>
    <mergeCell ref="AU12:AV12"/>
    <mergeCell ref="AW12:AX12"/>
    <mergeCell ref="AY12:AZ12"/>
    <mergeCell ref="AS24:AS25"/>
    <mergeCell ref="AS26:AS27"/>
    <mergeCell ref="AS3:AS6"/>
    <mergeCell ref="AS7:AS10"/>
    <mergeCell ref="AS14:AS15"/>
    <mergeCell ref="AS16:AS17"/>
    <mergeCell ref="AS18:AS19"/>
    <mergeCell ref="AS20:AS21"/>
    <mergeCell ref="AS22:AS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r:id="rId36"/>
  <ignoredErrors>
    <ignoredError sqref="Z9:Z12 AA9:AA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F11"/>
  <sheetViews>
    <sheetView workbookViewId="0">
      <selection activeCell="C1" sqref="C1"/>
    </sheetView>
  </sheetViews>
  <sheetFormatPr defaultRowHeight="20.100000000000001" customHeight="1" x14ac:dyDescent="0.3"/>
  <cols>
    <col min="1" max="2" width="5.625" style="5" customWidth="1"/>
    <col min="3" max="6" width="10.625" style="5" customWidth="1"/>
    <col min="7" max="16384" width="9" style="5"/>
  </cols>
  <sheetData>
    <row r="1" spans="1:6" ht="20.100000000000001" customHeight="1" x14ac:dyDescent="0.3">
      <c r="A1" s="195" t="s">
        <v>158</v>
      </c>
      <c r="B1" s="196"/>
      <c r="C1" s="8">
        <v>0</v>
      </c>
      <c r="D1" s="8">
        <v>10000</v>
      </c>
      <c r="E1" s="8">
        <v>100000</v>
      </c>
      <c r="F1" s="8">
        <v>200000</v>
      </c>
    </row>
    <row r="2" spans="1:6" ht="20.100000000000001" customHeight="1" x14ac:dyDescent="0.3">
      <c r="A2" s="195" t="s">
        <v>159</v>
      </c>
      <c r="B2" s="196"/>
      <c r="C2" s="6">
        <v>4</v>
      </c>
      <c r="D2" s="6">
        <v>3</v>
      </c>
      <c r="E2" s="6">
        <v>2</v>
      </c>
      <c r="F2" s="6">
        <v>1</v>
      </c>
    </row>
    <row r="3" spans="1:6" ht="20.100000000000001" customHeight="1" x14ac:dyDescent="0.3">
      <c r="A3" s="195" t="s">
        <v>160</v>
      </c>
      <c r="B3" s="196"/>
      <c r="C3" s="6" t="s">
        <v>161</v>
      </c>
      <c r="D3" s="6" t="s">
        <v>162</v>
      </c>
      <c r="E3" s="6" t="s">
        <v>163</v>
      </c>
      <c r="F3" s="6" t="s">
        <v>164</v>
      </c>
    </row>
    <row r="4" spans="1:6" ht="20.100000000000001" customHeight="1" x14ac:dyDescent="0.3">
      <c r="A4" s="197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6" ht="20.100000000000001" customHeight="1" x14ac:dyDescent="0.3">
      <c r="A5" s="198"/>
      <c r="B5" s="6">
        <v>3</v>
      </c>
      <c r="C5" s="7">
        <v>0.01</v>
      </c>
      <c r="D5" s="7">
        <v>0.05</v>
      </c>
      <c r="E5" s="7">
        <v>0.1</v>
      </c>
      <c r="F5" s="7">
        <v>0.13</v>
      </c>
    </row>
    <row r="6" spans="1:6" ht="20.100000000000001" customHeight="1" x14ac:dyDescent="0.3">
      <c r="A6" s="198"/>
      <c r="B6" s="6">
        <v>5</v>
      </c>
      <c r="C6" s="7">
        <v>0.02</v>
      </c>
      <c r="D6" s="7">
        <v>7.0000000000000007E-2</v>
      </c>
      <c r="E6" s="7">
        <v>0.12</v>
      </c>
      <c r="F6" s="7">
        <v>0.15</v>
      </c>
    </row>
    <row r="7" spans="1:6" ht="20.100000000000001" customHeight="1" x14ac:dyDescent="0.3">
      <c r="A7" s="198"/>
      <c r="B7" s="6">
        <v>10</v>
      </c>
      <c r="C7" s="7">
        <v>0.03</v>
      </c>
      <c r="D7" s="7">
        <v>0.1</v>
      </c>
      <c r="E7" s="7">
        <v>0.15</v>
      </c>
      <c r="F7" s="7">
        <v>0.18</v>
      </c>
    </row>
    <row r="8" spans="1:6" ht="20.100000000000001" customHeight="1" x14ac:dyDescent="0.3">
      <c r="A8" s="198"/>
      <c r="B8" s="6">
        <v>15</v>
      </c>
      <c r="C8" s="7">
        <v>0.04</v>
      </c>
      <c r="D8" s="7">
        <v>0.13</v>
      </c>
      <c r="E8" s="7">
        <v>0.18</v>
      </c>
      <c r="F8" s="7">
        <v>0.2</v>
      </c>
    </row>
    <row r="9" spans="1:6" ht="20.100000000000001" customHeight="1" x14ac:dyDescent="0.3">
      <c r="A9" s="198"/>
      <c r="B9" s="150">
        <v>20</v>
      </c>
      <c r="C9" s="153">
        <v>0.05</v>
      </c>
      <c r="D9" s="153">
        <v>0.15</v>
      </c>
      <c r="E9" s="153">
        <v>0.2</v>
      </c>
      <c r="F9" s="153">
        <v>0.23</v>
      </c>
    </row>
    <row r="10" spans="1:6" ht="20.100000000000001" customHeight="1" x14ac:dyDescent="0.3">
      <c r="A10" s="198"/>
      <c r="B10" s="154">
        <v>25</v>
      </c>
      <c r="C10" s="156">
        <v>0.06</v>
      </c>
      <c r="D10" s="156">
        <v>0.17</v>
      </c>
      <c r="E10" s="156">
        <v>0.23</v>
      </c>
      <c r="F10" s="155">
        <v>0.27</v>
      </c>
    </row>
    <row r="11" spans="1:6" ht="20.100000000000001" customHeight="1" x14ac:dyDescent="0.3">
      <c r="A11" s="199"/>
      <c r="B11" s="154">
        <v>30</v>
      </c>
      <c r="C11" s="156">
        <v>7.0000000000000007E-2</v>
      </c>
      <c r="D11" s="156">
        <v>0.22</v>
      </c>
      <c r="E11" s="156">
        <v>0.26</v>
      </c>
      <c r="F11" s="155">
        <v>0.3</v>
      </c>
    </row>
  </sheetData>
  <mergeCells count="4">
    <mergeCell ref="A1:B1"/>
    <mergeCell ref="A2:B2"/>
    <mergeCell ref="A3:B3"/>
    <mergeCell ref="A4:A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2019-11-12T10:39:08Z</cp:lastPrinted>
  <dcterms:created xsi:type="dcterms:W3CDTF">2019-08-09T06:57:54Z</dcterms:created>
  <dcterms:modified xsi:type="dcterms:W3CDTF">2019-11-12T11:49:50Z</dcterms:modified>
</cp:coreProperties>
</file>