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4차_조판\제5부 엑셀에서 제공하는 분석 기능\Chap17_가상분석을 이용한 예측\Chap17 가상분석을 이용한 예측_준비파일\"/>
    </mc:Choice>
  </mc:AlternateContent>
  <xr:revisionPtr revIDLastSave="0" documentId="13_ncr:1_{A6707D19-39F0-44B0-8B2B-74CBE44C7153}" xr6:coauthVersionLast="45" xr6:coauthVersionMax="45" xr10:uidLastSave="{00000000-0000-0000-0000-000000000000}"/>
  <bookViews>
    <workbookView xWindow="-120" yWindow="-120" windowWidth="29040" windowHeight="15840" xr2:uid="{DA12F402-FA11-4C59-8397-CF18A62D8B93}"/>
  </bookViews>
  <sheets>
    <sheet name="회원정보" sheetId="1" r:id="rId1"/>
    <sheet name="할인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0" i="1" l="1"/>
  <c r="P40" i="1"/>
  <c r="S34" i="1"/>
  <c r="P34" i="1"/>
  <c r="S20" i="1"/>
  <c r="P20" i="1"/>
  <c r="S9" i="1"/>
  <c r="S41" i="1" s="1"/>
  <c r="P9" i="1"/>
  <c r="P41" i="1" s="1"/>
  <c r="D2" i="1" l="1"/>
  <c r="D35" i="1"/>
  <c r="D22" i="1"/>
  <c r="D23" i="1"/>
  <c r="D36" i="1"/>
  <c r="D24" i="1"/>
  <c r="D3" i="1"/>
  <c r="D25" i="1"/>
  <c r="D4" i="1"/>
  <c r="D37" i="1"/>
  <c r="D10" i="1"/>
  <c r="D11" i="1"/>
  <c r="D12" i="1"/>
  <c r="D26" i="1"/>
  <c r="D27" i="1"/>
  <c r="D28" i="1"/>
  <c r="D5" i="1"/>
  <c r="D13" i="1"/>
  <c r="D14" i="1"/>
  <c r="D38" i="1"/>
  <c r="D15" i="1"/>
  <c r="D29" i="1"/>
  <c r="D30" i="1"/>
  <c r="D16" i="1"/>
  <c r="D31" i="1"/>
  <c r="D32" i="1"/>
  <c r="D17" i="1"/>
  <c r="D6" i="1"/>
  <c r="D7" i="1"/>
  <c r="D33" i="1"/>
  <c r="D18" i="1"/>
  <c r="D39" i="1"/>
  <c r="D8" i="1"/>
  <c r="D19" i="1"/>
  <c r="D21" i="1"/>
  <c r="U2" i="1" l="1"/>
  <c r="V2" i="1" s="1"/>
  <c r="U35" i="1"/>
  <c r="V35" i="1" s="1"/>
  <c r="U22" i="1"/>
  <c r="V22" i="1" s="1"/>
  <c r="U23" i="1"/>
  <c r="V23" i="1" s="1"/>
  <c r="U36" i="1"/>
  <c r="V36" i="1" s="1"/>
  <c r="U24" i="1"/>
  <c r="V24" i="1" s="1"/>
  <c r="U3" i="1"/>
  <c r="V3" i="1" s="1"/>
  <c r="U25" i="1"/>
  <c r="V25" i="1" s="1"/>
  <c r="U4" i="1"/>
  <c r="V4" i="1" s="1"/>
  <c r="U37" i="1"/>
  <c r="V37" i="1" s="1"/>
  <c r="U10" i="1"/>
  <c r="V10" i="1" s="1"/>
  <c r="U11" i="1"/>
  <c r="V11" i="1" s="1"/>
  <c r="U12" i="1"/>
  <c r="V12" i="1" s="1"/>
  <c r="U26" i="1"/>
  <c r="V26" i="1" s="1"/>
  <c r="U27" i="1"/>
  <c r="V27" i="1" s="1"/>
  <c r="U28" i="1"/>
  <c r="V28" i="1" s="1"/>
  <c r="U5" i="1"/>
  <c r="V5" i="1" s="1"/>
  <c r="U13" i="1"/>
  <c r="V13" i="1" s="1"/>
  <c r="U14" i="1"/>
  <c r="V14" i="1" s="1"/>
  <c r="U38" i="1"/>
  <c r="V38" i="1" s="1"/>
  <c r="U15" i="1"/>
  <c r="V15" i="1" s="1"/>
  <c r="U29" i="1"/>
  <c r="V29" i="1" s="1"/>
  <c r="U30" i="1"/>
  <c r="V30" i="1" s="1"/>
  <c r="U16" i="1"/>
  <c r="V16" i="1" s="1"/>
  <c r="U31" i="1"/>
  <c r="V31" i="1" s="1"/>
  <c r="U32" i="1"/>
  <c r="V32" i="1" s="1"/>
  <c r="U17" i="1"/>
  <c r="V17" i="1" s="1"/>
  <c r="U6" i="1"/>
  <c r="V6" i="1" s="1"/>
  <c r="U7" i="1"/>
  <c r="V7" i="1" s="1"/>
  <c r="U33" i="1"/>
  <c r="V33" i="1" s="1"/>
  <c r="U18" i="1"/>
  <c r="V18" i="1" s="1"/>
  <c r="U39" i="1"/>
  <c r="V39" i="1" s="1"/>
  <c r="U8" i="1"/>
  <c r="V8" i="1" s="1"/>
  <c r="U19" i="1"/>
  <c r="V19" i="1" s="1"/>
  <c r="U21" i="1"/>
  <c r="V21" i="1" s="1"/>
  <c r="V34" i="1" l="1"/>
  <c r="V20" i="1"/>
  <c r="V40" i="1"/>
  <c r="V9" i="1"/>
  <c r="V41" i="1" s="1"/>
  <c r="J2" i="1"/>
  <c r="J35" i="1"/>
  <c r="J22" i="1"/>
  <c r="J23" i="1"/>
  <c r="J36" i="1"/>
  <c r="J24" i="1"/>
  <c r="J3" i="1"/>
  <c r="J25" i="1"/>
  <c r="J4" i="1"/>
  <c r="J37" i="1"/>
  <c r="J10" i="1"/>
  <c r="J11" i="1"/>
  <c r="J12" i="1"/>
  <c r="J26" i="1"/>
  <c r="J27" i="1"/>
  <c r="J28" i="1"/>
  <c r="J5" i="1"/>
  <c r="J13" i="1"/>
  <c r="J14" i="1"/>
  <c r="J38" i="1"/>
  <c r="J15" i="1"/>
  <c r="J29" i="1"/>
  <c r="J30" i="1"/>
  <c r="J16" i="1"/>
  <c r="J31" i="1"/>
  <c r="J32" i="1"/>
  <c r="J17" i="1"/>
  <c r="J6" i="1"/>
  <c r="J7" i="1"/>
  <c r="J33" i="1"/>
  <c r="J18" i="1"/>
  <c r="J39" i="1"/>
  <c r="J8" i="1"/>
  <c r="J19" i="1"/>
  <c r="J21" i="1"/>
  <c r="AP5" i="1" l="1"/>
  <c r="AP4" i="1"/>
  <c r="AQ5" i="1"/>
  <c r="AQ4" i="1"/>
  <c r="Y11" i="1"/>
  <c r="AA12" i="1"/>
  <c r="AA11" i="1"/>
  <c r="Y12" i="1"/>
  <c r="AA10" i="1"/>
  <c r="AA13" i="1"/>
  <c r="Y13" i="1"/>
  <c r="Y10" i="1"/>
  <c r="R21" i="1"/>
  <c r="R2" i="1"/>
  <c r="R35" i="1"/>
  <c r="R22" i="1"/>
  <c r="R23" i="1"/>
  <c r="R36" i="1"/>
  <c r="R24" i="1"/>
  <c r="R3" i="1"/>
  <c r="R25" i="1"/>
  <c r="R4" i="1"/>
  <c r="R37" i="1"/>
  <c r="R10" i="1"/>
  <c r="R11" i="1"/>
  <c r="R12" i="1"/>
  <c r="R26" i="1"/>
  <c r="R27" i="1"/>
  <c r="R28" i="1"/>
  <c r="R5" i="1"/>
  <c r="R13" i="1"/>
  <c r="R14" i="1"/>
  <c r="R38" i="1"/>
  <c r="R15" i="1"/>
  <c r="R29" i="1"/>
  <c r="R30" i="1"/>
  <c r="R16" i="1"/>
  <c r="R31" i="1"/>
  <c r="R32" i="1"/>
  <c r="R17" i="1"/>
  <c r="R6" i="1"/>
  <c r="R7" i="1"/>
  <c r="R33" i="1"/>
  <c r="R18" i="1"/>
  <c r="R39" i="1"/>
  <c r="R8" i="1"/>
  <c r="R19" i="1"/>
  <c r="Q21" i="1"/>
  <c r="Q2" i="1"/>
  <c r="Q35" i="1"/>
  <c r="Q22" i="1"/>
  <c r="Q23" i="1"/>
  <c r="Q36" i="1"/>
  <c r="Q24" i="1"/>
  <c r="Q3" i="1"/>
  <c r="Q25" i="1"/>
  <c r="Q4" i="1"/>
  <c r="Q37" i="1"/>
  <c r="Q10" i="1"/>
  <c r="Q11" i="1"/>
  <c r="Q12" i="1"/>
  <c r="Q26" i="1"/>
  <c r="Q27" i="1"/>
  <c r="Q28" i="1"/>
  <c r="Q5" i="1"/>
  <c r="Q13" i="1"/>
  <c r="Q14" i="1"/>
  <c r="Q38" i="1"/>
  <c r="Q15" i="1"/>
  <c r="Q29" i="1"/>
  <c r="Q30" i="1"/>
  <c r="Q16" i="1"/>
  <c r="Q31" i="1"/>
  <c r="Q32" i="1"/>
  <c r="Q17" i="1"/>
  <c r="Q6" i="1"/>
  <c r="Q7" i="1"/>
  <c r="Q33" i="1"/>
  <c r="Q18" i="1"/>
  <c r="Q39" i="1"/>
  <c r="Q8" i="1"/>
  <c r="Q19" i="1"/>
  <c r="O21" i="1"/>
  <c r="O2" i="1"/>
  <c r="O35" i="1"/>
  <c r="O22" i="1"/>
  <c r="O23" i="1"/>
  <c r="O36" i="1"/>
  <c r="O24" i="1"/>
  <c r="O3" i="1"/>
  <c r="O25" i="1"/>
  <c r="O4" i="1"/>
  <c r="O37" i="1"/>
  <c r="O10" i="1"/>
  <c r="O11" i="1"/>
  <c r="O12" i="1"/>
  <c r="O26" i="1"/>
  <c r="O27" i="1"/>
  <c r="O28" i="1"/>
  <c r="O5" i="1"/>
  <c r="O13" i="1"/>
  <c r="O14" i="1"/>
  <c r="O38" i="1"/>
  <c r="O15" i="1"/>
  <c r="O29" i="1"/>
  <c r="O30" i="1"/>
  <c r="O16" i="1"/>
  <c r="O31" i="1"/>
  <c r="O32" i="1"/>
  <c r="O17" i="1"/>
  <c r="O6" i="1"/>
  <c r="O7" i="1"/>
  <c r="O33" i="1"/>
  <c r="O18" i="1"/>
  <c r="O39" i="1"/>
  <c r="O8" i="1"/>
  <c r="O19" i="1"/>
  <c r="E2" i="1" l="1"/>
  <c r="T2" i="1" s="1"/>
  <c r="E35" i="1"/>
  <c r="T35" i="1" s="1"/>
  <c r="E22" i="1"/>
  <c r="T22" i="1" s="1"/>
  <c r="E23" i="1"/>
  <c r="T23" i="1" s="1"/>
  <c r="E36" i="1"/>
  <c r="T36" i="1" s="1"/>
  <c r="E24" i="1"/>
  <c r="T24" i="1" s="1"/>
  <c r="E3" i="1"/>
  <c r="T3" i="1" s="1"/>
  <c r="E25" i="1"/>
  <c r="T25" i="1" s="1"/>
  <c r="E4" i="1"/>
  <c r="T4" i="1" s="1"/>
  <c r="E37" i="1"/>
  <c r="T37" i="1" s="1"/>
  <c r="E10" i="1"/>
  <c r="T10" i="1" s="1"/>
  <c r="E11" i="1"/>
  <c r="T11" i="1" s="1"/>
  <c r="E12" i="1"/>
  <c r="T12" i="1" s="1"/>
  <c r="E26" i="1"/>
  <c r="T26" i="1" s="1"/>
  <c r="E27" i="1"/>
  <c r="T27" i="1" s="1"/>
  <c r="E28" i="1"/>
  <c r="T28" i="1" s="1"/>
  <c r="E5" i="1"/>
  <c r="T5" i="1" s="1"/>
  <c r="E13" i="1"/>
  <c r="T13" i="1" s="1"/>
  <c r="E14" i="1"/>
  <c r="T14" i="1" s="1"/>
  <c r="E38" i="1"/>
  <c r="T38" i="1" s="1"/>
  <c r="E15" i="1"/>
  <c r="T15" i="1" s="1"/>
  <c r="E29" i="1"/>
  <c r="T29" i="1" s="1"/>
  <c r="E30" i="1"/>
  <c r="T30" i="1" s="1"/>
  <c r="E16" i="1"/>
  <c r="T16" i="1" s="1"/>
  <c r="E31" i="1"/>
  <c r="T31" i="1" s="1"/>
  <c r="E32" i="1"/>
  <c r="T32" i="1" s="1"/>
  <c r="E17" i="1"/>
  <c r="T17" i="1" s="1"/>
  <c r="E6" i="1"/>
  <c r="T6" i="1" s="1"/>
  <c r="E7" i="1"/>
  <c r="T7" i="1" s="1"/>
  <c r="E33" i="1"/>
  <c r="T33" i="1" s="1"/>
  <c r="E18" i="1"/>
  <c r="T18" i="1" s="1"/>
  <c r="E39" i="1"/>
  <c r="T39" i="1" s="1"/>
  <c r="E8" i="1"/>
  <c r="T8" i="1" s="1"/>
  <c r="E19" i="1"/>
  <c r="T19" i="1" s="1"/>
  <c r="E21" i="1"/>
  <c r="T21" i="1" s="1"/>
  <c r="AH22" i="1" l="1"/>
  <c r="AJ12" i="1"/>
  <c r="AL8" i="1"/>
  <c r="AI28" i="1"/>
  <c r="AG25" i="1"/>
  <c r="AL5" i="1"/>
  <c r="AV10" i="1"/>
  <c r="AU10" i="1"/>
  <c r="AV11" i="1"/>
  <c r="AU11" i="1"/>
  <c r="AV8" i="1"/>
  <c r="AU8" i="1"/>
  <c r="AU7" i="1"/>
  <c r="AV7" i="1"/>
  <c r="AU4" i="1"/>
  <c r="AV4" i="1"/>
  <c r="AU6" i="1"/>
  <c r="AV6" i="1"/>
  <c r="AU5" i="1"/>
  <c r="AV5" i="1"/>
  <c r="AM12" i="1"/>
  <c r="AG18" i="1"/>
  <c r="AH12" i="1"/>
  <c r="AL12" i="1"/>
  <c r="AM5" i="1"/>
  <c r="AH17" i="1"/>
  <c r="AJ16" i="1"/>
  <c r="AK16" i="1"/>
  <c r="AI16" i="1"/>
  <c r="AL17" i="1"/>
  <c r="AM17" i="1"/>
  <c r="AM16" i="1"/>
  <c r="AH16" i="1"/>
  <c r="AM18" i="1"/>
  <c r="AG16" i="1"/>
  <c r="AG17" i="1"/>
  <c r="AI17" i="1"/>
  <c r="AK17" i="1"/>
  <c r="AL16" i="1"/>
  <c r="AJ17" i="1"/>
  <c r="AM14" i="1"/>
  <c r="AJ13" i="1"/>
  <c r="AG14" i="1"/>
  <c r="AL15" i="1"/>
  <c r="AI14" i="1"/>
  <c r="AG13" i="1"/>
  <c r="AG15" i="1"/>
  <c r="AI13" i="1"/>
  <c r="AH13" i="1"/>
  <c r="AJ14" i="1"/>
  <c r="AM13" i="1"/>
  <c r="AK13" i="1"/>
  <c r="AH15" i="1"/>
  <c r="AH14" i="1"/>
  <c r="AL14" i="1"/>
  <c r="AK14" i="1"/>
  <c r="AL13" i="1"/>
  <c r="AL18" i="1"/>
  <c r="AH27" i="1"/>
  <c r="AK28" i="1"/>
  <c r="AM27" i="1"/>
  <c r="AI26" i="1"/>
  <c r="AI27" i="1"/>
  <c r="AH26" i="1"/>
  <c r="AG26" i="1"/>
  <c r="AK27" i="1"/>
  <c r="AL27" i="1"/>
  <c r="AK26" i="1"/>
  <c r="AJ26" i="1"/>
  <c r="AJ28" i="1"/>
  <c r="AG28" i="1"/>
  <c r="AL26" i="1"/>
  <c r="AJ27" i="1"/>
  <c r="AM26" i="1"/>
  <c r="AG27" i="1"/>
  <c r="AL28" i="1"/>
  <c r="AI24" i="1"/>
  <c r="AK24" i="1"/>
  <c r="AH25" i="1"/>
  <c r="AM23" i="1"/>
  <c r="AK23" i="1"/>
  <c r="AK25" i="1"/>
  <c r="AI23" i="1"/>
  <c r="AJ23" i="1"/>
  <c r="AM25" i="1"/>
  <c r="AH24" i="1"/>
  <c r="AH23" i="1"/>
  <c r="AM24" i="1"/>
  <c r="AJ25" i="1"/>
  <c r="AI25" i="1"/>
  <c r="AG23" i="1"/>
  <c r="AG24" i="1"/>
  <c r="AL24" i="1"/>
  <c r="AL23" i="1"/>
  <c r="AJ24" i="1"/>
  <c r="AJ4" i="1"/>
  <c r="AI4" i="1"/>
  <c r="AK3" i="1"/>
  <c r="AH5" i="1"/>
  <c r="AJ3" i="1"/>
  <c r="AG3" i="1"/>
  <c r="AI5" i="1"/>
  <c r="AK5" i="1"/>
  <c r="AI3" i="1"/>
  <c r="AM4" i="1"/>
  <c r="AG4" i="1"/>
  <c r="AK4" i="1"/>
  <c r="AL4" i="1"/>
  <c r="AH4" i="1"/>
  <c r="AL3" i="1"/>
  <c r="AM3" i="1"/>
  <c r="AH3" i="1"/>
  <c r="AJ5" i="1"/>
  <c r="AH18" i="1"/>
  <c r="AI10" i="1"/>
  <c r="AK10" i="1"/>
  <c r="AI11" i="1"/>
  <c r="AL10" i="1"/>
  <c r="AJ10" i="1"/>
  <c r="AM10" i="1"/>
  <c r="AH10" i="1"/>
  <c r="AG12" i="1"/>
  <c r="AL11" i="1"/>
  <c r="AG11" i="1"/>
  <c r="AK11" i="1"/>
  <c r="AG10" i="1"/>
  <c r="AH11" i="1"/>
  <c r="AM11" i="1"/>
  <c r="AJ11" i="1"/>
  <c r="AH19" i="1"/>
  <c r="AJ19" i="1"/>
  <c r="AG22" i="1"/>
  <c r="AM21" i="1"/>
  <c r="AL21" i="1"/>
  <c r="AK19" i="1"/>
  <c r="AK21" i="1"/>
  <c r="AG19" i="1"/>
  <c r="AI21" i="1"/>
  <c r="AL19" i="1"/>
  <c r="AG21" i="1"/>
  <c r="AJ22" i="1"/>
  <c r="AH21" i="1"/>
  <c r="AK22" i="1"/>
  <c r="AM19" i="1"/>
  <c r="AI19" i="1"/>
  <c r="AJ21" i="1"/>
  <c r="AK8" i="1"/>
  <c r="AI6" i="1"/>
  <c r="AK6" i="1"/>
  <c r="AL6" i="1"/>
  <c r="AJ6" i="1"/>
  <c r="AJ7" i="1"/>
  <c r="AI7" i="1"/>
  <c r="AK7" i="1"/>
  <c r="AH7" i="1"/>
  <c r="AL7" i="1"/>
  <c r="AH8" i="1"/>
  <c r="AI8" i="1"/>
  <c r="AM7" i="1"/>
  <c r="AM6" i="1"/>
  <c r="AH6" i="1"/>
  <c r="AJ8" i="1"/>
  <c r="AG6" i="1"/>
  <c r="AG7" i="1"/>
  <c r="AI18" i="1"/>
  <c r="AM15" i="1"/>
  <c r="AM22" i="1"/>
  <c r="AL22" i="1"/>
  <c r="AJ18" i="1"/>
  <c r="AV3" i="1"/>
  <c r="AU3" i="1"/>
  <c r="AI22" i="1"/>
  <c r="AQ13" i="1"/>
  <c r="AP13" i="1"/>
  <c r="AP14" i="1"/>
  <c r="AQ14" i="1"/>
  <c r="AP11" i="1"/>
  <c r="AQ11" i="1"/>
  <c r="AP10" i="1"/>
  <c r="AQ10" i="1"/>
  <c r="AP15" i="1"/>
  <c r="AQ15" i="1"/>
  <c r="AP12" i="1"/>
  <c r="AQ12" i="1"/>
  <c r="AQ8" i="1"/>
  <c r="AP8" i="1"/>
  <c r="AM28" i="1"/>
  <c r="AM8" i="1"/>
  <c r="AH28" i="1"/>
  <c r="AJ15" i="1"/>
  <c r="AK18" i="1"/>
  <c r="AK12" i="1"/>
  <c r="AL25" i="1"/>
  <c r="AI12" i="1"/>
  <c r="AK15" i="1"/>
  <c r="AI15" i="1"/>
  <c r="AG8" i="1"/>
  <c r="AB10" i="1"/>
  <c r="Z13" i="1"/>
  <c r="AB12" i="1"/>
  <c r="AG5" i="1"/>
  <c r="Z12" i="1"/>
  <c r="AB11" i="1"/>
  <c r="AB13" i="1"/>
  <c r="Z10" i="1"/>
  <c r="Z11" i="1"/>
  <c r="F7" i="1"/>
  <c r="K7" i="1"/>
  <c r="I7" i="1"/>
  <c r="F5" i="1"/>
  <c r="K5" i="1"/>
  <c r="I5" i="1"/>
  <c r="F36" i="1"/>
  <c r="K36" i="1"/>
  <c r="I36" i="1"/>
  <c r="F39" i="1"/>
  <c r="I39" i="1"/>
  <c r="K39" i="1"/>
  <c r="F6" i="1"/>
  <c r="I6" i="1"/>
  <c r="K6" i="1"/>
  <c r="F16" i="1"/>
  <c r="K16" i="1"/>
  <c r="I16" i="1"/>
  <c r="F38" i="1"/>
  <c r="K38" i="1"/>
  <c r="I38" i="1"/>
  <c r="F28" i="1"/>
  <c r="I28" i="1"/>
  <c r="K28" i="1"/>
  <c r="F11" i="1"/>
  <c r="K11" i="1"/>
  <c r="I11" i="1"/>
  <c r="F25" i="1"/>
  <c r="K25" i="1"/>
  <c r="I25" i="1"/>
  <c r="F23" i="1"/>
  <c r="K23" i="1"/>
  <c r="I23" i="1"/>
  <c r="F8" i="1"/>
  <c r="K8" i="1"/>
  <c r="I8" i="1"/>
  <c r="F15" i="1"/>
  <c r="K15" i="1"/>
  <c r="I15" i="1"/>
  <c r="F4" i="1"/>
  <c r="K4" i="1"/>
  <c r="I4" i="1"/>
  <c r="F21" i="1"/>
  <c r="I21" i="1"/>
  <c r="K21" i="1"/>
  <c r="H18" i="1"/>
  <c r="K18" i="1"/>
  <c r="I18" i="1"/>
  <c r="H17" i="1"/>
  <c r="K17" i="1"/>
  <c r="I17" i="1"/>
  <c r="H30" i="1"/>
  <c r="K30" i="1"/>
  <c r="I30" i="1"/>
  <c r="H14" i="1"/>
  <c r="K14" i="1"/>
  <c r="I14" i="1"/>
  <c r="H27" i="1"/>
  <c r="K27" i="1"/>
  <c r="I27" i="1"/>
  <c r="H10" i="1"/>
  <c r="K10" i="1"/>
  <c r="I10" i="1"/>
  <c r="H3" i="1"/>
  <c r="K3" i="1"/>
  <c r="I3" i="1"/>
  <c r="H22" i="1"/>
  <c r="I22" i="1"/>
  <c r="K22" i="1"/>
  <c r="F31" i="1"/>
  <c r="K31" i="1"/>
  <c r="I31" i="1"/>
  <c r="F12" i="1"/>
  <c r="K12" i="1"/>
  <c r="I12" i="1"/>
  <c r="G19" i="1"/>
  <c r="I19" i="1"/>
  <c r="K19" i="1"/>
  <c r="G33" i="1"/>
  <c r="K33" i="1"/>
  <c r="I33" i="1"/>
  <c r="G32" i="1"/>
  <c r="K32" i="1"/>
  <c r="I32" i="1"/>
  <c r="G29" i="1"/>
  <c r="K29" i="1"/>
  <c r="I29" i="1"/>
  <c r="G13" i="1"/>
  <c r="K13" i="1"/>
  <c r="I13" i="1"/>
  <c r="G26" i="1"/>
  <c r="K26" i="1"/>
  <c r="I26" i="1"/>
  <c r="G37" i="1"/>
  <c r="K37" i="1"/>
  <c r="I37" i="1"/>
  <c r="G24" i="1"/>
  <c r="K24" i="1"/>
  <c r="I24" i="1"/>
  <c r="G35" i="1"/>
  <c r="I35" i="1"/>
  <c r="K35" i="1"/>
  <c r="F2" i="1"/>
  <c r="I2" i="1"/>
  <c r="K2" i="1"/>
  <c r="G21" i="1"/>
  <c r="F19" i="1"/>
  <c r="H39" i="1"/>
  <c r="G18" i="1"/>
  <c r="F33" i="1"/>
  <c r="H6" i="1"/>
  <c r="G17" i="1"/>
  <c r="F32" i="1"/>
  <c r="H16" i="1"/>
  <c r="G30" i="1"/>
  <c r="F29" i="1"/>
  <c r="H38" i="1"/>
  <c r="G14" i="1"/>
  <c r="F13" i="1"/>
  <c r="H28" i="1"/>
  <c r="G27" i="1"/>
  <c r="F26" i="1"/>
  <c r="H11" i="1"/>
  <c r="G10" i="1"/>
  <c r="F37" i="1"/>
  <c r="H25" i="1"/>
  <c r="G3" i="1"/>
  <c r="F24" i="1"/>
  <c r="H23" i="1"/>
  <c r="G22" i="1"/>
  <c r="F35" i="1"/>
  <c r="H21" i="1"/>
  <c r="H8" i="1"/>
  <c r="G39" i="1"/>
  <c r="F18" i="1"/>
  <c r="H7" i="1"/>
  <c r="G6" i="1"/>
  <c r="F17" i="1"/>
  <c r="H31" i="1"/>
  <c r="G16" i="1"/>
  <c r="F30" i="1"/>
  <c r="H15" i="1"/>
  <c r="G38" i="1"/>
  <c r="F14" i="1"/>
  <c r="H5" i="1"/>
  <c r="G28" i="1"/>
  <c r="F27" i="1"/>
  <c r="H12" i="1"/>
  <c r="G11" i="1"/>
  <c r="F10" i="1"/>
  <c r="H4" i="1"/>
  <c r="G25" i="1"/>
  <c r="F3" i="1"/>
  <c r="H36" i="1"/>
  <c r="G23" i="1"/>
  <c r="F22" i="1"/>
  <c r="H2" i="1"/>
  <c r="H19" i="1"/>
  <c r="G8" i="1"/>
  <c r="H33" i="1"/>
  <c r="G7" i="1"/>
  <c r="H32" i="1"/>
  <c r="G31" i="1"/>
  <c r="H29" i="1"/>
  <c r="G15" i="1"/>
  <c r="H13" i="1"/>
  <c r="G5" i="1"/>
  <c r="H26" i="1"/>
  <c r="G12" i="1"/>
  <c r="H37" i="1"/>
  <c r="G4" i="1"/>
  <c r="H24" i="1"/>
  <c r="G36" i="1"/>
  <c r="H35" i="1"/>
  <c r="G2" i="1"/>
  <c r="A2" i="1"/>
  <c r="A35" i="1"/>
  <c r="A22" i="1"/>
  <c r="A23" i="1"/>
  <c r="A36" i="1"/>
  <c r="A24" i="1"/>
  <c r="A3" i="1"/>
  <c r="A25" i="1"/>
  <c r="A4" i="1"/>
  <c r="A37" i="1"/>
  <c r="A10" i="1"/>
  <c r="A11" i="1"/>
  <c r="A12" i="1"/>
  <c r="A26" i="1"/>
  <c r="A27" i="1"/>
  <c r="A28" i="1"/>
  <c r="A5" i="1"/>
  <c r="A13" i="1"/>
  <c r="A14" i="1"/>
  <c r="A38" i="1"/>
  <c r="A15" i="1"/>
  <c r="A29" i="1"/>
  <c r="A30" i="1"/>
  <c r="A16" i="1"/>
  <c r="A31" i="1"/>
  <c r="A32" i="1"/>
  <c r="A17" i="1"/>
  <c r="A6" i="1"/>
  <c r="A7" i="1"/>
  <c r="A33" i="1"/>
  <c r="A18" i="1"/>
  <c r="A39" i="1"/>
  <c r="A8" i="1"/>
  <c r="A19" i="1"/>
  <c r="A21" i="1"/>
  <c r="AU29" i="1" l="1"/>
  <c r="AY29" i="1"/>
  <c r="AV29" i="1"/>
  <c r="AZ29" i="1"/>
  <c r="AW29" i="1"/>
  <c r="AX29" i="1"/>
  <c r="AY28" i="1"/>
  <c r="AZ28" i="1"/>
  <c r="AW28" i="1"/>
  <c r="AX28" i="1"/>
  <c r="AU28" i="1"/>
  <c r="AV28" i="1"/>
  <c r="AU27" i="1"/>
  <c r="AY27" i="1"/>
  <c r="AV27" i="1"/>
  <c r="AZ27" i="1"/>
  <c r="AW27" i="1"/>
  <c r="AX27" i="1"/>
  <c r="AZ26" i="1"/>
  <c r="AY26" i="1"/>
  <c r="AX26" i="1"/>
  <c r="AW26" i="1"/>
  <c r="AV26" i="1"/>
  <c r="AU26" i="1"/>
  <c r="AU25" i="1"/>
  <c r="AY25" i="1"/>
  <c r="AV25" i="1"/>
  <c r="AZ25" i="1"/>
  <c r="AW25" i="1"/>
  <c r="AX25" i="1"/>
  <c r="AY24" i="1"/>
  <c r="AZ24" i="1"/>
  <c r="AW24" i="1"/>
  <c r="AX24" i="1"/>
  <c r="AU24" i="1"/>
  <c r="AV24" i="1"/>
  <c r="AU23" i="1"/>
  <c r="AY23" i="1"/>
  <c r="AV23" i="1"/>
  <c r="AZ23" i="1"/>
  <c r="AW23" i="1"/>
  <c r="AX23" i="1"/>
  <c r="AZ22" i="1"/>
  <c r="AY22" i="1"/>
  <c r="AX22" i="1"/>
  <c r="AW22" i="1"/>
  <c r="AV22" i="1"/>
  <c r="AU22" i="1"/>
  <c r="AU21" i="1"/>
  <c r="AY21" i="1"/>
  <c r="AV21" i="1"/>
  <c r="AZ21" i="1"/>
  <c r="AW21" i="1"/>
  <c r="AX21" i="1"/>
  <c r="AZ19" i="1"/>
  <c r="AY19" i="1"/>
  <c r="AX19" i="1"/>
  <c r="AW19" i="1"/>
  <c r="AV19" i="1"/>
  <c r="AU19" i="1"/>
  <c r="AU18" i="1"/>
  <c r="AY18" i="1"/>
  <c r="AV18" i="1"/>
  <c r="AZ18" i="1"/>
  <c r="AW18" i="1"/>
  <c r="AX18" i="1"/>
  <c r="AY17" i="1"/>
  <c r="AZ17" i="1"/>
  <c r="AX17" i="1"/>
  <c r="AW17" i="1"/>
  <c r="AV17" i="1"/>
  <c r="AU17" i="1"/>
  <c r="AZ15" i="1"/>
  <c r="AU16" i="1"/>
  <c r="AY16" i="1"/>
  <c r="AV16" i="1"/>
  <c r="AZ16" i="1"/>
  <c r="AW16" i="1"/>
  <c r="AX16" i="1"/>
  <c r="AX15" i="1"/>
  <c r="AY15" i="1"/>
  <c r="AW15" i="1"/>
  <c r="AV15" i="1"/>
  <c r="AU15" i="1"/>
  <c r="AA17" i="1"/>
  <c r="Y17" i="1"/>
  <c r="X17" i="1"/>
  <c r="Z5" i="1"/>
  <c r="Z4" i="1"/>
  <c r="Y5" i="1"/>
  <c r="Y4" i="1"/>
  <c r="Z3" i="1"/>
  <c r="Y3" i="1"/>
</calcChain>
</file>

<file path=xl/sharedStrings.xml><?xml version="1.0" encoding="utf-8"?>
<sst xmlns="http://schemas.openxmlformats.org/spreadsheetml/2006/main" count="286" uniqueCount="213">
  <si>
    <t>회원번호</t>
    <phoneticPr fontId="1" type="noConversion"/>
  </si>
  <si>
    <t>이름</t>
    <phoneticPr fontId="1" type="noConversion"/>
  </si>
  <si>
    <t>주민번호</t>
    <phoneticPr fontId="1" type="noConversion"/>
  </si>
  <si>
    <t>이메일</t>
    <phoneticPr fontId="1" type="noConversion"/>
  </si>
  <si>
    <t>가입년월일</t>
    <phoneticPr fontId="1" type="noConversion"/>
  </si>
  <si>
    <t>누적포인트</t>
    <phoneticPr fontId="1" type="noConversion"/>
  </si>
  <si>
    <t>이종만</t>
  </si>
  <si>
    <t>김상호</t>
  </si>
  <si>
    <t>이태호</t>
  </si>
  <si>
    <t>조소윤</t>
  </si>
  <si>
    <t>정경수</t>
  </si>
  <si>
    <t>윤형진</t>
  </si>
  <si>
    <t>박민우</t>
  </si>
  <si>
    <t>권소연</t>
  </si>
  <si>
    <t>김지운</t>
    <phoneticPr fontId="1" type="noConversion"/>
  </si>
  <si>
    <t>감성욱</t>
    <phoneticPr fontId="1" type="noConversion"/>
  </si>
  <si>
    <t>김진영</t>
    <phoneticPr fontId="1" type="noConversion"/>
  </si>
  <si>
    <t>김재원</t>
    <phoneticPr fontId="1" type="noConversion"/>
  </si>
  <si>
    <t>문선영</t>
    <phoneticPr fontId="1" type="noConversion"/>
  </si>
  <si>
    <t>박현호</t>
    <phoneticPr fontId="1" type="noConversion"/>
  </si>
  <si>
    <t>손서인</t>
    <phoneticPr fontId="1" type="noConversion"/>
  </si>
  <si>
    <t>이유경</t>
    <phoneticPr fontId="1" type="noConversion"/>
  </si>
  <si>
    <t>이택진</t>
    <phoneticPr fontId="1" type="noConversion"/>
  </si>
  <si>
    <t>장진욱</t>
    <phoneticPr fontId="1" type="noConversion"/>
  </si>
  <si>
    <t>한경현</t>
    <phoneticPr fontId="1" type="noConversion"/>
  </si>
  <si>
    <t>김선채</t>
    <phoneticPr fontId="1" type="noConversion"/>
  </si>
  <si>
    <t>김태진</t>
    <phoneticPr fontId="1" type="noConversion"/>
  </si>
  <si>
    <t>여상아</t>
    <phoneticPr fontId="1" type="noConversion"/>
  </si>
  <si>
    <t>이동윤</t>
    <phoneticPr fontId="1" type="noConversion"/>
  </si>
  <si>
    <t>박장진</t>
    <phoneticPr fontId="1" type="noConversion"/>
  </si>
  <si>
    <t>임소원</t>
    <phoneticPr fontId="1" type="noConversion"/>
  </si>
  <si>
    <t>서소연</t>
    <phoneticPr fontId="1" type="noConversion"/>
  </si>
  <si>
    <t>김재업</t>
    <phoneticPr fontId="1" type="noConversion"/>
  </si>
  <si>
    <t>박승민</t>
    <phoneticPr fontId="1" type="noConversion"/>
  </si>
  <si>
    <t>이예슬</t>
    <phoneticPr fontId="1" type="noConversion"/>
  </si>
  <si>
    <t>안지영</t>
    <phoneticPr fontId="1" type="noConversion"/>
  </si>
  <si>
    <t>손현의</t>
    <phoneticPr fontId="1" type="noConversion"/>
  </si>
  <si>
    <t>옥태진</t>
    <phoneticPr fontId="1" type="noConversion"/>
  </si>
  <si>
    <t>이무영</t>
    <phoneticPr fontId="1" type="noConversion"/>
  </si>
  <si>
    <t>정수덕</t>
    <phoneticPr fontId="1" type="noConversion"/>
  </si>
  <si>
    <t>김서아</t>
    <phoneticPr fontId="1" type="noConversion"/>
  </si>
  <si>
    <t>kjwoon79@gmail.com</t>
    <phoneticPr fontId="1" type="noConversion"/>
  </si>
  <si>
    <t>rkatjddnr@naver.com</t>
    <phoneticPr fontId="1" type="noConversion"/>
  </si>
  <si>
    <t>jjyylove@naver.com</t>
    <phoneticPr fontId="1" type="noConversion"/>
  </si>
  <si>
    <t>kjw8855@hotmail.com</t>
    <phoneticPr fontId="1" type="noConversion"/>
  </si>
  <si>
    <t>ppororo2157@hanmail.net</t>
    <phoneticPr fontId="1" type="noConversion"/>
  </si>
  <si>
    <t>hhphhp@naver.com</t>
    <phoneticPr fontId="1" type="noConversion"/>
  </si>
  <si>
    <t>luvsi123@hotmail.com</t>
    <phoneticPr fontId="1" type="noConversion"/>
  </si>
  <si>
    <t>angelyu@hotmail.com</t>
    <phoneticPr fontId="1" type="noConversion"/>
  </si>
  <si>
    <t>teakjjingg@gmail.com</t>
    <phoneticPr fontId="1" type="noConversion"/>
  </si>
  <si>
    <t>jangjangjw@daum.net</t>
    <phoneticPr fontId="1" type="noConversion"/>
  </si>
  <si>
    <t>doldolhkh555@hanmail.net</t>
    <phoneticPr fontId="1" type="noConversion"/>
  </si>
  <si>
    <t>scforever88@naver.com</t>
    <phoneticPr fontId="1" type="noConversion"/>
  </si>
  <si>
    <t>wtgwd102@gamil.com</t>
    <phoneticPr fontId="1" type="noConversion"/>
  </si>
  <si>
    <t>sangayoe@naver.com</t>
    <phoneticPr fontId="1" type="noConversion"/>
  </si>
  <si>
    <t>ddongyoon@hotmail.com</t>
    <phoneticPr fontId="1" type="noConversion"/>
  </si>
  <si>
    <t>jjjjpark@daum.net</t>
    <phoneticPr fontId="1" type="noConversion"/>
  </si>
  <si>
    <t>hopelim75@naver.com</t>
    <phoneticPr fontId="1" type="noConversion"/>
  </si>
  <si>
    <t>seosyjsh12@gmail.com</t>
    <phoneticPr fontId="1" type="noConversion"/>
  </si>
  <si>
    <t>reuploadkim2@gmail.com</t>
    <phoneticPr fontId="1" type="noConversion"/>
  </si>
  <si>
    <t>jjongmani@hotmail.com</t>
    <phoneticPr fontId="1" type="noConversion"/>
  </si>
  <si>
    <t>victorymink@hanmail.net</t>
    <phoneticPr fontId="1" type="noConversion"/>
  </si>
  <si>
    <t>eachother@hotmail.com</t>
    <phoneticPr fontId="1" type="noConversion"/>
  </si>
  <si>
    <t>yeslee84@naver.com</t>
    <phoneticPr fontId="1" type="noConversion"/>
  </si>
  <si>
    <t>jiyoungida@hotmail.com</t>
    <phoneticPr fontId="1" type="noConversion"/>
  </si>
  <si>
    <t>okteajinok@naver.com</t>
    <phoneticPr fontId="1" type="noConversion"/>
  </si>
  <si>
    <t>notingzeor0@daum.net</t>
    <phoneticPr fontId="1" type="noConversion"/>
  </si>
  <si>
    <t>thlee1985@gmail.com</t>
    <phoneticPr fontId="1" type="noConversion"/>
  </si>
  <si>
    <t>soyoon1212@hanmail.net</t>
    <phoneticPr fontId="1" type="noConversion"/>
  </si>
  <si>
    <t>soosoodduk@daum.net</t>
    <phoneticPr fontId="1" type="noConversion"/>
  </si>
  <si>
    <t>ksjung74@hotmail.net</t>
    <phoneticPr fontId="1" type="noConversion"/>
  </si>
  <si>
    <t>tellhjtrue@naver.com</t>
    <phoneticPr fontId="1" type="noConversion"/>
  </si>
  <si>
    <t>minuminu@hotmail.com</t>
    <phoneticPr fontId="1" type="noConversion"/>
  </si>
  <si>
    <t>lovelyhuson@daum.net</t>
    <phoneticPr fontId="1" type="noConversion"/>
  </si>
  <si>
    <t>ssossok914@gamil.com</t>
    <phoneticPr fontId="1" type="noConversion"/>
  </si>
  <si>
    <t>seaaaaaaa@hotmail.com</t>
    <phoneticPr fontId="1" type="noConversion"/>
  </si>
  <si>
    <t>790809-1</t>
    <phoneticPr fontId="1" type="noConversion"/>
  </si>
  <si>
    <t>751109-1</t>
    <phoneticPr fontId="1" type="noConversion"/>
  </si>
  <si>
    <t>820327-2</t>
    <phoneticPr fontId="1" type="noConversion"/>
  </si>
  <si>
    <t>880305-1</t>
    <phoneticPr fontId="1" type="noConversion"/>
  </si>
  <si>
    <t>750102-2</t>
    <phoneticPr fontId="1" type="noConversion"/>
  </si>
  <si>
    <t>900615-1</t>
    <phoneticPr fontId="1" type="noConversion"/>
  </si>
  <si>
    <t>860319-2</t>
    <phoneticPr fontId="1" type="noConversion"/>
  </si>
  <si>
    <t>740914-2</t>
    <phoneticPr fontId="1" type="noConversion"/>
  </si>
  <si>
    <t>800729-1</t>
    <phoneticPr fontId="1" type="noConversion"/>
  </si>
  <si>
    <t>701212-1</t>
    <phoneticPr fontId="1" type="noConversion"/>
  </si>
  <si>
    <t>760412-2</t>
    <phoneticPr fontId="1" type="noConversion"/>
  </si>
  <si>
    <t>880202-2</t>
    <phoneticPr fontId="1" type="noConversion"/>
  </si>
  <si>
    <t>730628-1</t>
    <phoneticPr fontId="1" type="noConversion"/>
  </si>
  <si>
    <t>810530-2</t>
    <phoneticPr fontId="1" type="noConversion"/>
  </si>
  <si>
    <t>840911-1</t>
    <phoneticPr fontId="1" type="noConversion"/>
  </si>
  <si>
    <t>770903-2</t>
    <phoneticPr fontId="1" type="noConversion"/>
  </si>
  <si>
    <t>751111-2</t>
    <phoneticPr fontId="1" type="noConversion"/>
  </si>
  <si>
    <t>821003-2</t>
    <phoneticPr fontId="1" type="noConversion"/>
  </si>
  <si>
    <t>880105-1</t>
    <phoneticPr fontId="1" type="noConversion"/>
  </si>
  <si>
    <t>720227-1</t>
    <phoneticPr fontId="1" type="noConversion"/>
  </si>
  <si>
    <t>830925-1</t>
    <phoneticPr fontId="1" type="noConversion"/>
  </si>
  <si>
    <t>750815-1</t>
    <phoneticPr fontId="1" type="noConversion"/>
  </si>
  <si>
    <t>840628-2</t>
    <phoneticPr fontId="1" type="noConversion"/>
  </si>
  <si>
    <t>870203-2</t>
    <phoneticPr fontId="1" type="noConversion"/>
  </si>
  <si>
    <t>790416-1</t>
    <phoneticPr fontId="1" type="noConversion"/>
  </si>
  <si>
    <t>831205-1</t>
    <phoneticPr fontId="1" type="noConversion"/>
  </si>
  <si>
    <t>850927-1</t>
    <phoneticPr fontId="1" type="noConversion"/>
  </si>
  <si>
    <t>710621-2</t>
    <phoneticPr fontId="1" type="noConversion"/>
  </si>
  <si>
    <t>810308-1</t>
    <phoneticPr fontId="1" type="noConversion"/>
  </si>
  <si>
    <t>870722-1</t>
    <phoneticPr fontId="1" type="noConversion"/>
  </si>
  <si>
    <t>801112-1</t>
    <phoneticPr fontId="1" type="noConversion"/>
  </si>
  <si>
    <t>740201-1</t>
    <phoneticPr fontId="1" type="noConversion"/>
  </si>
  <si>
    <t>860513-2</t>
    <phoneticPr fontId="1" type="noConversion"/>
  </si>
  <si>
    <t>791019-2</t>
    <phoneticPr fontId="1" type="noConversion"/>
  </si>
  <si>
    <t>821224-2</t>
    <phoneticPr fontId="1" type="noConversion"/>
  </si>
  <si>
    <t>핸드폰번호</t>
    <phoneticPr fontId="1" type="noConversion"/>
  </si>
  <si>
    <t>010-9137-4628</t>
    <phoneticPr fontId="1" type="noConversion"/>
  </si>
  <si>
    <t>010-5915-7535</t>
    <phoneticPr fontId="1" type="noConversion"/>
  </si>
  <si>
    <t>010-2486-1793</t>
    <phoneticPr fontId="1" type="noConversion"/>
  </si>
  <si>
    <t>010-3214-7896</t>
    <phoneticPr fontId="1" type="noConversion"/>
  </si>
  <si>
    <t>010-3698-7412</t>
    <phoneticPr fontId="1" type="noConversion"/>
  </si>
  <si>
    <t>010-6987-4123</t>
    <phoneticPr fontId="1" type="noConversion"/>
  </si>
  <si>
    <t>010-5879-5213</t>
    <phoneticPr fontId="1" type="noConversion"/>
  </si>
  <si>
    <t>010-7415-9635</t>
    <phoneticPr fontId="1" type="noConversion"/>
  </si>
  <si>
    <t>010-7946-4613</t>
    <phoneticPr fontId="1" type="noConversion"/>
  </si>
  <si>
    <t>010-4685-3152</t>
    <phoneticPr fontId="1" type="noConversion"/>
  </si>
  <si>
    <t>010-7182-8293</t>
    <phoneticPr fontId="1" type="noConversion"/>
  </si>
  <si>
    <t>010-9511-1599</t>
    <phoneticPr fontId="1" type="noConversion"/>
  </si>
  <si>
    <t>010-7785-9985</t>
    <phoneticPr fontId="1" type="noConversion"/>
  </si>
  <si>
    <t>010-5632-7458</t>
    <phoneticPr fontId="1" type="noConversion"/>
  </si>
  <si>
    <t>010-4125-9856</t>
    <phoneticPr fontId="1" type="noConversion"/>
  </si>
  <si>
    <t>010-3256-6589</t>
    <phoneticPr fontId="1" type="noConversion"/>
  </si>
  <si>
    <t>010-5478-2541</t>
    <phoneticPr fontId="1" type="noConversion"/>
  </si>
  <si>
    <t>010-3169-7941</t>
    <phoneticPr fontId="1" type="noConversion"/>
  </si>
  <si>
    <t>010-7852-3258</t>
    <phoneticPr fontId="1" type="noConversion"/>
  </si>
  <si>
    <t>010-9854-6521</t>
    <phoneticPr fontId="1" type="noConversion"/>
  </si>
  <si>
    <t>010-7856-4532</t>
    <phoneticPr fontId="1" type="noConversion"/>
  </si>
  <si>
    <t>010-9199-1347</t>
    <phoneticPr fontId="1" type="noConversion"/>
  </si>
  <si>
    <t>010-2688-4866</t>
    <phoneticPr fontId="1" type="noConversion"/>
  </si>
  <si>
    <t>010-3149-9762</t>
    <phoneticPr fontId="1" type="noConversion"/>
  </si>
  <si>
    <t>010-4569-1235</t>
    <phoneticPr fontId="1" type="noConversion"/>
  </si>
  <si>
    <t>010-5563-7619</t>
    <phoneticPr fontId="1" type="noConversion"/>
  </si>
  <si>
    <t>010-3491-7913</t>
    <phoneticPr fontId="1" type="noConversion"/>
  </si>
  <si>
    <t>010-8574-1296</t>
    <phoneticPr fontId="1" type="noConversion"/>
  </si>
  <si>
    <t>010-3687-1496</t>
    <phoneticPr fontId="1" type="noConversion"/>
  </si>
  <si>
    <t>010-2564-7659</t>
    <phoneticPr fontId="1" type="noConversion"/>
  </si>
  <si>
    <t>010-8912-4963</t>
    <phoneticPr fontId="1" type="noConversion"/>
  </si>
  <si>
    <t>010-5519-6743</t>
    <phoneticPr fontId="1" type="noConversion"/>
  </si>
  <si>
    <t>010-9851-1476</t>
    <phoneticPr fontId="1" type="noConversion"/>
  </si>
  <si>
    <t>010-5813-2579</t>
    <phoneticPr fontId="1" type="noConversion"/>
  </si>
  <si>
    <t>010-4673-8521</t>
    <phoneticPr fontId="1" type="noConversion"/>
  </si>
  <si>
    <t>생년월일</t>
    <phoneticPr fontId="1" type="noConversion"/>
  </si>
  <si>
    <t>년도</t>
    <phoneticPr fontId="1" type="noConversion"/>
  </si>
  <si>
    <t>월</t>
    <phoneticPr fontId="1" type="noConversion"/>
  </si>
  <si>
    <t>일</t>
    <phoneticPr fontId="1" type="noConversion"/>
  </si>
  <si>
    <t>년</t>
    <phoneticPr fontId="1" type="noConversion"/>
  </si>
  <si>
    <t>개
월</t>
    <phoneticPr fontId="1" type="noConversion"/>
  </si>
  <si>
    <t>일</t>
    <phoneticPr fontId="1" type="noConversion"/>
  </si>
  <si>
    <t>나
이</t>
    <phoneticPr fontId="1" type="noConversion"/>
  </si>
  <si>
    <t>일수</t>
    <phoneticPr fontId="1" type="noConversion"/>
  </si>
  <si>
    <t>혜택
요일</t>
    <phoneticPr fontId="1" type="noConversion"/>
  </si>
  <si>
    <t>성
별</t>
    <phoneticPr fontId="1" type="noConversion"/>
  </si>
  <si>
    <t>누적 포인트</t>
  </si>
  <si>
    <t>등급</t>
  </si>
  <si>
    <t>등급명</t>
  </si>
  <si>
    <t>BRONZE</t>
  </si>
  <si>
    <t>SILVER</t>
  </si>
  <si>
    <t>GOLD</t>
  </si>
  <si>
    <t>PURE GOLD</t>
  </si>
  <si>
    <t>가
입
기
간
(년)</t>
    <phoneticPr fontId="1" type="noConversion"/>
  </si>
  <si>
    <t>회원등급</t>
    <phoneticPr fontId="1" type="noConversion"/>
  </si>
  <si>
    <t>할인율</t>
    <phoneticPr fontId="1" type="noConversion"/>
  </si>
  <si>
    <t>주민번호
표시</t>
    <phoneticPr fontId="1" type="noConversion"/>
  </si>
  <si>
    <t>남</t>
    <phoneticPr fontId="1" type="noConversion"/>
  </si>
  <si>
    <t>여</t>
    <phoneticPr fontId="1" type="noConversion"/>
  </si>
  <si>
    <t>PURE GOLD</t>
    <phoneticPr fontId="1" type="noConversion"/>
  </si>
  <si>
    <t>GOLD</t>
    <phoneticPr fontId="1" type="noConversion"/>
  </si>
  <si>
    <t>BRONZE</t>
    <phoneticPr fontId="1" type="noConversion"/>
  </si>
  <si>
    <t>합</t>
    <phoneticPr fontId="1" type="noConversion"/>
  </si>
  <si>
    <t>평균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</si>
  <si>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</si>
  <si>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</si>
  <si>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</si>
  <si>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</si>
  <si>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</si>
  <si>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</si>
  <si>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</si>
  <si>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인원수</t>
    <phoneticPr fontId="1" type="noConversion"/>
  </si>
  <si>
    <t>SILVER</t>
    <phoneticPr fontId="1" type="noConversion"/>
  </si>
  <si>
    <t>누적포인트 총합</t>
    <phoneticPr fontId="1" type="noConversion"/>
  </si>
  <si>
    <t>할인율 평균</t>
    <phoneticPr fontId="1" type="noConversion"/>
  </si>
  <si>
    <t>누적포인트총합</t>
    <phoneticPr fontId="1" type="noConversion"/>
  </si>
  <si>
    <t>할인율평균</t>
    <phoneticPr fontId="1" type="noConversion"/>
  </si>
  <si>
    <t>30대 여성 GOLD 등급의</t>
    <phoneticPr fontId="1" type="noConversion"/>
  </si>
  <si>
    <t>남</t>
    <phoneticPr fontId="1" type="noConversion"/>
  </si>
  <si>
    <t>여</t>
    <phoneticPr fontId="1" type="noConversion"/>
  </si>
  <si>
    <t>최고
누적포인트</t>
    <phoneticPr fontId="1" type="noConversion"/>
  </si>
  <si>
    <t>최저
누적포인트</t>
    <phoneticPr fontId="1" type="noConversion"/>
  </si>
  <si>
    <t>최고할인율</t>
    <phoneticPr fontId="1" type="noConversion"/>
  </si>
  <si>
    <t>최저할인율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</si>
  <si>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</si>
  <si>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</si>
  <si>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</si>
  <si>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</si>
  <si>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</si>
  <si>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</si>
  <si>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</si>
  <si>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PURE GOLD</t>
    <phoneticPr fontId="1" type="noConversion"/>
  </si>
  <si>
    <t>GOLD</t>
    <phoneticPr fontId="1" type="noConversion"/>
  </si>
  <si>
    <t>SILVER</t>
    <phoneticPr fontId="1" type="noConversion"/>
  </si>
  <si>
    <t>BRONZE</t>
    <phoneticPr fontId="1" type="noConversion"/>
  </si>
  <si>
    <t>년수</t>
    <phoneticPr fontId="1" type="noConversion"/>
  </si>
  <si>
    <t>PURE GOLD 평균</t>
  </si>
  <si>
    <t>SILVER 평균</t>
  </si>
  <si>
    <t>GOLD 평균</t>
  </si>
  <si>
    <t>BRONZE 평균</t>
  </si>
  <si>
    <t>전체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</si>
</sst>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color theme="7"/>
      <name val="맑은 고딕"/>
      <family val="2"/>
      <charset val="129"/>
      <scheme val="minor"/>
    </font>
    <font>
      <sz val="10"/>
      <color theme="8" tint="-0.249977111117893"/>
      <name val="맑은 고딕"/>
      <family val="2"/>
      <charset val="129"/>
      <scheme val="minor"/>
    </font>
    <font>
      <sz val="10"/>
      <color theme="6" tint="-0.249977111117893"/>
      <name val="맑은 고딕"/>
      <family val="2"/>
      <charset val="129"/>
      <scheme val="minor"/>
    </font>
    <font>
      <b/>
      <sz val="10"/>
      <color theme="8" tint="-0.249977111117893"/>
      <name val="맑은 고딕"/>
      <family val="2"/>
      <charset val="129"/>
      <scheme val="minor"/>
    </font>
    <font>
      <b/>
      <sz val="10"/>
      <color theme="6" tint="-0.249977111117893"/>
      <name val="맑은 고딕"/>
      <family val="2"/>
      <charset val="129"/>
      <scheme val="minor"/>
    </font>
    <font>
      <b/>
      <sz val="10"/>
      <color theme="7"/>
      <name val="맑은 고딕"/>
      <family val="2"/>
      <charset val="129"/>
      <scheme val="minor"/>
    </font>
    <font>
      <b/>
      <sz val="10"/>
      <color rgb="FFC0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ck">
        <color indexed="64"/>
      </right>
      <top style="double">
        <color auto="1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double">
        <color auto="1"/>
      </left>
      <right style="thick">
        <color indexed="64"/>
      </right>
      <top/>
      <bottom style="thick">
        <color auto="1"/>
      </bottom>
      <diagonal/>
    </border>
    <border>
      <left style="double">
        <color auto="1"/>
      </left>
      <right style="thick">
        <color indexed="64"/>
      </right>
      <top style="thick">
        <color auto="1"/>
      </top>
      <bottom/>
      <diagonal/>
    </border>
    <border>
      <left style="double">
        <color auto="1"/>
      </left>
      <right style="thick">
        <color indexed="64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ck">
        <color auto="1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9" fontId="7" fillId="0" borderId="9" xfId="0" applyNumberFormat="1" applyFont="1" applyBorder="1" applyAlignment="1">
      <alignment horizontal="center" vertical="center" wrapText="1"/>
    </xf>
    <xf numFmtId="177" fontId="7" fillId="0" borderId="9" xfId="0" applyNumberFormat="1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 wrapText="1"/>
    </xf>
    <xf numFmtId="0" fontId="3" fillId="2" borderId="5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40" xfId="0" applyFont="1" applyFill="1" applyBorder="1">
      <alignment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27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76" xfId="0" applyFont="1" applyFill="1" applyBorder="1" applyAlignment="1">
      <alignment horizontal="center" vertical="center"/>
    </xf>
    <xf numFmtId="0" fontId="3" fillId="2" borderId="77" xfId="0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79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82" xfId="0" applyFont="1" applyFill="1" applyBorder="1" applyAlignment="1">
      <alignment horizontal="center"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5" xfId="0" applyFont="1" applyFill="1" applyBorder="1">
      <alignment vertical="center"/>
    </xf>
    <xf numFmtId="0" fontId="3" fillId="2" borderId="86" xfId="0" applyFont="1" applyFill="1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87" xfId="0" applyFont="1" applyFill="1" applyBorder="1">
      <alignment vertical="center"/>
    </xf>
    <xf numFmtId="0" fontId="3" fillId="2" borderId="88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89" xfId="0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horizontal="center" vertical="center"/>
    </xf>
    <xf numFmtId="0" fontId="3" fillId="2" borderId="102" xfId="0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8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5" fillId="0" borderId="3" xfId="1" applyFont="1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>
      <alignment vertical="center"/>
    </xf>
    <xf numFmtId="0" fontId="3" fillId="0" borderId="18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9" fontId="7" fillId="0" borderId="12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3" fillId="2" borderId="109" xfId="0" applyFont="1" applyFill="1" applyBorder="1" applyAlignment="1">
      <alignment horizontal="center" vertical="center"/>
    </xf>
    <xf numFmtId="0" fontId="3" fillId="2" borderId="110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1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>
      <alignment vertical="center"/>
    </xf>
    <xf numFmtId="0" fontId="3" fillId="6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7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08" xfId="0" applyFont="1" applyBorder="1" applyAlignment="1">
      <alignment horizontal="center" vertical="center" wrapText="1"/>
    </xf>
    <xf numFmtId="176" fontId="3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맑은 고딕"/>
        <family val="2"/>
        <charset val="129"/>
        <scheme val="minor"/>
      </font>
    </dxf>
  </dxfs>
  <tableStyles count="0" defaultTableStyle="TableStyleMedium2" defaultPivotStyle="PivotStyleLight16"/>
  <colors>
    <mruColors>
      <color rgb="FFCCC0DA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yu@hotmail.com" TargetMode="External"/><Relationship Id="rId13" Type="http://schemas.openxmlformats.org/officeDocument/2006/relationships/hyperlink" Target="mailto:wtgwd102@gamil.com" TargetMode="External"/><Relationship Id="rId18" Type="http://schemas.openxmlformats.org/officeDocument/2006/relationships/hyperlink" Target="mailto:seosyjsh12@gmail.com" TargetMode="External"/><Relationship Id="rId26" Type="http://schemas.openxmlformats.org/officeDocument/2006/relationships/hyperlink" Target="mailto:notingzeor0@daum.net" TargetMode="External"/><Relationship Id="rId3" Type="http://schemas.openxmlformats.org/officeDocument/2006/relationships/hyperlink" Target="mailto:jjyylove@naver.com" TargetMode="External"/><Relationship Id="rId21" Type="http://schemas.openxmlformats.org/officeDocument/2006/relationships/hyperlink" Target="mailto:victorymink@hanmail.net" TargetMode="External"/><Relationship Id="rId34" Type="http://schemas.openxmlformats.org/officeDocument/2006/relationships/hyperlink" Target="mailto:ssossok914@gamil.com" TargetMode="External"/><Relationship Id="rId7" Type="http://schemas.openxmlformats.org/officeDocument/2006/relationships/hyperlink" Target="mailto:luvsi123@hotmail.com" TargetMode="External"/><Relationship Id="rId12" Type="http://schemas.openxmlformats.org/officeDocument/2006/relationships/hyperlink" Target="mailto:scforever88@naver.com" TargetMode="External"/><Relationship Id="rId17" Type="http://schemas.openxmlformats.org/officeDocument/2006/relationships/hyperlink" Target="mailto:hopelim75@naver.com" TargetMode="External"/><Relationship Id="rId25" Type="http://schemas.openxmlformats.org/officeDocument/2006/relationships/hyperlink" Target="mailto:okteajinok@naver.com" TargetMode="External"/><Relationship Id="rId33" Type="http://schemas.openxmlformats.org/officeDocument/2006/relationships/hyperlink" Target="mailto:lovelyhuson@daum.net" TargetMode="External"/><Relationship Id="rId2" Type="http://schemas.openxmlformats.org/officeDocument/2006/relationships/hyperlink" Target="mailto:rkatjddnr@naver.com" TargetMode="External"/><Relationship Id="rId16" Type="http://schemas.openxmlformats.org/officeDocument/2006/relationships/hyperlink" Target="mailto:jjjjpark@daum.net" TargetMode="External"/><Relationship Id="rId20" Type="http://schemas.openxmlformats.org/officeDocument/2006/relationships/hyperlink" Target="mailto:jjongmani@hotmail.com" TargetMode="External"/><Relationship Id="rId29" Type="http://schemas.openxmlformats.org/officeDocument/2006/relationships/hyperlink" Target="mailto:soosoodduk@daum.net" TargetMode="External"/><Relationship Id="rId1" Type="http://schemas.openxmlformats.org/officeDocument/2006/relationships/hyperlink" Target="mailto:kjwoon79@gmail.com" TargetMode="External"/><Relationship Id="rId6" Type="http://schemas.openxmlformats.org/officeDocument/2006/relationships/hyperlink" Target="mailto:hhphhp@naver.com" TargetMode="External"/><Relationship Id="rId11" Type="http://schemas.openxmlformats.org/officeDocument/2006/relationships/hyperlink" Target="mailto:doldolhkh555@hanmail.net" TargetMode="External"/><Relationship Id="rId24" Type="http://schemas.openxmlformats.org/officeDocument/2006/relationships/hyperlink" Target="mailto:jiyoungida@hotmail.com" TargetMode="External"/><Relationship Id="rId32" Type="http://schemas.openxmlformats.org/officeDocument/2006/relationships/hyperlink" Target="mailto:minuminu@hotmail.com" TargetMode="External"/><Relationship Id="rId5" Type="http://schemas.openxmlformats.org/officeDocument/2006/relationships/hyperlink" Target="mailto:ppororo2157@hanmail.net" TargetMode="External"/><Relationship Id="rId15" Type="http://schemas.openxmlformats.org/officeDocument/2006/relationships/hyperlink" Target="mailto:ddongyoon@hotmail.com" TargetMode="External"/><Relationship Id="rId23" Type="http://schemas.openxmlformats.org/officeDocument/2006/relationships/hyperlink" Target="mailto:yeslee84@naver.com" TargetMode="External"/><Relationship Id="rId28" Type="http://schemas.openxmlformats.org/officeDocument/2006/relationships/hyperlink" Target="mailto:soyoon1212@hanmail.ne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angjangjw@daum.net" TargetMode="External"/><Relationship Id="rId19" Type="http://schemas.openxmlformats.org/officeDocument/2006/relationships/hyperlink" Target="mailto:reuploadkim2@gmail.com" TargetMode="External"/><Relationship Id="rId31" Type="http://schemas.openxmlformats.org/officeDocument/2006/relationships/hyperlink" Target="mailto:tellhjtrue@naver.com" TargetMode="External"/><Relationship Id="rId4" Type="http://schemas.openxmlformats.org/officeDocument/2006/relationships/hyperlink" Target="mailto:kjw8855@hotmail.com" TargetMode="External"/><Relationship Id="rId9" Type="http://schemas.openxmlformats.org/officeDocument/2006/relationships/hyperlink" Target="mailto:teakjjingg@gmail.com" TargetMode="External"/><Relationship Id="rId14" Type="http://schemas.openxmlformats.org/officeDocument/2006/relationships/hyperlink" Target="mailto:sangayoe@naver.com" TargetMode="External"/><Relationship Id="rId22" Type="http://schemas.openxmlformats.org/officeDocument/2006/relationships/hyperlink" Target="mailto:eachother@hotmail.com" TargetMode="External"/><Relationship Id="rId27" Type="http://schemas.openxmlformats.org/officeDocument/2006/relationships/hyperlink" Target="mailto:thlee1985@gmail.com" TargetMode="External"/><Relationship Id="rId30" Type="http://schemas.openxmlformats.org/officeDocument/2006/relationships/hyperlink" Target="mailto:ksjung74@hotmail.net" TargetMode="External"/><Relationship Id="rId35" Type="http://schemas.openxmlformats.org/officeDocument/2006/relationships/hyperlink" Target="mailto:seaaaaaa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4E69-373E-44E8-BA18-CDB87EAB69E4}">
  <sheetPr>
    <pageSetUpPr fitToPage="1"/>
  </sheetPr>
  <dimension ref="A1:BA42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7.100000000000001" customHeight="1" outlineLevelRow="2" x14ac:dyDescent="0.3"/>
  <cols>
    <col min="1" max="1" width="15.625" style="2" customWidth="1"/>
    <col min="2" max="2" width="7.625" style="2" customWidth="1"/>
    <col min="3" max="3" width="8.75" style="2" hidden="1" customWidth="1"/>
    <col min="4" max="4" width="15.625" style="2" hidden="1" customWidth="1"/>
    <col min="5" max="5" width="10.625" style="2" hidden="1" customWidth="1"/>
    <col min="6" max="6" width="5.625" style="2" hidden="1" customWidth="1"/>
    <col min="7" max="9" width="3.625" style="2" hidden="1" customWidth="1"/>
    <col min="10" max="10" width="4.625" style="2" hidden="1" customWidth="1"/>
    <col min="11" max="11" width="6.625" style="2" hidden="1" customWidth="1"/>
    <col min="12" max="12" width="23.625" style="3" hidden="1" customWidth="1"/>
    <col min="13" max="13" width="13.625" style="5" hidden="1" customWidth="1"/>
    <col min="14" max="14" width="11.125" style="2" hidden="1" customWidth="1"/>
    <col min="15" max="18" width="3.625" style="2" customWidth="1"/>
    <col min="19" max="19" width="9" style="1" customWidth="1"/>
    <col min="20" max="20" width="4.625" style="2" hidden="1" customWidth="1"/>
    <col min="21" max="21" width="19" style="2" customWidth="1"/>
    <col min="22" max="22" width="8.625" style="1" customWidth="1"/>
    <col min="23" max="23" width="3.625" style="1" customWidth="1"/>
    <col min="24" max="24" width="10.625" style="1" hidden="1" customWidth="1"/>
    <col min="25" max="28" width="8.625" style="1" hidden="1" customWidth="1"/>
    <col min="29" max="29" width="3.625" style="1" hidden="1" customWidth="1"/>
    <col min="30" max="30" width="9.875" style="1" hidden="1" customWidth="1"/>
    <col min="31" max="31" width="3.625" style="1" hidden="1" customWidth="1"/>
    <col min="32" max="32" width="15.75" style="1" hidden="1" customWidth="1"/>
    <col min="33" max="40" width="9" style="1" hidden="1" customWidth="1"/>
    <col min="41" max="41" width="4.625" style="1" hidden="1" customWidth="1"/>
    <col min="42" max="43" width="9.625" style="1" hidden="1" customWidth="1"/>
    <col min="44" max="44" width="3.625" style="1" hidden="1" customWidth="1"/>
    <col min="45" max="45" width="4.625" style="1" hidden="1" customWidth="1"/>
    <col min="46" max="46" width="10.625" style="1" hidden="1" customWidth="1"/>
    <col min="47" max="48" width="8.625" style="1" hidden="1" customWidth="1"/>
    <col min="49" max="53" width="9" style="1" hidden="1" customWidth="1"/>
    <col min="54" max="16384" width="9" style="1"/>
  </cols>
  <sheetData>
    <row r="1" spans="1:52" ht="29.25" customHeight="1" thickTop="1" thickBot="1" x14ac:dyDescent="0.35">
      <c r="A1" s="107" t="s">
        <v>0</v>
      </c>
      <c r="B1" s="108" t="s">
        <v>1</v>
      </c>
      <c r="C1" s="108" t="s">
        <v>2</v>
      </c>
      <c r="D1" s="109" t="s">
        <v>168</v>
      </c>
      <c r="E1" s="108" t="s">
        <v>147</v>
      </c>
      <c r="F1" s="108" t="s">
        <v>148</v>
      </c>
      <c r="G1" s="108" t="s">
        <v>149</v>
      </c>
      <c r="H1" s="108" t="s">
        <v>150</v>
      </c>
      <c r="I1" s="109" t="s">
        <v>154</v>
      </c>
      <c r="J1" s="109" t="s">
        <v>157</v>
      </c>
      <c r="K1" s="109" t="s">
        <v>155</v>
      </c>
      <c r="L1" s="108" t="s">
        <v>3</v>
      </c>
      <c r="M1" s="108" t="s">
        <v>111</v>
      </c>
      <c r="N1" s="108" t="s">
        <v>4</v>
      </c>
      <c r="O1" s="109" t="s">
        <v>151</v>
      </c>
      <c r="P1" s="109" t="s">
        <v>207</v>
      </c>
      <c r="Q1" s="109" t="s">
        <v>152</v>
      </c>
      <c r="R1" s="109" t="s">
        <v>153</v>
      </c>
      <c r="S1" s="108" t="s">
        <v>5</v>
      </c>
      <c r="T1" s="110" t="s">
        <v>156</v>
      </c>
      <c r="U1" s="111" t="s">
        <v>166</v>
      </c>
      <c r="V1" s="112" t="s">
        <v>167</v>
      </c>
    </row>
    <row r="2" spans="1:52" ht="17.100000000000001" customHeight="1" outlineLevel="2" thickTop="1" thickBot="1" x14ac:dyDescent="0.35">
      <c r="A2" s="113" t="str">
        <f t="shared" ref="A2:A8" si="0">LEFT(L2, FIND("@",L2)-1) &amp; "-" &amp; RIGHT(M2, 4)</f>
        <v>rkatjddnr-7535</v>
      </c>
      <c r="B2" s="114" t="s">
        <v>15</v>
      </c>
      <c r="C2" s="115" t="s">
        <v>77</v>
      </c>
      <c r="D2" s="116" t="str">
        <f t="shared" ref="D2:D8" si="1">REPLACE(C2,9,,REPT("*",6))</f>
        <v>751109-1******</v>
      </c>
      <c r="E2" s="117">
        <f t="shared" ref="E2:E8" si="2">DATE(LEFT(C2,2), MID(C2,3,2), MID(C2,5,2))</f>
        <v>27707</v>
      </c>
      <c r="F2" s="116">
        <f t="shared" ref="F2:F8" si="3">YEAR(E2)</f>
        <v>1975</v>
      </c>
      <c r="G2" s="116">
        <f t="shared" ref="G2:G8" si="4">MONTH(E2)</f>
        <v>11</v>
      </c>
      <c r="H2" s="116">
        <f t="shared" ref="H2:H8" si="5">DAY(E2)</f>
        <v>9</v>
      </c>
      <c r="I2" s="116">
        <f t="shared" ref="I2:I8" ca="1" si="6">DATEDIF(E2, TODAY(), "Y")</f>
        <v>44</v>
      </c>
      <c r="J2" s="116" t="str">
        <f t="shared" ref="J2:J8" si="7">CHOOSE(RIGHT(C2,1), "남", "여", "남", "여")</f>
        <v>남</v>
      </c>
      <c r="K2" s="116">
        <f t="shared" ref="K2:K8" ca="1" si="8">DATEDIF(E2, TODAY(), "D")</f>
        <v>16105</v>
      </c>
      <c r="L2" s="118" t="s">
        <v>42</v>
      </c>
      <c r="M2" s="119" t="s">
        <v>113</v>
      </c>
      <c r="N2" s="120">
        <v>36214</v>
      </c>
      <c r="O2" s="116">
        <f t="shared" ref="O2:O8" ca="1" si="9">DATEDIF(N2, TODAY(), "Y")</f>
        <v>20</v>
      </c>
      <c r="P2" s="116">
        <v>20</v>
      </c>
      <c r="Q2" s="116">
        <f t="shared" ref="Q2:Q8" ca="1" si="10">DATEDIF(N2, TODAY(), "YM")</f>
        <v>9</v>
      </c>
      <c r="R2" s="116">
        <f t="shared" ref="R2:R8" ca="1" si="11">DATEDIF(N2, TODAY(), "MD")</f>
        <v>20</v>
      </c>
      <c r="S2" s="121">
        <v>250060</v>
      </c>
      <c r="T2" s="155" t="str">
        <f t="shared" ref="T2:T8" si="12">CHOOSE(WEEKDAY(E2), "일", "월", "화", "수", "목", "금", "토")</f>
        <v>일</v>
      </c>
      <c r="U2" s="157" t="str">
        <f>HLOOKUP(S2, 할인율!$C$1:$F$3,3,TRUE)</f>
        <v>PURE GOLD</v>
      </c>
      <c r="V2" s="122">
        <f>INDEX(할인율!$C$4:$F$11,MATCH(P2,할인율!$B$4:$B$11,1), MATCH(U2,할인율!$C$3:$F$3,0))</f>
        <v>0.23</v>
      </c>
      <c r="X2" s="9"/>
      <c r="Y2" s="10" t="s">
        <v>169</v>
      </c>
      <c r="Z2" s="11" t="s">
        <v>170</v>
      </c>
      <c r="AD2" s="25"/>
      <c r="AE2" s="26"/>
      <c r="AF2" s="11"/>
      <c r="AG2" s="10" t="s">
        <v>176</v>
      </c>
      <c r="AH2" s="26" t="s">
        <v>177</v>
      </c>
      <c r="AI2" s="26" t="s">
        <v>178</v>
      </c>
      <c r="AJ2" s="26" t="s">
        <v>179</v>
      </c>
      <c r="AK2" s="26" t="s">
        <v>180</v>
      </c>
      <c r="AL2" s="26" t="s">
        <v>181</v>
      </c>
      <c r="AM2" s="11" t="s">
        <v>182</v>
      </c>
      <c r="AO2" s="70"/>
      <c r="AP2" s="183" t="s">
        <v>192</v>
      </c>
      <c r="AQ2" s="185" t="s">
        <v>193</v>
      </c>
      <c r="AS2" s="78"/>
      <c r="AT2" s="52"/>
      <c r="AU2" s="51" t="s">
        <v>194</v>
      </c>
      <c r="AV2" s="11" t="s">
        <v>195</v>
      </c>
    </row>
    <row r="3" spans="1:52" ht="17.100000000000001" customHeight="1" outlineLevel="2" thickTop="1" thickBot="1" x14ac:dyDescent="0.35">
      <c r="A3" s="113" t="str">
        <f t="shared" si="0"/>
        <v>angelyu-9635</v>
      </c>
      <c r="B3" s="123" t="s">
        <v>21</v>
      </c>
      <c r="C3" s="124" t="s">
        <v>83</v>
      </c>
      <c r="D3" s="115" t="str">
        <f t="shared" si="1"/>
        <v>740914-2******</v>
      </c>
      <c r="E3" s="120">
        <f t="shared" si="2"/>
        <v>27286</v>
      </c>
      <c r="F3" s="115">
        <f t="shared" si="3"/>
        <v>1974</v>
      </c>
      <c r="G3" s="115">
        <f t="shared" si="4"/>
        <v>9</v>
      </c>
      <c r="H3" s="115">
        <f t="shared" si="5"/>
        <v>14</v>
      </c>
      <c r="I3" s="115">
        <f t="shared" ca="1" si="6"/>
        <v>45</v>
      </c>
      <c r="J3" s="124" t="str">
        <f t="shared" si="7"/>
        <v>여</v>
      </c>
      <c r="K3" s="115">
        <f t="shared" ca="1" si="8"/>
        <v>16526</v>
      </c>
      <c r="L3" s="125" t="s">
        <v>48</v>
      </c>
      <c r="M3" s="126" t="s">
        <v>119</v>
      </c>
      <c r="N3" s="113">
        <v>38731</v>
      </c>
      <c r="O3" s="115">
        <f t="shared" ca="1" si="9"/>
        <v>13</v>
      </c>
      <c r="P3" s="115">
        <v>13</v>
      </c>
      <c r="Q3" s="115">
        <f t="shared" ca="1" si="10"/>
        <v>10</v>
      </c>
      <c r="R3" s="115">
        <f t="shared" ca="1" si="11"/>
        <v>29</v>
      </c>
      <c r="S3" s="127">
        <v>270100</v>
      </c>
      <c r="T3" s="144" t="str">
        <f t="shared" si="12"/>
        <v>토</v>
      </c>
      <c r="U3" s="137" t="str">
        <f>HLOOKUP(S3, 할인율!$C$1:$F$3,3,TRUE)</f>
        <v>PURE GOLD</v>
      </c>
      <c r="V3" s="147">
        <f>INDEX(할인율!$C$4:$F$11,MATCH(P3,할인율!$B$4:$B$11,1), MATCH(U3,할인율!$C$3:$F$3,0))</f>
        <v>0.18</v>
      </c>
      <c r="X3" s="12">
        <v>20</v>
      </c>
      <c r="Y3" s="45">
        <f ca="1">COUNTIFS($I$2:$I$39,"&gt;="&amp;$X3,$I$2:$I$39,"&lt;"&amp;$X4, $J$2:$J$39,"="&amp;Y$2)</f>
        <v>1</v>
      </c>
      <c r="Z3" s="49">
        <f ca="1">COUNTIFS($I$2:$I$39,"&gt;="&amp;$X3,$I$2:$I$39,"&lt;"&amp;$X4, $J$2:$J$39,"="&amp;Z$2)</f>
        <v>0</v>
      </c>
      <c r="AD3" s="182" t="s">
        <v>171</v>
      </c>
      <c r="AE3" s="194" t="s">
        <v>169</v>
      </c>
      <c r="AF3" s="27" t="s">
        <v>183</v>
      </c>
      <c r="AG3" s="63">
        <f>COUNTIFS($U$2:$U$39,"="&amp;$AD$3,$J$2:$J$39,"="&amp;$AE3,$T$2:$T$39,"="&amp;AG$2)</f>
        <v>2</v>
      </c>
      <c r="AH3" s="47">
        <f>COUNTIFS($U$2:$U$39,"="&amp;$AD$3,$J$2:$J$39,"="&amp;$AE3,$T$2:$T$39,"="&amp;AH$2)</f>
        <v>0</v>
      </c>
      <c r="AI3" s="47">
        <f>COUNTIFS($U$2:$U$39,"="&amp;$AD$3,$J$2:$J$39,"="&amp;$AE3,$T$2:$T$39,"="&amp;AI$2)</f>
        <v>0</v>
      </c>
      <c r="AJ3" s="47">
        <f>COUNTIFS($U$2:$U$39,"="&amp;$AD$3,$J$2:$J$39,"="&amp;$AE3,$T$2:$T$39,"="&amp;AJ$2)</f>
        <v>0</v>
      </c>
      <c r="AK3" s="47">
        <f>COUNTIFS($U$2:$U$39,"="&amp;$AD$3,$J$2:$J$39,"="&amp;$AE3,$T$2:$T$39,"="&amp;AK$2)</f>
        <v>0</v>
      </c>
      <c r="AL3" s="47">
        <f>COUNTIFS($U$2:$U$39,"="&amp;$AD$3,$J$2:$J$39,"="&amp;$AE3,$T$2:$T$39,"="&amp;AL$2)</f>
        <v>1</v>
      </c>
      <c r="AM3" s="27">
        <f>COUNTIFS($U$2:$U$39,"="&amp;$AD$3,$J$2:$J$39,"="&amp;$AE3,$T$2:$T$39,"="&amp;AM$2)</f>
        <v>1</v>
      </c>
      <c r="AO3" s="71"/>
      <c r="AP3" s="184"/>
      <c r="AQ3" s="186"/>
      <c r="AS3" s="177" t="s">
        <v>190</v>
      </c>
      <c r="AT3" s="77" t="s">
        <v>203</v>
      </c>
      <c r="AU3" s="72">
        <f>_xlfn.MAXIFS($V$2:$V$39,$J$2:$J$39,"="&amp;$AS$3,$U$2:$U$39,"="&amp;$AT3)</f>
        <v>0.23</v>
      </c>
      <c r="AV3" s="73">
        <f>_xlfn.MINIFS($V$2:$V$39,$J$2:$J$39,"="&amp;$AS$3,$U$2:$U$39,"="&amp;$AT3)</f>
        <v>0.15</v>
      </c>
    </row>
    <row r="4" spans="1:52" ht="17.100000000000001" customHeight="1" outlineLevel="2" thickTop="1" x14ac:dyDescent="0.3">
      <c r="A4" s="113" t="str">
        <f t="shared" si="0"/>
        <v>jangjangjw-3152</v>
      </c>
      <c r="B4" s="123" t="s">
        <v>23</v>
      </c>
      <c r="C4" s="124" t="s">
        <v>85</v>
      </c>
      <c r="D4" s="115" t="str">
        <f t="shared" si="1"/>
        <v>701212-1******</v>
      </c>
      <c r="E4" s="120">
        <f t="shared" si="2"/>
        <v>25914</v>
      </c>
      <c r="F4" s="115">
        <f t="shared" si="3"/>
        <v>1970</v>
      </c>
      <c r="G4" s="115">
        <f t="shared" si="4"/>
        <v>12</v>
      </c>
      <c r="H4" s="115">
        <f t="shared" si="5"/>
        <v>12</v>
      </c>
      <c r="I4" s="115">
        <f t="shared" ca="1" si="6"/>
        <v>49</v>
      </c>
      <c r="J4" s="124" t="str">
        <f t="shared" si="7"/>
        <v>남</v>
      </c>
      <c r="K4" s="115">
        <f t="shared" ca="1" si="8"/>
        <v>17898</v>
      </c>
      <c r="L4" s="125" t="s">
        <v>50</v>
      </c>
      <c r="M4" s="126" t="s">
        <v>121</v>
      </c>
      <c r="N4" s="113">
        <v>41365</v>
      </c>
      <c r="O4" s="115">
        <f t="shared" ca="1" si="9"/>
        <v>6</v>
      </c>
      <c r="P4" s="115">
        <v>6</v>
      </c>
      <c r="Q4" s="115">
        <f t="shared" ca="1" si="10"/>
        <v>8</v>
      </c>
      <c r="R4" s="115">
        <f t="shared" ca="1" si="11"/>
        <v>12</v>
      </c>
      <c r="S4" s="127">
        <v>200500</v>
      </c>
      <c r="T4" s="144" t="str">
        <f t="shared" si="12"/>
        <v>토</v>
      </c>
      <c r="U4" s="137" t="str">
        <f>HLOOKUP(S4, 할인율!$C$1:$F$3,3,TRUE)</f>
        <v>PURE GOLD</v>
      </c>
      <c r="V4" s="147">
        <f>INDEX(할인율!$C$4:$F$11,MATCH(P4,할인율!$B$4:$B$11,1), MATCH(U4,할인율!$C$3:$F$3,0))</f>
        <v>0.15</v>
      </c>
      <c r="X4" s="13">
        <v>30</v>
      </c>
      <c r="Y4" s="24">
        <f ca="1">COUNTIFS($I$2:$I$39,"&gt;="&amp;$X4,$I$2:$I$39,"&lt;"&amp;$X5, $J$2:$J$39,"="&amp;Y$2)</f>
        <v>10</v>
      </c>
      <c r="Z4" s="14">
        <f ca="1">COUNTIFS($I$2:$I$39,"&gt;="&amp;$X4,$I$2:$I$39,"&lt;"&amp;$X5, $J$2:$J$39,"="&amp;Z$2)</f>
        <v>9</v>
      </c>
      <c r="AD4" s="175"/>
      <c r="AE4" s="195"/>
      <c r="AF4" s="28" t="s">
        <v>185</v>
      </c>
      <c r="AG4" s="60">
        <f>SUMIFS($S$2:$S$39,$U$2:$U$39,"="&amp;$AD$3,$J$2:$J$39,"="&amp;$AE3,$T$2:$T$39,"="&amp;AG$2)</f>
        <v>464060</v>
      </c>
      <c r="AH4" s="48">
        <f>SUMIFS($S$2:$S$39,$U$2:$U$39,"="&amp;$AD$3,$J$2:$J$39,"="&amp;$AE3,$T$2:$T$39,"="&amp;AH$2)</f>
        <v>0</v>
      </c>
      <c r="AI4" s="48">
        <f>SUMIFS($S$2:$S$39,$U$2:$U$39,"="&amp;$AD$3,$J$2:$J$39,"="&amp;$AE3,$T$2:$T$39,"="&amp;AI$2)</f>
        <v>0</v>
      </c>
      <c r="AJ4" s="48">
        <f>SUMIFS($S$2:$S$39,$U$2:$U$39,"="&amp;$AD$3,$J$2:$J$39,"="&amp;$AE3,$T$2:$T$39,"="&amp;AJ$2)</f>
        <v>0</v>
      </c>
      <c r="AK4" s="48">
        <f>SUMIFS($S$2:$S$39,$U$2:$U$39,"="&amp;$AD$3,$J$2:$J$39,"="&amp;$AE3,$T$2:$T$39,"="&amp;AK$2)</f>
        <v>0</v>
      </c>
      <c r="AL4" s="48">
        <f>SUMIFS($S$2:$S$39,$U$2:$U$39,"="&amp;$AD$3,$J$2:$J$39,"="&amp;$AE3,$T$2:$T$39,"="&amp;AL$2)</f>
        <v>224100</v>
      </c>
      <c r="AM4" s="29">
        <f>SUMIFS($S$2:$S$39,$U$2:$U$39,"="&amp;$AD$3,$J$2:$J$39,"="&amp;$AE3,$T$2:$T$39,"="&amp;AM$2)</f>
        <v>200500</v>
      </c>
      <c r="AO4" s="12" t="s">
        <v>190</v>
      </c>
      <c r="AP4" s="72">
        <f>_xlfn.MAXIFS($S$2:$S$39,$J$2:$J$39,"="&amp;$AO4)</f>
        <v>250060</v>
      </c>
      <c r="AQ4" s="73">
        <f>_xlfn.MINIFS($S$2:$S$39,$J$2:$J$39,"="&amp;$AO4)</f>
        <v>400</v>
      </c>
      <c r="AS4" s="178"/>
      <c r="AT4" s="75" t="s">
        <v>204</v>
      </c>
      <c r="AU4" s="72">
        <f>_xlfn.MAXIFS($V$2:$V$39,$J$2:$J$39,"="&amp;$AS$3,$U$2:$U$39,"="&amp;$AT4)</f>
        <v>0.18</v>
      </c>
      <c r="AV4" s="73">
        <f>_xlfn.MINIFS($V$2:$V$39,$J$2:$J$39,"="&amp;$AS$3,$U$2:$U$39,"="&amp;$AT4)</f>
        <v>0.12</v>
      </c>
    </row>
    <row r="5" spans="1:52" ht="17.100000000000001" customHeight="1" outlineLevel="2" thickBot="1" x14ac:dyDescent="0.35">
      <c r="A5" s="113" t="str">
        <f t="shared" si="0"/>
        <v>seosyjsh12-7941</v>
      </c>
      <c r="B5" s="123" t="s">
        <v>31</v>
      </c>
      <c r="C5" s="124" t="s">
        <v>93</v>
      </c>
      <c r="D5" s="115" t="str">
        <f t="shared" si="1"/>
        <v>821003-2******</v>
      </c>
      <c r="E5" s="120">
        <f t="shared" si="2"/>
        <v>30227</v>
      </c>
      <c r="F5" s="115">
        <f t="shared" si="3"/>
        <v>1982</v>
      </c>
      <c r="G5" s="115">
        <f t="shared" si="4"/>
        <v>10</v>
      </c>
      <c r="H5" s="115">
        <f t="shared" si="5"/>
        <v>3</v>
      </c>
      <c r="I5" s="115">
        <f t="shared" ca="1" si="6"/>
        <v>37</v>
      </c>
      <c r="J5" s="124" t="str">
        <f t="shared" si="7"/>
        <v>여</v>
      </c>
      <c r="K5" s="115">
        <f t="shared" ca="1" si="8"/>
        <v>13585</v>
      </c>
      <c r="L5" s="125" t="s">
        <v>58</v>
      </c>
      <c r="M5" s="126" t="s">
        <v>129</v>
      </c>
      <c r="N5" s="113">
        <v>40072</v>
      </c>
      <c r="O5" s="115">
        <f t="shared" ca="1" si="9"/>
        <v>10</v>
      </c>
      <c r="P5" s="115">
        <v>10</v>
      </c>
      <c r="Q5" s="115">
        <f t="shared" ca="1" si="10"/>
        <v>2</v>
      </c>
      <c r="R5" s="115">
        <f t="shared" ca="1" si="11"/>
        <v>27</v>
      </c>
      <c r="S5" s="127">
        <v>210300</v>
      </c>
      <c r="T5" s="139" t="str">
        <f t="shared" si="12"/>
        <v>일</v>
      </c>
      <c r="U5" s="137" t="str">
        <f>HLOOKUP(S5, 할인율!$C$1:$F$3,3,TRUE)</f>
        <v>PURE GOLD</v>
      </c>
      <c r="V5" s="147">
        <f>INDEX(할인율!$C$4:$F$11,MATCH(P5,할인율!$B$4:$B$11,1), MATCH(U5,할인율!$C$3:$F$3,0))</f>
        <v>0.18</v>
      </c>
      <c r="X5" s="15">
        <v>40</v>
      </c>
      <c r="Y5" s="20">
        <f ca="1">COUNTIFS($I$2:$I$39,"&gt;="&amp;$X5,$J$2:$J$39,"="&amp;Y$2)</f>
        <v>8</v>
      </c>
      <c r="Z5" s="43">
        <f ca="1">COUNTIFS($I$2:$I$39,"&gt;="&amp;$X5,$J$2:$J$39,"="&amp;Z$2)</f>
        <v>7</v>
      </c>
      <c r="AD5" s="175"/>
      <c r="AE5" s="196"/>
      <c r="AF5" s="30" t="s">
        <v>186</v>
      </c>
      <c r="AG5" s="64">
        <f>IFERROR(ROUND(AVERAGEIFS($V$2:$V$39,$U$2:$U$39,"="&amp;$AD$3,$J$2:$J$39,"="&amp;$AE3,$T$2:$T$39,"="&amp;AG$2),2),"-")</f>
        <v>0.21</v>
      </c>
      <c r="AH5" s="31" t="str">
        <f>IFERROR(ROUND(AVERAGEIFS($V$2:$V$39,$U$2:$U$39,"="&amp;$AD$3,$J$2:$J$39,"="&amp;$AE3,$T$2:$T$39,"="&amp;AH$2),2),"-")</f>
        <v>-</v>
      </c>
      <c r="AI5" s="31" t="str">
        <f>IFERROR(ROUND(AVERAGEIFS($V$2:$V$39,$U$2:$U$39,"="&amp;$AD$3,$J$2:$J$39,"="&amp;$AE3,$T$2:$T$39,"="&amp;AI$2),2),"-")</f>
        <v>-</v>
      </c>
      <c r="AJ5" s="31" t="str">
        <f>IFERROR(ROUND(AVERAGEIFS($V$2:$V$39,$U$2:$U$39,"="&amp;$AD$3,$J$2:$J$39,"="&amp;$AE3,$T$2:$T$39,"="&amp;AJ$2),2),"-")</f>
        <v>-</v>
      </c>
      <c r="AK5" s="31" t="str">
        <f>IFERROR(ROUND(AVERAGEIFS($V$2:$V$39,$U$2:$U$39,"="&amp;$AD$3,$J$2:$J$39,"="&amp;$AE3,$T$2:$T$39,"="&amp;AK$2),2),"-")</f>
        <v>-</v>
      </c>
      <c r="AL5" s="31">
        <f>IFERROR(ROUND(AVERAGEIFS($V$2:$V$39,$U$2:$U$39,"="&amp;$AD$3,$J$2:$J$39,"="&amp;$AE3,$T$2:$T$39,"="&amp;AL$2),2),"-")</f>
        <v>0.2</v>
      </c>
      <c r="AM5" s="32">
        <f>IFERROR(ROUND(AVERAGEIFS($V$2:$V$39,$U$2:$U$39,"="&amp;$AD$3,$J$2:$J$39,"="&amp;$AE3,$T$2:$T$39,"="&amp;AM$2),2),"-")</f>
        <v>0.15</v>
      </c>
      <c r="AO5" s="15" t="s">
        <v>191</v>
      </c>
      <c r="AP5" s="20">
        <f>_xlfn.MAXIFS($S$2:$S$39,$J$2:$J$39,"="&amp;$AO5)</f>
        <v>270100</v>
      </c>
      <c r="AQ5" s="66">
        <f>_xlfn.MINIFS($S$2:$S$39,$J$2:$J$39,"="&amp;$AO5)</f>
        <v>2400</v>
      </c>
      <c r="AS5" s="178"/>
      <c r="AT5" s="75" t="s">
        <v>205</v>
      </c>
      <c r="AU5" s="72">
        <f>_xlfn.MAXIFS($V$2:$V$39,$J$2:$J$39,"="&amp;$AS$3,$U$2:$U$39,"="&amp;$AT5)</f>
        <v>0.13</v>
      </c>
      <c r="AV5" s="73">
        <f>_xlfn.MINIFS($V$2:$V$39,$J$2:$J$39,"="&amp;$AS$3,$U$2:$U$39,"="&amp;$AT5)</f>
        <v>0.03</v>
      </c>
    </row>
    <row r="6" spans="1:52" ht="17.100000000000001" customHeight="1" outlineLevel="2" thickTop="1" thickBot="1" x14ac:dyDescent="0.35">
      <c r="A6" s="113" t="str">
        <f t="shared" si="0"/>
        <v>soosoodduk-1496</v>
      </c>
      <c r="B6" s="123" t="s">
        <v>39</v>
      </c>
      <c r="C6" s="124" t="s">
        <v>104</v>
      </c>
      <c r="D6" s="115" t="str">
        <f t="shared" si="1"/>
        <v>810308-1******</v>
      </c>
      <c r="E6" s="120">
        <f t="shared" si="2"/>
        <v>29653</v>
      </c>
      <c r="F6" s="115">
        <f t="shared" si="3"/>
        <v>1981</v>
      </c>
      <c r="G6" s="115">
        <f t="shared" si="4"/>
        <v>3</v>
      </c>
      <c r="H6" s="115">
        <f t="shared" si="5"/>
        <v>8</v>
      </c>
      <c r="I6" s="115">
        <f t="shared" ca="1" si="6"/>
        <v>38</v>
      </c>
      <c r="J6" s="124" t="str">
        <f t="shared" si="7"/>
        <v>남</v>
      </c>
      <c r="K6" s="115">
        <f t="shared" ca="1" si="8"/>
        <v>14159</v>
      </c>
      <c r="L6" s="125" t="s">
        <v>69</v>
      </c>
      <c r="M6" s="126" t="s">
        <v>140</v>
      </c>
      <c r="N6" s="113">
        <v>39282</v>
      </c>
      <c r="O6" s="115">
        <f t="shared" ca="1" si="9"/>
        <v>12</v>
      </c>
      <c r="P6" s="115">
        <v>12</v>
      </c>
      <c r="Q6" s="115">
        <f t="shared" ca="1" si="10"/>
        <v>4</v>
      </c>
      <c r="R6" s="115">
        <f t="shared" ca="1" si="11"/>
        <v>24</v>
      </c>
      <c r="S6" s="127">
        <v>214000</v>
      </c>
      <c r="T6" s="139" t="str">
        <f t="shared" si="12"/>
        <v>일</v>
      </c>
      <c r="U6" s="137" t="str">
        <f>HLOOKUP(S6, 할인율!$C$1:$F$3,3,TRUE)</f>
        <v>PURE GOLD</v>
      </c>
      <c r="V6" s="147">
        <f>INDEX(할인율!$C$4:$F$11,MATCH(P6,할인율!$B$4:$B$11,1), MATCH(U6,할인율!$C$3:$F$3,0))</f>
        <v>0.18</v>
      </c>
      <c r="AD6" s="175"/>
      <c r="AE6" s="197" t="s">
        <v>170</v>
      </c>
      <c r="AF6" s="33" t="s">
        <v>183</v>
      </c>
      <c r="AG6" s="59">
        <f>COUNTIFS($U$2:$U$39,"="&amp;$AD$3,$J$2:$J$39,"="&amp;$AE6,$T$2:$T$39,"="&amp;AG$2)</f>
        <v>1</v>
      </c>
      <c r="AH6" s="34">
        <f>COUNTIFS($U$2:$U$39,"="&amp;$AD$3,$J$2:$J$39,"="&amp;$AE6,$T$2:$T$39,"="&amp;AH$2)</f>
        <v>0</v>
      </c>
      <c r="AI6" s="34">
        <f>COUNTIFS($U$2:$U$39,"="&amp;$AD$3,$J$2:$J$39,"="&amp;$AE6,$T$2:$T$39,"="&amp;AI$2)</f>
        <v>0</v>
      </c>
      <c r="AJ6" s="34">
        <f>COUNTIFS($U$2:$U$39,"="&amp;$AD$3,$J$2:$J$39,"="&amp;$AE6,$T$2:$T$39,"="&amp;AJ$2)</f>
        <v>0</v>
      </c>
      <c r="AK6" s="34">
        <f>COUNTIFS($U$2:$U$39,"="&amp;$AD$3,$J$2:$J$39,"="&amp;$AE6,$T$2:$T$39,"="&amp;AK$2)</f>
        <v>0</v>
      </c>
      <c r="AL6" s="34">
        <f>COUNTIFS($U$2:$U$39,"="&amp;$AD$3,$J$2:$J$39,"="&amp;$AE6,$T$2:$T$39,"="&amp;AL$2)</f>
        <v>1</v>
      </c>
      <c r="AM6" s="33">
        <f>COUNTIFS($U$2:$U$39,"="&amp;$AD$3,$J$2:$J$39,"="&amp;$AE6,$T$2:$T$39,"="&amp;AM$2)</f>
        <v>1</v>
      </c>
      <c r="AS6" s="179"/>
      <c r="AT6" s="79" t="s">
        <v>206</v>
      </c>
      <c r="AU6" s="96">
        <f>_xlfn.MAXIFS($V$2:$V$39,$J$2:$J$39,"="&amp;$AS$3,$U$2:$U$39,"="&amp;$AT6)</f>
        <v>0</v>
      </c>
      <c r="AV6" s="97">
        <f>_xlfn.MINIFS($V$2:$V$39,$J$2:$J$39,"="&amp;$AS$3,$U$2:$U$39,"="&amp;$AT6)</f>
        <v>0</v>
      </c>
    </row>
    <row r="7" spans="1:52" ht="17.100000000000001" customHeight="1" outlineLevel="2" thickTop="1" thickBot="1" x14ac:dyDescent="0.35">
      <c r="A7" s="113" t="str">
        <f t="shared" si="0"/>
        <v>ksjung74-7659</v>
      </c>
      <c r="B7" s="123" t="s">
        <v>10</v>
      </c>
      <c r="C7" s="124" t="s">
        <v>107</v>
      </c>
      <c r="D7" s="115" t="str">
        <f t="shared" si="1"/>
        <v>740201-1******</v>
      </c>
      <c r="E7" s="120">
        <f t="shared" si="2"/>
        <v>27061</v>
      </c>
      <c r="F7" s="115">
        <f t="shared" si="3"/>
        <v>1974</v>
      </c>
      <c r="G7" s="115">
        <f t="shared" si="4"/>
        <v>2</v>
      </c>
      <c r="H7" s="115">
        <f t="shared" si="5"/>
        <v>1</v>
      </c>
      <c r="I7" s="115">
        <f t="shared" ca="1" si="6"/>
        <v>45</v>
      </c>
      <c r="J7" s="124" t="str">
        <f t="shared" si="7"/>
        <v>남</v>
      </c>
      <c r="K7" s="115">
        <f t="shared" ca="1" si="8"/>
        <v>16751</v>
      </c>
      <c r="L7" s="125" t="s">
        <v>70</v>
      </c>
      <c r="M7" s="126" t="s">
        <v>141</v>
      </c>
      <c r="N7" s="113">
        <v>36920</v>
      </c>
      <c r="O7" s="115">
        <f t="shared" ca="1" si="9"/>
        <v>18</v>
      </c>
      <c r="P7" s="115">
        <v>18</v>
      </c>
      <c r="Q7" s="115">
        <f t="shared" ca="1" si="10"/>
        <v>10</v>
      </c>
      <c r="R7" s="115">
        <f t="shared" ca="1" si="11"/>
        <v>14</v>
      </c>
      <c r="S7" s="127">
        <v>224100</v>
      </c>
      <c r="T7" s="143" t="str">
        <f t="shared" si="12"/>
        <v>금</v>
      </c>
      <c r="U7" s="137" t="str">
        <f>HLOOKUP(S7, 할인율!$C$1:$F$3,3,TRUE)</f>
        <v>PURE GOLD</v>
      </c>
      <c r="V7" s="147">
        <f>INDEX(할인율!$C$4:$F$11,MATCH(P7,할인율!$B$4:$B$11,1), MATCH(U7,할인율!$C$3:$F$3,0))</f>
        <v>0.2</v>
      </c>
      <c r="X7" s="18"/>
      <c r="Y7" s="190" t="s">
        <v>169</v>
      </c>
      <c r="Z7" s="191"/>
      <c r="AA7" s="192" t="s">
        <v>170</v>
      </c>
      <c r="AB7" s="193"/>
      <c r="AD7" s="175"/>
      <c r="AE7" s="198"/>
      <c r="AF7" s="28" t="s">
        <v>185</v>
      </c>
      <c r="AG7" s="60">
        <f>SUMIFS($S$2:$S$39,$U$2:$U$39,"="&amp;$AD$3,$J$2:$J$39,"="&amp;$AE6,$T$2:$T$39,"="&amp;AG$2)</f>
        <v>210300</v>
      </c>
      <c r="AH7" s="48">
        <f>SUMIFS($S$2:$S$39,$U$2:$U$39,"="&amp;$AD$3,$J$2:$J$39,"="&amp;$AE6,$T$2:$T$39,"="&amp;AH$2)</f>
        <v>0</v>
      </c>
      <c r="AI7" s="48">
        <f>SUMIFS($S$2:$S$39,$U$2:$U$39,"="&amp;$AD$3,$J$2:$J$39,"="&amp;$AE6,$T$2:$T$39,"="&amp;AI$2)</f>
        <v>0</v>
      </c>
      <c r="AJ7" s="48">
        <f>SUMIFS($S$2:$S$39,$U$2:$U$39,"="&amp;$AD$3,$J$2:$J$39,"="&amp;$AE6,$T$2:$T$39,"="&amp;AJ$2)</f>
        <v>0</v>
      </c>
      <c r="AK7" s="48">
        <f>SUMIFS($S$2:$S$39,$U$2:$U$39,"="&amp;$AD$3,$J$2:$J$39,"="&amp;$AE6,$T$2:$T$39,"="&amp;AK$2)</f>
        <v>0</v>
      </c>
      <c r="AL7" s="48">
        <f>SUMIFS($S$2:$S$39,$U$2:$U$39,"="&amp;$AD$3,$J$2:$J$39,"="&amp;$AE6,$T$2:$T$39,"="&amp;AL$2)</f>
        <v>221000</v>
      </c>
      <c r="AM7" s="29">
        <f>SUMIFS($S$2:$S$39,$U$2:$U$39,"="&amp;$AD$3,$J$2:$J$39,"="&amp;$AE6,$T$2:$T$39,"="&amp;AM$2)</f>
        <v>270100</v>
      </c>
      <c r="AO7" s="9"/>
      <c r="AP7" s="74" t="s">
        <v>194</v>
      </c>
      <c r="AQ7" s="11" t="s">
        <v>195</v>
      </c>
      <c r="AS7" s="180" t="s">
        <v>191</v>
      </c>
      <c r="AT7" s="77" t="s">
        <v>203</v>
      </c>
      <c r="AU7" s="98">
        <f>_xlfn.MAXIFS($V$2:$V$39,$J$2:$J$39,"="&amp;$AS$7,$U$2:$U$39,"="&amp;$AT7)</f>
        <v>0.2</v>
      </c>
      <c r="AV7" s="88">
        <f>_xlfn.MINIFS($V$2:$V$39,$J$2:$J$39,"="&amp;$AS$7,$U$2:$U$39,"="&amp;$AT7)</f>
        <v>0.18</v>
      </c>
    </row>
    <row r="8" spans="1:52" ht="17.100000000000001" customHeight="1" outlineLevel="2" thickTop="1" thickBot="1" x14ac:dyDescent="0.35">
      <c r="A8" s="113" t="str">
        <f t="shared" si="0"/>
        <v>ssossok914-2579</v>
      </c>
      <c r="B8" s="123" t="s">
        <v>13</v>
      </c>
      <c r="C8" s="124" t="s">
        <v>109</v>
      </c>
      <c r="D8" s="115" t="str">
        <f t="shared" si="1"/>
        <v>791019-2******</v>
      </c>
      <c r="E8" s="120">
        <f t="shared" si="2"/>
        <v>29147</v>
      </c>
      <c r="F8" s="115">
        <f t="shared" si="3"/>
        <v>1979</v>
      </c>
      <c r="G8" s="115">
        <f t="shared" si="4"/>
        <v>10</v>
      </c>
      <c r="H8" s="115">
        <f t="shared" si="5"/>
        <v>19</v>
      </c>
      <c r="I8" s="115">
        <f t="shared" ca="1" si="6"/>
        <v>40</v>
      </c>
      <c r="J8" s="124" t="str">
        <f t="shared" si="7"/>
        <v>여</v>
      </c>
      <c r="K8" s="115">
        <f t="shared" ca="1" si="8"/>
        <v>14665</v>
      </c>
      <c r="L8" s="125" t="s">
        <v>74</v>
      </c>
      <c r="M8" s="126" t="s">
        <v>145</v>
      </c>
      <c r="N8" s="113">
        <v>37832</v>
      </c>
      <c r="O8" s="115">
        <f t="shared" ca="1" si="9"/>
        <v>16</v>
      </c>
      <c r="P8" s="115">
        <v>16</v>
      </c>
      <c r="Q8" s="115">
        <f t="shared" ca="1" si="10"/>
        <v>4</v>
      </c>
      <c r="R8" s="115">
        <f t="shared" ca="1" si="11"/>
        <v>13</v>
      </c>
      <c r="S8" s="127">
        <v>221000</v>
      </c>
      <c r="T8" s="143" t="str">
        <f t="shared" si="12"/>
        <v>금</v>
      </c>
      <c r="U8" s="137" t="str">
        <f>HLOOKUP(S8, 할인율!$C$1:$F$3,3,TRUE)</f>
        <v>PURE GOLD</v>
      </c>
      <c r="V8" s="147">
        <f>INDEX(할인율!$C$4:$F$11,MATCH(P8,할인율!$B$4:$B$11,1), MATCH(U8,할인율!$C$3:$F$3,0))</f>
        <v>0.2</v>
      </c>
      <c r="X8" s="19"/>
      <c r="Y8" s="20" t="s">
        <v>174</v>
      </c>
      <c r="Z8" s="21" t="s">
        <v>175</v>
      </c>
      <c r="AA8" s="16" t="s">
        <v>174</v>
      </c>
      <c r="AB8" s="17" t="s">
        <v>175</v>
      </c>
      <c r="AD8" s="175"/>
      <c r="AE8" s="198"/>
      <c r="AF8" s="35" t="s">
        <v>186</v>
      </c>
      <c r="AG8" s="61">
        <f>IFERROR(ROUND(AVERAGEIFS($V$2:$V$39,$U$2:$U$39,"="&amp;$AD$3,$J$2:$J$39,"="&amp;$AE6,$T$2:$T$39,"="&amp;AG$2),2),"-")</f>
        <v>0.18</v>
      </c>
      <c r="AH8" s="36" t="str">
        <f>IFERROR(ROUND(AVERAGEIFS($V$2:$V$39,$U$2:$U$39,"="&amp;$AD$3,$J$2:$J$39,"="&amp;$AE6,$T$2:$T$39,"="&amp;AH$2),2),"-")</f>
        <v>-</v>
      </c>
      <c r="AI8" s="36" t="str">
        <f>IFERROR(ROUND(AVERAGEIFS($V$2:$V$39,$U$2:$U$39,"="&amp;$AD$3,$J$2:$J$39,"="&amp;$AE6,$T$2:$T$39,"="&amp;AI$2),2),"-")</f>
        <v>-</v>
      </c>
      <c r="AJ8" s="36" t="str">
        <f>IFERROR(ROUND(AVERAGEIFS($V$2:$V$39,$U$2:$U$39,"="&amp;$AD$3,$J$2:$J$39,"="&amp;$AE6,$T$2:$T$39,"="&amp;AJ$2),2),"-")</f>
        <v>-</v>
      </c>
      <c r="AK8" s="36" t="str">
        <f>IFERROR(ROUND(AVERAGEIFS($V$2:$V$39,$U$2:$U$39,"="&amp;$AD$3,$J$2:$J$39,"="&amp;$AE6,$T$2:$T$39,"="&amp;AK$2),2),"-")</f>
        <v>-</v>
      </c>
      <c r="AL8" s="36">
        <f>IFERROR(ROUND(AVERAGEIFS($V$2:$V$39,$U$2:$U$39,"="&amp;$AD$3,$J$2:$J$39,"="&amp;$AE6,$T$2:$T$39,"="&amp;AL$2),2),"-")</f>
        <v>0.2</v>
      </c>
      <c r="AM8" s="37">
        <f>IFERROR(ROUND(AVERAGEIFS($V$2:$V$39,$U$2:$U$39,"="&amp;$AD$3,$J$2:$J$39,"="&amp;$AE6,$T$2:$T$39,"="&amp;AM$2),2),"-")</f>
        <v>0.18</v>
      </c>
      <c r="AO8" s="12" t="s">
        <v>196</v>
      </c>
      <c r="AP8" s="45">
        <f>_xlfn.MAXIFS($V$2:$V$39,$T$2:$T$39, "="&amp;$AO8)</f>
        <v>0.23</v>
      </c>
      <c r="AQ8" s="83">
        <f>_xlfn.MINIFS($V$2:$V$39,$T$2:$T$39, "="&amp;$AO8)</f>
        <v>0</v>
      </c>
      <c r="AS8" s="178"/>
      <c r="AT8" s="75" t="s">
        <v>204</v>
      </c>
      <c r="AU8" s="89">
        <f>_xlfn.MAXIFS($V$2:$V$39,$J$2:$J$39,"="&amp;$AS$7,$U$2:$U$39,"="&amp;$AT8)</f>
        <v>0.15</v>
      </c>
      <c r="AV8" s="73">
        <f>_xlfn.MINIFS($V$2:$V$39,$J$2:$J$39,"="&amp;$AS$7,$U$2:$U$39,"="&amp;$AT8)</f>
        <v>0.1</v>
      </c>
    </row>
    <row r="9" spans="1:52" ht="17.100000000000001" customHeight="1" outlineLevel="1" thickTop="1" thickBot="1" x14ac:dyDescent="0.35">
      <c r="A9" s="113"/>
      <c r="B9" s="123"/>
      <c r="C9" s="124"/>
      <c r="D9" s="115"/>
      <c r="E9" s="120"/>
      <c r="F9" s="115"/>
      <c r="G9" s="115"/>
      <c r="H9" s="115"/>
      <c r="I9" s="115"/>
      <c r="J9" s="124"/>
      <c r="K9" s="115"/>
      <c r="L9" s="125"/>
      <c r="M9" s="126"/>
      <c r="N9" s="113"/>
      <c r="O9" s="115"/>
      <c r="P9" s="115">
        <f>SUBTOTAL(1,P2:P8)</f>
        <v>13.571428571428571</v>
      </c>
      <c r="Q9" s="115"/>
      <c r="R9" s="115"/>
      <c r="S9" s="127">
        <f>SUBTOTAL(1,S2:S8)</f>
        <v>227151.42857142858</v>
      </c>
      <c r="T9" s="143"/>
      <c r="U9" s="162" t="s">
        <v>208</v>
      </c>
      <c r="V9" s="147">
        <f>SUBTOTAL(1,V2:V8)</f>
        <v>0.18857142857142856</v>
      </c>
      <c r="X9" s="159"/>
      <c r="Y9" s="154"/>
      <c r="Z9" s="160"/>
      <c r="AA9" s="96"/>
      <c r="AB9" s="97"/>
      <c r="AD9" s="154"/>
      <c r="AE9" s="153"/>
      <c r="AF9" s="161"/>
      <c r="AG9" s="154"/>
      <c r="AH9" s="153"/>
      <c r="AI9" s="153"/>
      <c r="AJ9" s="153"/>
      <c r="AK9" s="153"/>
      <c r="AL9" s="153"/>
      <c r="AM9" s="97"/>
      <c r="AO9" s="12"/>
      <c r="AP9" s="89"/>
      <c r="AQ9" s="73"/>
      <c r="AS9" s="178"/>
      <c r="AT9" s="75"/>
      <c r="AU9" s="89"/>
      <c r="AV9" s="73"/>
    </row>
    <row r="10" spans="1:52" ht="17.100000000000001" customHeight="1" outlineLevel="2" thickTop="1" x14ac:dyDescent="0.3">
      <c r="A10" s="113" t="str">
        <f t="shared" ref="A10:A19" si="13">LEFT(L10, FIND("@",L10)-1) &amp; "-" &amp; RIGHT(M10, 4)</f>
        <v>scforever88-1599</v>
      </c>
      <c r="B10" s="123" t="s">
        <v>25</v>
      </c>
      <c r="C10" s="124" t="s">
        <v>87</v>
      </c>
      <c r="D10" s="115" t="str">
        <f t="shared" ref="D10:D19" si="14">REPLACE(C10,9,,REPT("*",6))</f>
        <v>880202-2******</v>
      </c>
      <c r="E10" s="120">
        <f t="shared" ref="E10:E19" si="15">DATE(LEFT(C10,2), MID(C10,3,2), MID(C10,5,2))</f>
        <v>32175</v>
      </c>
      <c r="F10" s="115">
        <f t="shared" ref="F10:F19" si="16">YEAR(E10)</f>
        <v>1988</v>
      </c>
      <c r="G10" s="115">
        <f t="shared" ref="G10:G19" si="17">MONTH(E10)</f>
        <v>2</v>
      </c>
      <c r="H10" s="115">
        <f t="shared" ref="H10:H19" si="18">DAY(E10)</f>
        <v>2</v>
      </c>
      <c r="I10" s="115">
        <f t="shared" ref="I10:I19" ca="1" si="19">DATEDIF(E10, TODAY(), "Y")</f>
        <v>31</v>
      </c>
      <c r="J10" s="124" t="str">
        <f t="shared" ref="J10:J19" si="20">CHOOSE(RIGHT(C10,1), "남", "여", "남", "여")</f>
        <v>여</v>
      </c>
      <c r="K10" s="115">
        <f t="shared" ref="K10:K19" ca="1" si="21">DATEDIF(E10, TODAY(), "D")</f>
        <v>11637</v>
      </c>
      <c r="L10" s="125" t="s">
        <v>52</v>
      </c>
      <c r="M10" s="126" t="s">
        <v>123</v>
      </c>
      <c r="N10" s="113">
        <v>39676</v>
      </c>
      <c r="O10" s="115">
        <f t="shared" ref="O10:O19" ca="1" si="22">DATEDIF(N10, TODAY(), "Y")</f>
        <v>11</v>
      </c>
      <c r="P10" s="115">
        <v>11</v>
      </c>
      <c r="Q10" s="115">
        <f t="shared" ref="Q10:Q19" ca="1" si="23">DATEDIF(N10, TODAY(), "YM")</f>
        <v>3</v>
      </c>
      <c r="R10" s="115">
        <f t="shared" ref="R10:R19" ca="1" si="24">DATEDIF(N10, TODAY(), "MD")</f>
        <v>27</v>
      </c>
      <c r="S10" s="127">
        <v>46000</v>
      </c>
      <c r="T10" s="141" t="str">
        <f t="shared" ref="T10:T19" si="25">CHOOSE(WEEKDAY(E10), "일", "월", "화", "수", "목", "금", "토")</f>
        <v>화</v>
      </c>
      <c r="U10" s="145" t="str">
        <f>HLOOKUP(S10, 할인율!$C$1:$F$3,3,TRUE)</f>
        <v>SILVER</v>
      </c>
      <c r="V10" s="147">
        <f>INDEX(할인율!$C$4:$F$11,MATCH(P10,할인율!$B$4:$B$11,1), MATCH(U10,할인율!$C$3:$F$3,0))</f>
        <v>0.1</v>
      </c>
      <c r="X10" s="22" t="s">
        <v>171</v>
      </c>
      <c r="Y10" s="45">
        <f>SUMIFS($S$2:$S$39,$U$2:$U$39,"="&amp;$X10,$J$2:$J$39,"="&amp;Y$7)</f>
        <v>888660</v>
      </c>
      <c r="Z10" s="53">
        <f>IFERROR(ROUND(AVERAGEIFS($V$2:$V$39,$U$2:$U$39,"="&amp;$X10,$J$2:$J$39,"="&amp;Y$7),2),"-")</f>
        <v>0.19</v>
      </c>
      <c r="AA10" s="56">
        <f>SUMIFS($S$2:$S$39,$U$2:$U$39,"="&amp;$X10,$J$2:$J$39,"="&amp;AA$7)</f>
        <v>701400</v>
      </c>
      <c r="AB10" s="49">
        <f>IFERROR(ROUND(AVERAGEIFS($V$2:$V$39,$U$2:$U$39,"="&amp;$X10,$J$2:$J$39,"="&amp;AA$7),2),"-")</f>
        <v>0.19</v>
      </c>
      <c r="AD10" s="173" t="s">
        <v>172</v>
      </c>
      <c r="AE10" s="199" t="s">
        <v>169</v>
      </c>
      <c r="AF10" s="38" t="s">
        <v>183</v>
      </c>
      <c r="AG10" s="65">
        <f>COUNTIFS($U$2:$U$39,"="&amp;$AD$10,$J$2:$J$39,"="&amp;$AE10,$T$2:$T$39,"="&amp;AG$2)</f>
        <v>0</v>
      </c>
      <c r="AH10" s="39">
        <f>COUNTIFS($U$2:$U$39,"="&amp;$AD$10,$J$2:$J$39,"="&amp;$AE10,$T$2:$T$39,"="&amp;AH$2)</f>
        <v>1</v>
      </c>
      <c r="AI10" s="39">
        <f>COUNTIFS($U$2:$U$39,"="&amp;$AD$10,$J$2:$J$39,"="&amp;$AE10,$T$2:$T$39,"="&amp;AI$2)</f>
        <v>2</v>
      </c>
      <c r="AJ10" s="39">
        <f>COUNTIFS($U$2:$U$39,"="&amp;$AD$10,$J$2:$J$39,"="&amp;$AE10,$T$2:$T$39,"="&amp;AJ$2)</f>
        <v>1</v>
      </c>
      <c r="AK10" s="39">
        <f>COUNTIFS($U$2:$U$39,"="&amp;$AD$10,$J$2:$J$39,"="&amp;$AE10,$T$2:$T$39,"="&amp;AK$2)</f>
        <v>1</v>
      </c>
      <c r="AL10" s="39">
        <f>COUNTIFS($U$2:$U$39,"="&amp;$AD$10,$J$2:$J$39,"="&amp;$AE10,$T$2:$T$39,"="&amp;AL$2)</f>
        <v>1</v>
      </c>
      <c r="AM10" s="38">
        <f>COUNTIFS($U$2:$U$39,"="&amp;$AD$10,$J$2:$J$39,"="&amp;$AE10,$T$2:$T$39,"="&amp;AM$2)</f>
        <v>1</v>
      </c>
      <c r="AO10" s="13" t="s">
        <v>197</v>
      </c>
      <c r="AP10" s="89">
        <f>_xlfn.MAXIFS($V$2:$V$39,$T$2:$T$39, "="&amp;$AO10)</f>
        <v>0.12</v>
      </c>
      <c r="AQ10" s="73">
        <f>_xlfn.MINIFS($V$2:$V$39,$T$2:$T$39, "="&amp;$AO10)</f>
        <v>0.04</v>
      </c>
      <c r="AS10" s="178"/>
      <c r="AT10" s="75" t="s">
        <v>205</v>
      </c>
      <c r="AU10" s="89">
        <f>_xlfn.MAXIFS($V$2:$V$39,$J$2:$J$39,"="&amp;$AS$7,$U$2:$U$39,"="&amp;$AT10)</f>
        <v>0.1</v>
      </c>
      <c r="AV10" s="73">
        <f>_xlfn.MINIFS($V$2:$V$39,$J$2:$J$39,"="&amp;$AS$7,$U$2:$U$39,"="&amp;$AT10)</f>
        <v>0.05</v>
      </c>
    </row>
    <row r="11" spans="1:52" ht="17.100000000000001" customHeight="1" outlineLevel="2" thickBot="1" x14ac:dyDescent="0.35">
      <c r="A11" s="113" t="str">
        <f t="shared" si="13"/>
        <v>wtgwd102-9985</v>
      </c>
      <c r="B11" s="123" t="s">
        <v>26</v>
      </c>
      <c r="C11" s="124" t="s">
        <v>88</v>
      </c>
      <c r="D11" s="115" t="str">
        <f t="shared" si="14"/>
        <v>730628-1******</v>
      </c>
      <c r="E11" s="120">
        <f t="shared" si="15"/>
        <v>26843</v>
      </c>
      <c r="F11" s="115">
        <f t="shared" si="16"/>
        <v>1973</v>
      </c>
      <c r="G11" s="115">
        <f t="shared" si="17"/>
        <v>6</v>
      </c>
      <c r="H11" s="115">
        <f t="shared" si="18"/>
        <v>28</v>
      </c>
      <c r="I11" s="115">
        <f t="shared" ca="1" si="19"/>
        <v>46</v>
      </c>
      <c r="J11" s="124" t="str">
        <f t="shared" si="20"/>
        <v>남</v>
      </c>
      <c r="K11" s="115">
        <f t="shared" ca="1" si="21"/>
        <v>16969</v>
      </c>
      <c r="L11" s="125" t="s">
        <v>53</v>
      </c>
      <c r="M11" s="126" t="s">
        <v>124</v>
      </c>
      <c r="N11" s="113">
        <v>42990</v>
      </c>
      <c r="O11" s="115">
        <f t="shared" ca="1" si="22"/>
        <v>2</v>
      </c>
      <c r="P11" s="115">
        <v>2</v>
      </c>
      <c r="Q11" s="115">
        <f t="shared" ca="1" si="23"/>
        <v>3</v>
      </c>
      <c r="R11" s="115">
        <f t="shared" ca="1" si="24"/>
        <v>1</v>
      </c>
      <c r="S11" s="127">
        <v>97300</v>
      </c>
      <c r="T11" s="138" t="str">
        <f t="shared" si="25"/>
        <v>목</v>
      </c>
      <c r="U11" s="145" t="str">
        <f>HLOOKUP(S11, 할인율!$C$1:$F$3,3,TRUE)</f>
        <v>SILVER</v>
      </c>
      <c r="V11" s="147">
        <f>INDEX(할인율!$C$4:$F$11,MATCH(P11,할인율!$B$4:$B$11,1), MATCH(U11,할인율!$C$3:$F$3,0))</f>
        <v>0.03</v>
      </c>
      <c r="X11" s="23" t="s">
        <v>172</v>
      </c>
      <c r="Y11" s="24">
        <f>SUMIFS($S$2:$S$39,$U$2:$U$39,"="&amp;$X11,$J$2:$J$39,"="&amp;Y$7)</f>
        <v>1147250</v>
      </c>
      <c r="Z11" s="54">
        <f>IFERROR(ROUND(AVERAGEIFS($V$2:$V$39,$U$2:$U$39,"="&amp;$X11,$J$2:$J$39,"="&amp;Y$7),2),"-")</f>
        <v>0.14000000000000001</v>
      </c>
      <c r="AA11" s="57">
        <f>SUMIFS($S$2:$S$39,$U$2:$U$39,"="&amp;$X11,$J$2:$J$39,"="&amp;AA$7)</f>
        <v>836800</v>
      </c>
      <c r="AB11" s="14">
        <f>IFERROR(ROUND(AVERAGEIFS($V$2:$V$39,$U$2:$U$39,"="&amp;$X11,$J$2:$J$39,"="&amp;AA$7),2),"-")</f>
        <v>0.13</v>
      </c>
      <c r="AD11" s="175"/>
      <c r="AE11" s="198"/>
      <c r="AF11" s="28" t="s">
        <v>185</v>
      </c>
      <c r="AG11" s="60">
        <f>SUMIFS($S$2:$S$39,$U$2:$U$39,"="&amp;$AD$10,$J$2:$J$39,"="&amp;$AE10,$T$2:$T$39,"="&amp;AG$2)</f>
        <v>0</v>
      </c>
      <c r="AH11" s="48">
        <f>SUMIFS($S$2:$S$39,$U$2:$U$39,"="&amp;$AD$10,$J$2:$J$39,"="&amp;$AE10,$T$2:$T$39,"="&amp;AH$2)</f>
        <v>193000</v>
      </c>
      <c r="AI11" s="48">
        <f>SUMIFS($S$2:$S$39,$U$2:$U$39,"="&amp;$AD$10,$J$2:$J$39,"="&amp;$AE10,$T$2:$T$39,"="&amp;AI$2)</f>
        <v>353000</v>
      </c>
      <c r="AJ11" s="48">
        <f>SUMIFS($S$2:$S$39,$U$2:$U$39,"="&amp;$AD$10,$J$2:$J$39,"="&amp;$AE10,$T$2:$T$39,"="&amp;AJ$2)</f>
        <v>147600</v>
      </c>
      <c r="AK11" s="48">
        <f>SUMIFS($S$2:$S$39,$U$2:$U$39,"="&amp;$AD$10,$J$2:$J$39,"="&amp;$AE10,$T$2:$T$39,"="&amp;AK$2)</f>
        <v>123650</v>
      </c>
      <c r="AL11" s="48">
        <f>SUMIFS($S$2:$S$39,$U$2:$U$39,"="&amp;$AD$10,$J$2:$J$39,"="&amp;$AE10,$T$2:$T$39,"="&amp;AL$2)</f>
        <v>187000</v>
      </c>
      <c r="AM11" s="29">
        <f>SUMIFS($S$2:$S$39,$U$2:$U$39,"="&amp;$AD$10,$J$2:$J$39,"="&amp;$AE10,$T$2:$T$39,"="&amp;AM$2)</f>
        <v>143000</v>
      </c>
      <c r="AO11" s="13" t="s">
        <v>198</v>
      </c>
      <c r="AP11" s="89">
        <f>_xlfn.MAXIFS($V$2:$V$39,$T$2:$T$39, "="&amp;$AO11)</f>
        <v>0.15</v>
      </c>
      <c r="AQ11" s="73">
        <f>_xlfn.MINIFS($V$2:$V$39,$T$2:$T$39, "="&amp;$AO11)</f>
        <v>0</v>
      </c>
      <c r="AS11" s="181"/>
      <c r="AT11" s="76" t="s">
        <v>206</v>
      </c>
      <c r="AU11" s="93">
        <f>_xlfn.MAXIFS($V$2:$V$39,$J$2:$J$39,"="&amp;$AS$7,$U$2:$U$39,"="&amp;$AT11)</f>
        <v>0.04</v>
      </c>
      <c r="AV11" s="90">
        <f>_xlfn.MINIFS($V$2:$V$39,$J$2:$J$39,"="&amp;$AS$7,$U$2:$U$39,"="&amp;$AT11)</f>
        <v>0</v>
      </c>
    </row>
    <row r="12" spans="1:52" ht="17.100000000000001" customHeight="1" outlineLevel="2" thickTop="1" thickBot="1" x14ac:dyDescent="0.35">
      <c r="A12" s="113" t="str">
        <f t="shared" si="13"/>
        <v>sangayoe-7458</v>
      </c>
      <c r="B12" s="123" t="s">
        <v>27</v>
      </c>
      <c r="C12" s="124" t="s">
        <v>89</v>
      </c>
      <c r="D12" s="115" t="str">
        <f t="shared" si="14"/>
        <v>810530-2******</v>
      </c>
      <c r="E12" s="120">
        <f t="shared" si="15"/>
        <v>29736</v>
      </c>
      <c r="F12" s="115">
        <f t="shared" si="16"/>
        <v>1981</v>
      </c>
      <c r="G12" s="115">
        <f t="shared" si="17"/>
        <v>5</v>
      </c>
      <c r="H12" s="115">
        <f t="shared" si="18"/>
        <v>30</v>
      </c>
      <c r="I12" s="115">
        <f t="shared" ca="1" si="19"/>
        <v>38</v>
      </c>
      <c r="J12" s="124" t="str">
        <f t="shared" si="20"/>
        <v>여</v>
      </c>
      <c r="K12" s="115">
        <f t="shared" ca="1" si="21"/>
        <v>14076</v>
      </c>
      <c r="L12" s="125" t="s">
        <v>54</v>
      </c>
      <c r="M12" s="126" t="s">
        <v>125</v>
      </c>
      <c r="N12" s="113">
        <v>41719</v>
      </c>
      <c r="O12" s="115">
        <f t="shared" ca="1" si="22"/>
        <v>5</v>
      </c>
      <c r="P12" s="115">
        <v>5</v>
      </c>
      <c r="Q12" s="115">
        <f t="shared" ca="1" si="23"/>
        <v>8</v>
      </c>
      <c r="R12" s="115">
        <f t="shared" ca="1" si="24"/>
        <v>22</v>
      </c>
      <c r="S12" s="127">
        <v>23000</v>
      </c>
      <c r="T12" s="144" t="str">
        <f t="shared" si="25"/>
        <v>토</v>
      </c>
      <c r="U12" s="145" t="str">
        <f>HLOOKUP(S12, 할인율!$C$1:$F$3,3,TRUE)</f>
        <v>SILVER</v>
      </c>
      <c r="V12" s="147">
        <f>INDEX(할인율!$C$4:$F$11,MATCH(P12,할인율!$B$4:$B$11,1), MATCH(U12,할인율!$C$3:$F$3,0))</f>
        <v>7.0000000000000007E-2</v>
      </c>
      <c r="X12" s="23" t="s">
        <v>184</v>
      </c>
      <c r="Y12" s="24">
        <f>SUMIFS($S$2:$S$39,$U$2:$U$39,"="&amp;$X12,$J$2:$J$39,"="&amp;Y$7)</f>
        <v>268300</v>
      </c>
      <c r="Z12" s="54">
        <f>IFERROR(ROUND(AVERAGEIFS($V$2:$V$39,$U$2:$U$39,"="&amp;$X12,$J$2:$J$39,"="&amp;Y$7),2),"-")</f>
        <v>7.0000000000000007E-2</v>
      </c>
      <c r="AA12" s="57">
        <f>SUMIFS($S$2:$S$39,$U$2:$U$39,"="&amp;$X12,$J$2:$J$39,"="&amp;AA$7)</f>
        <v>202900</v>
      </c>
      <c r="AB12" s="14">
        <f>IFERROR(ROUND(AVERAGEIFS($V$2:$V$39,$U$2:$U$39,"="&amp;$X12,$J$2:$J$39,"="&amp;AA$7),2),"-")</f>
        <v>7.0000000000000007E-2</v>
      </c>
      <c r="AD12" s="175"/>
      <c r="AE12" s="200"/>
      <c r="AF12" s="30" t="s">
        <v>186</v>
      </c>
      <c r="AG12" s="64" t="str">
        <f>IFERROR(ROUND(AVERAGEIFS($V$2:$V$39,$U$2:$U$39,"="&amp;$AD$10,$J$2:$J$39,"="&amp;$AE10,$T$2:$T$39,"="&amp;AG$2),2),"-")</f>
        <v>-</v>
      </c>
      <c r="AH12" s="31">
        <f>IFERROR(ROUND(AVERAGEIFS($V$2:$V$39,$U$2:$U$39,"="&amp;$AD$10,$J$2:$J$39,"="&amp;$AE10,$T$2:$T$39,"="&amp;AH$2),2),"-")</f>
        <v>0.12</v>
      </c>
      <c r="AI12" s="31">
        <f>IFERROR(ROUND(AVERAGEIFS($V$2:$V$39,$U$2:$U$39,"="&amp;$AD$10,$J$2:$J$39,"="&amp;$AE10,$T$2:$T$39,"="&amp;AI$2),2),"-")</f>
        <v>0.14000000000000001</v>
      </c>
      <c r="AJ12" s="31">
        <f>IFERROR(ROUND(AVERAGEIFS($V$2:$V$39,$U$2:$U$39,"="&amp;$AD$10,$J$2:$J$39,"="&amp;$AE10,$T$2:$T$39,"="&amp;AJ$2),2),"-")</f>
        <v>0.12</v>
      </c>
      <c r="AK12" s="31">
        <f>IFERROR(ROUND(AVERAGEIFS($V$2:$V$39,$U$2:$U$39,"="&amp;$AD$10,$J$2:$J$39,"="&amp;$AE10,$T$2:$T$39,"="&amp;AK$2),2),"-")</f>
        <v>0.18</v>
      </c>
      <c r="AL12" s="31">
        <f>IFERROR(ROUND(AVERAGEIFS($V$2:$V$39,$U$2:$U$39,"="&amp;$AD$10,$J$2:$J$39,"="&amp;$AE10,$T$2:$T$39,"="&amp;AL$2),2),"-")</f>
        <v>0.15</v>
      </c>
      <c r="AM12" s="32">
        <f>IFERROR(ROUND(AVERAGEIFS($V$2:$V$39,$U$2:$U$39,"="&amp;$AD$10,$J$2:$J$39,"="&amp;$AE10,$T$2:$T$39,"="&amp;AM$2),2),"-")</f>
        <v>0.15</v>
      </c>
      <c r="AO12" s="13" t="s">
        <v>199</v>
      </c>
      <c r="AP12" s="89">
        <f>_xlfn.MAXIFS($V$2:$V$39,$T$2:$T$39, "="&amp;$AO12)</f>
        <v>0.15</v>
      </c>
      <c r="AQ12" s="73">
        <f>_xlfn.MINIFS($V$2:$V$39,$T$2:$T$39, "="&amp;$AO12)</f>
        <v>7.0000000000000007E-2</v>
      </c>
    </row>
    <row r="13" spans="1:52" ht="17.100000000000001" customHeight="1" outlineLevel="2" thickTop="1" thickBot="1" x14ac:dyDescent="0.35">
      <c r="A13" s="113" t="str">
        <f t="shared" si="13"/>
        <v>reuploadkim2-3258</v>
      </c>
      <c r="B13" s="123" t="s">
        <v>32</v>
      </c>
      <c r="C13" s="124" t="s">
        <v>94</v>
      </c>
      <c r="D13" s="115" t="str">
        <f t="shared" si="14"/>
        <v>880105-1******</v>
      </c>
      <c r="E13" s="120">
        <f t="shared" si="15"/>
        <v>32147</v>
      </c>
      <c r="F13" s="115">
        <f t="shared" si="16"/>
        <v>1988</v>
      </c>
      <c r="G13" s="115">
        <f t="shared" si="17"/>
        <v>1</v>
      </c>
      <c r="H13" s="115">
        <f t="shared" si="18"/>
        <v>5</v>
      </c>
      <c r="I13" s="115">
        <f t="shared" ca="1" si="19"/>
        <v>31</v>
      </c>
      <c r="J13" s="124" t="str">
        <f t="shared" si="20"/>
        <v>남</v>
      </c>
      <c r="K13" s="115">
        <f t="shared" ca="1" si="21"/>
        <v>11665</v>
      </c>
      <c r="L13" s="125" t="s">
        <v>59</v>
      </c>
      <c r="M13" s="126" t="s">
        <v>130</v>
      </c>
      <c r="N13" s="113">
        <v>40477</v>
      </c>
      <c r="O13" s="115">
        <f t="shared" ca="1" si="22"/>
        <v>9</v>
      </c>
      <c r="P13" s="115">
        <v>9</v>
      </c>
      <c r="Q13" s="115">
        <f t="shared" ca="1" si="23"/>
        <v>1</v>
      </c>
      <c r="R13" s="115">
        <f t="shared" ca="1" si="24"/>
        <v>17</v>
      </c>
      <c r="S13" s="127">
        <v>68100</v>
      </c>
      <c r="T13" s="141" t="str">
        <f t="shared" si="25"/>
        <v>화</v>
      </c>
      <c r="U13" s="145" t="str">
        <f>HLOOKUP(S13, 할인율!$C$1:$F$3,3,TRUE)</f>
        <v>SILVER</v>
      </c>
      <c r="V13" s="147">
        <f>INDEX(할인율!$C$4:$F$11,MATCH(P13,할인율!$B$4:$B$11,1), MATCH(U13,할인율!$C$3:$F$3,0))</f>
        <v>7.0000000000000007E-2</v>
      </c>
      <c r="X13" s="19" t="s">
        <v>173</v>
      </c>
      <c r="Y13" s="20">
        <f>SUMIFS($S$2:$S$39,$U$2:$U$39,"="&amp;$X13,$J$2:$J$39,"="&amp;Y$7)</f>
        <v>9600</v>
      </c>
      <c r="Z13" s="55">
        <f>IFERROR(ROUND(AVERAGEIFS($V$2:$V$39,$U$2:$U$39,"="&amp;$X13,$J$2:$J$39,"="&amp;Y$7),2),"-")</f>
        <v>0</v>
      </c>
      <c r="AA13" s="58">
        <f>SUMIFS($S$2:$S$39,$U$2:$U$39,"="&amp;$X13,$J$2:$J$39,"="&amp;AA$7)</f>
        <v>12600</v>
      </c>
      <c r="AB13" s="46">
        <f>IFERROR(ROUND(AVERAGEIFS($V$2:$V$39,$U$2:$U$39,"="&amp;$X13,$J$2:$J$39,"="&amp;AA$7),2),"-")</f>
        <v>0.02</v>
      </c>
      <c r="AD13" s="175"/>
      <c r="AE13" s="197" t="s">
        <v>170</v>
      </c>
      <c r="AF13" s="33" t="s">
        <v>183</v>
      </c>
      <c r="AG13" s="59">
        <f>COUNTIFS($U$2:$U$39,"="&amp;$AD$10,$J$2:$J$39,"="&amp;$AE13,$T$2:$T$39,"="&amp;AG$2)</f>
        <v>0</v>
      </c>
      <c r="AH13" s="34">
        <f>COUNTIFS($U$2:$U$39,"="&amp;$AD$10,$J$2:$J$39,"="&amp;$AE13,$T$2:$T$39,"="&amp;AH$2)</f>
        <v>0</v>
      </c>
      <c r="AI13" s="34">
        <f>COUNTIFS($U$2:$U$39,"="&amp;$AD$10,$J$2:$J$39,"="&amp;$AE13,$T$2:$T$39,"="&amp;AI$2)</f>
        <v>2</v>
      </c>
      <c r="AJ13" s="34">
        <f>COUNTIFS($U$2:$U$39,"="&amp;$AD$10,$J$2:$J$39,"="&amp;$AE13,$T$2:$T$39,"="&amp;AJ$2)</f>
        <v>1</v>
      </c>
      <c r="AK13" s="34">
        <f>COUNTIFS($U$2:$U$39,"="&amp;$AD$10,$J$2:$J$39,"="&amp;$AE13,$T$2:$T$39,"="&amp;AK$2)</f>
        <v>2</v>
      </c>
      <c r="AL13" s="34">
        <f>COUNTIFS($U$2:$U$39,"="&amp;$AD$10,$J$2:$J$39,"="&amp;$AE13,$T$2:$T$39,"="&amp;AL$2)</f>
        <v>0</v>
      </c>
      <c r="AM13" s="33">
        <f>COUNTIFS($U$2:$U$39,"="&amp;$AD$10,$J$2:$J$39,"="&amp;$AE13,$T$2:$T$39,"="&amp;AM$2)</f>
        <v>1</v>
      </c>
      <c r="AO13" s="13" t="s">
        <v>200</v>
      </c>
      <c r="AP13" s="89">
        <f>_xlfn.MAXIFS($V$2:$V$39,$T$2:$T$39, "="&amp;$AO13)</f>
        <v>0.18</v>
      </c>
      <c r="AQ13" s="73">
        <f>_xlfn.MINIFS($V$2:$V$39,$T$2:$T$39, "="&amp;$AO13)</f>
        <v>0.03</v>
      </c>
      <c r="AS13" s="81"/>
      <c r="AT13" s="82"/>
      <c r="AU13" s="187">
        <v>20</v>
      </c>
      <c r="AV13" s="188"/>
      <c r="AW13" s="188">
        <v>30</v>
      </c>
      <c r="AX13" s="188"/>
      <c r="AY13" s="188">
        <v>40</v>
      </c>
      <c r="AZ13" s="189"/>
    </row>
    <row r="14" spans="1:52" ht="17.100000000000001" customHeight="1" outlineLevel="2" thickTop="1" thickBot="1" x14ac:dyDescent="0.35">
      <c r="A14" s="113" t="str">
        <f t="shared" si="13"/>
        <v>jjongmani-6521</v>
      </c>
      <c r="B14" s="123" t="s">
        <v>6</v>
      </c>
      <c r="C14" s="124" t="s">
        <v>95</v>
      </c>
      <c r="D14" s="115" t="str">
        <f t="shared" si="14"/>
        <v>720227-1******</v>
      </c>
      <c r="E14" s="120">
        <f t="shared" si="15"/>
        <v>26356</v>
      </c>
      <c r="F14" s="115">
        <f t="shared" si="16"/>
        <v>1972</v>
      </c>
      <c r="G14" s="115">
        <f t="shared" si="17"/>
        <v>2</v>
      </c>
      <c r="H14" s="115">
        <f t="shared" si="18"/>
        <v>27</v>
      </c>
      <c r="I14" s="115">
        <f t="shared" ca="1" si="19"/>
        <v>47</v>
      </c>
      <c r="J14" s="124" t="str">
        <f t="shared" si="20"/>
        <v>남</v>
      </c>
      <c r="K14" s="115">
        <f t="shared" ca="1" si="21"/>
        <v>17456</v>
      </c>
      <c r="L14" s="125" t="s">
        <v>60</v>
      </c>
      <c r="M14" s="126" t="s">
        <v>131</v>
      </c>
      <c r="N14" s="113">
        <v>36588</v>
      </c>
      <c r="O14" s="115">
        <f t="shared" ca="1" si="22"/>
        <v>19</v>
      </c>
      <c r="P14" s="115">
        <v>19</v>
      </c>
      <c r="Q14" s="115">
        <f t="shared" ca="1" si="23"/>
        <v>9</v>
      </c>
      <c r="R14" s="115">
        <f t="shared" ca="1" si="24"/>
        <v>10</v>
      </c>
      <c r="S14" s="127">
        <v>16700</v>
      </c>
      <c r="T14" s="139" t="str">
        <f t="shared" si="25"/>
        <v>일</v>
      </c>
      <c r="U14" s="145" t="str">
        <f>HLOOKUP(S14, 할인율!$C$1:$F$3,3,TRUE)</f>
        <v>SILVER</v>
      </c>
      <c r="V14" s="147">
        <f>INDEX(할인율!$C$4:$F$11,MATCH(P14,할인율!$B$4:$B$11,1), MATCH(U14,할인율!$C$3:$F$3,0))</f>
        <v>0.13</v>
      </c>
      <c r="AD14" s="175"/>
      <c r="AE14" s="198"/>
      <c r="AF14" s="28" t="s">
        <v>185</v>
      </c>
      <c r="AG14" s="60">
        <f>SUMIFS($S$2:$S$39,$U$2:$U$39,"="&amp;$AD$10,$J$2:$J$39,"="&amp;$AE13,$T$2:$T$39,"="&amp;AG$2)</f>
        <v>0</v>
      </c>
      <c r="AH14" s="48">
        <f>SUMIFS($S$2:$S$39,$U$2:$U$39,"="&amp;$AD$10,$J$2:$J$39,"="&amp;$AE13,$T$2:$T$39,"="&amp;AH$2)</f>
        <v>0</v>
      </c>
      <c r="AI14" s="48">
        <f>SUMIFS($S$2:$S$39,$U$2:$U$39,"="&amp;$AD$10,$J$2:$J$39,"="&amp;$AE13,$T$2:$T$39,"="&amp;AI$2)</f>
        <v>230500</v>
      </c>
      <c r="AJ14" s="48">
        <f>SUMIFS($S$2:$S$39,$U$2:$U$39,"="&amp;$AD$10,$J$2:$J$39,"="&amp;$AE13,$T$2:$T$39,"="&amp;AJ$2)</f>
        <v>168000</v>
      </c>
      <c r="AK14" s="48">
        <f>SUMIFS($S$2:$S$39,$U$2:$U$39,"="&amp;$AD$10,$J$2:$J$39,"="&amp;$AE13,$T$2:$T$39,"="&amp;AK$2)</f>
        <v>328300</v>
      </c>
      <c r="AL14" s="48">
        <f>SUMIFS($S$2:$S$39,$U$2:$U$39,"="&amp;$AD$10,$J$2:$J$39,"="&amp;$AE13,$T$2:$T$39,"="&amp;AL$2)</f>
        <v>0</v>
      </c>
      <c r="AM14" s="29">
        <f>SUMIFS($S$2:$S$39,$U$2:$U$39,"="&amp;$AD$10,$J$2:$J$39,"="&amp;$AE13,$T$2:$T$39,"="&amp;AM$2)</f>
        <v>110000</v>
      </c>
      <c r="AO14" s="13" t="s">
        <v>201</v>
      </c>
      <c r="AP14" s="89">
        <f>_xlfn.MAXIFS($V$2:$V$39,$T$2:$T$39, "="&amp;$AO14)</f>
        <v>0.2</v>
      </c>
      <c r="AQ14" s="73">
        <f>_xlfn.MINIFS($V$2:$V$39,$T$2:$T$39, "="&amp;$AO14)</f>
        <v>0</v>
      </c>
      <c r="AS14" s="84"/>
      <c r="AT14" s="85"/>
      <c r="AU14" s="68" t="s">
        <v>194</v>
      </c>
      <c r="AV14" s="86" t="s">
        <v>195</v>
      </c>
      <c r="AW14" s="86" t="s">
        <v>194</v>
      </c>
      <c r="AX14" s="86" t="s">
        <v>195</v>
      </c>
      <c r="AY14" s="86" t="s">
        <v>194</v>
      </c>
      <c r="AZ14" s="69" t="s">
        <v>195</v>
      </c>
    </row>
    <row r="15" spans="1:52" ht="17.100000000000001" customHeight="1" outlineLevel="2" thickTop="1" thickBot="1" x14ac:dyDescent="0.35">
      <c r="A15" s="113" t="str">
        <f t="shared" si="13"/>
        <v>victorymink-1347</v>
      </c>
      <c r="B15" s="123" t="s">
        <v>33</v>
      </c>
      <c r="C15" s="124" t="s">
        <v>97</v>
      </c>
      <c r="D15" s="115" t="str">
        <f t="shared" si="14"/>
        <v>750815-1******</v>
      </c>
      <c r="E15" s="120">
        <f t="shared" si="15"/>
        <v>27621</v>
      </c>
      <c r="F15" s="115">
        <f t="shared" si="16"/>
        <v>1975</v>
      </c>
      <c r="G15" s="115">
        <f t="shared" si="17"/>
        <v>8</v>
      </c>
      <c r="H15" s="115">
        <f t="shared" si="18"/>
        <v>15</v>
      </c>
      <c r="I15" s="115">
        <f t="shared" ca="1" si="19"/>
        <v>44</v>
      </c>
      <c r="J15" s="124" t="str">
        <f t="shared" si="20"/>
        <v>남</v>
      </c>
      <c r="K15" s="115">
        <f t="shared" ca="1" si="21"/>
        <v>16191</v>
      </c>
      <c r="L15" s="125" t="s">
        <v>61</v>
      </c>
      <c r="M15" s="126" t="s">
        <v>133</v>
      </c>
      <c r="N15" s="113">
        <v>42550</v>
      </c>
      <c r="O15" s="115">
        <f t="shared" ca="1" si="22"/>
        <v>3</v>
      </c>
      <c r="P15" s="115">
        <v>3</v>
      </c>
      <c r="Q15" s="115">
        <f t="shared" ca="1" si="23"/>
        <v>5</v>
      </c>
      <c r="R15" s="115">
        <f t="shared" ca="1" si="24"/>
        <v>14</v>
      </c>
      <c r="S15" s="127">
        <v>32100</v>
      </c>
      <c r="T15" s="143" t="str">
        <f t="shared" si="25"/>
        <v>금</v>
      </c>
      <c r="U15" s="145" t="str">
        <f>HLOOKUP(S15, 할인율!$C$1:$F$3,3,TRUE)</f>
        <v>SILVER</v>
      </c>
      <c r="V15" s="147">
        <f>INDEX(할인율!$C$4:$F$11,MATCH(P15,할인율!$B$4:$B$11,1), MATCH(U15,할인율!$C$3:$F$3,0))</f>
        <v>0.05</v>
      </c>
      <c r="X15" s="203" t="s">
        <v>189</v>
      </c>
      <c r="Y15" s="204"/>
      <c r="Z15" s="204"/>
      <c r="AA15" s="204"/>
      <c r="AB15" s="205"/>
      <c r="AD15" s="174"/>
      <c r="AE15" s="201"/>
      <c r="AF15" s="35" t="s">
        <v>186</v>
      </c>
      <c r="AG15" s="61" t="str">
        <f>IFERROR(ROUND(AVERAGEIFS($V$2:$V$39,$U$2:$U$39,"="&amp;$AD$10,$J$2:$J$39,"="&amp;$AE13,$T$2:$T$39,"="&amp;AG$2),2),"-")</f>
        <v>-</v>
      </c>
      <c r="AH15" s="36" t="str">
        <f>IFERROR(ROUND(AVERAGEIFS($V$2:$V$39,$U$2:$U$39,"="&amp;$AD$10,$J$2:$J$39,"="&amp;$AE13,$T$2:$T$39,"="&amp;AH$2),2),"-")</f>
        <v>-</v>
      </c>
      <c r="AI15" s="36">
        <f>IFERROR(ROUND(AVERAGEIFS($V$2:$V$39,$U$2:$U$39,"="&amp;$AD$10,$J$2:$J$39,"="&amp;$AE13,$T$2:$T$39,"="&amp;AI$2),2),"-")</f>
        <v>0.13</v>
      </c>
      <c r="AJ15" s="36">
        <f>IFERROR(ROUND(AVERAGEIFS($V$2:$V$39,$U$2:$U$39,"="&amp;$AD$10,$J$2:$J$39,"="&amp;$AE13,$T$2:$T$39,"="&amp;AJ$2),2),"-")</f>
        <v>0.15</v>
      </c>
      <c r="AK15" s="36">
        <f>IFERROR(ROUND(AVERAGEIFS($V$2:$V$39,$U$2:$U$39,"="&amp;$AD$10,$J$2:$J$39,"="&amp;$AE13,$T$2:$T$39,"="&amp;AK$2),2),"-")</f>
        <v>0.14000000000000001</v>
      </c>
      <c r="AL15" s="36" t="str">
        <f>IFERROR(ROUND(AVERAGEIFS($V$2:$V$39,$U$2:$U$39,"="&amp;$AD$10,$J$2:$J$39,"="&amp;$AE13,$T$2:$T$39,"="&amp;AL$2),2),"-")</f>
        <v>-</v>
      </c>
      <c r="AM15" s="37">
        <f>IFERROR(ROUND(AVERAGEIFS($V$2:$V$39,$U$2:$U$39,"="&amp;$AD$10,$J$2:$J$39,"="&amp;$AE13,$T$2:$T$39,"="&amp;AM$2),2),"-")</f>
        <v>0.12</v>
      </c>
      <c r="AO15" s="15" t="s">
        <v>202</v>
      </c>
      <c r="AP15" s="67">
        <f>_xlfn.MAXIFS($V$2:$V$39,$T$2:$T$39, "="&amp;$AO15)</f>
        <v>0.18</v>
      </c>
      <c r="AQ15" s="90">
        <f>_xlfn.MINIFS($V$2:$V$39,$T$2:$T$39, "="&amp;$AO15)</f>
        <v>0.02</v>
      </c>
      <c r="AS15" s="182" t="s">
        <v>196</v>
      </c>
      <c r="AT15" s="73" t="s">
        <v>190</v>
      </c>
      <c r="AU15" s="45">
        <f ca="1">_xlfn.MAXIFS($V$2:$V$39,$T$2:$T$39,"="&amp;$AS$15,$J$2:$J$39,"="&amp;$AT15,$I$2:$I$39,"&gt;="&amp;$AU$13,$I$2:$I$39,"&lt;"&amp;$AW$13)</f>
        <v>0</v>
      </c>
      <c r="AV15" s="95">
        <f ca="1">_xlfn.MINIFS($V$2:$V$39,$T$2:$T$39,"="&amp;$AS$15,$J$2:$J$39,"="&amp;$AT15,$I$2:$I$39,"&gt;="&amp;$AU$13,$I$2:$I$39,"&lt;"&amp;$AW$13)</f>
        <v>0</v>
      </c>
      <c r="AW15" s="95">
        <f ca="1">_xlfn.MAXIFS($V$2:$V$39,$T$2:$T$39,"="&amp;$AS$15,$J$2:$J$39,"="&amp;$AT15,$I$2:$I$39,"&gt;="&amp;$AW$13,$I$2:$I$39,"&lt;"&amp;$AY$13)</f>
        <v>0.18</v>
      </c>
      <c r="AX15" s="95">
        <f ca="1">_xlfn.MINIFS($V$2:$V$39,$T$2:$T$39,"="&amp;$AS$15,$J$2:$J$39,"="&amp;$AT15,$I$2:$I$39,"&gt;="&amp;$AW$13,$I$2:$I$39,"&lt;"&amp;$AY$13)</f>
        <v>0</v>
      </c>
      <c r="AY15" s="95">
        <f ca="1">_xlfn.MAXIFS($V$2:$V$39,$T$2:$T$39,"="&amp;$AS$15,$J$2:$J$39,"="&amp;$AT15,$I$2:$I$39,"&gt;="&amp;$AY$13)</f>
        <v>0.23</v>
      </c>
      <c r="AZ15" s="94">
        <f ca="1">_xlfn.MINIFS($V$2:$V$39,$T$2:$T$39,"="&amp;$AS$15,$J$2:$J$39,"="&amp;$AT15,$I$2:$I$39,"&gt;="&amp;$AY$13)</f>
        <v>0.13</v>
      </c>
    </row>
    <row r="16" spans="1:52" ht="17.100000000000001" customHeight="1" outlineLevel="2" thickTop="1" thickBot="1" x14ac:dyDescent="0.35">
      <c r="A16" s="113" t="str">
        <f t="shared" si="13"/>
        <v>okteajinok-1235</v>
      </c>
      <c r="B16" s="123" t="s">
        <v>37</v>
      </c>
      <c r="C16" s="124" t="s">
        <v>100</v>
      </c>
      <c r="D16" s="115" t="str">
        <f t="shared" si="14"/>
        <v>790416-1******</v>
      </c>
      <c r="E16" s="120">
        <f t="shared" si="15"/>
        <v>28961</v>
      </c>
      <c r="F16" s="115">
        <f t="shared" si="16"/>
        <v>1979</v>
      </c>
      <c r="G16" s="115">
        <f t="shared" si="17"/>
        <v>4</v>
      </c>
      <c r="H16" s="115">
        <f t="shared" si="18"/>
        <v>16</v>
      </c>
      <c r="I16" s="115">
        <f t="shared" ca="1" si="19"/>
        <v>40</v>
      </c>
      <c r="J16" s="124" t="str">
        <f t="shared" si="20"/>
        <v>남</v>
      </c>
      <c r="K16" s="115">
        <f t="shared" ca="1" si="21"/>
        <v>14851</v>
      </c>
      <c r="L16" s="125" t="s">
        <v>65</v>
      </c>
      <c r="M16" s="126" t="s">
        <v>136</v>
      </c>
      <c r="N16" s="113">
        <v>41246</v>
      </c>
      <c r="O16" s="115">
        <f t="shared" ca="1" si="22"/>
        <v>7</v>
      </c>
      <c r="P16" s="115">
        <v>6</v>
      </c>
      <c r="Q16" s="115">
        <f t="shared" ca="1" si="23"/>
        <v>0</v>
      </c>
      <c r="R16" s="115">
        <f t="shared" ca="1" si="24"/>
        <v>10</v>
      </c>
      <c r="S16" s="127">
        <v>17300</v>
      </c>
      <c r="T16" s="140" t="str">
        <f t="shared" si="25"/>
        <v>월</v>
      </c>
      <c r="U16" s="145" t="str">
        <f>HLOOKUP(S16, 할인율!$C$1:$F$3,3,TRUE)</f>
        <v>SILVER</v>
      </c>
      <c r="V16" s="147">
        <f>INDEX(할인율!$C$4:$F$11,MATCH(P16,할인율!$B$4:$B$11,1), MATCH(U16,할인율!$C$3:$F$3,0))</f>
        <v>7.0000000000000007E-2</v>
      </c>
      <c r="X16" s="20" t="s">
        <v>183</v>
      </c>
      <c r="Y16" s="206" t="s">
        <v>187</v>
      </c>
      <c r="Z16" s="206"/>
      <c r="AA16" s="206" t="s">
        <v>188</v>
      </c>
      <c r="AB16" s="207"/>
      <c r="AD16" s="173" t="s">
        <v>184</v>
      </c>
      <c r="AE16" s="199" t="s">
        <v>169</v>
      </c>
      <c r="AF16" s="38" t="s">
        <v>183</v>
      </c>
      <c r="AG16" s="65">
        <f>COUNTIFS($U$2:$U$39,"="&amp;$AD$16,$J$2:$J$39,"="&amp;$AE16,$T$2:$T$39,"="&amp;AG$2)</f>
        <v>1</v>
      </c>
      <c r="AH16" s="39">
        <f>COUNTIFS($U$2:$U$39,"="&amp;$AD$16,$J$2:$J$39,"="&amp;$AE16,$T$2:$T$39,"="&amp;AH$2)</f>
        <v>1</v>
      </c>
      <c r="AI16" s="39">
        <f>COUNTIFS($U$2:$U$39,"="&amp;$AD$16,$J$2:$J$39,"="&amp;$AE16,$T$2:$T$39,"="&amp;AI$2)</f>
        <v>1</v>
      </c>
      <c r="AJ16" s="39">
        <f>COUNTIFS($U$2:$U$39,"="&amp;$AD$16,$J$2:$J$39,"="&amp;$AE16,$T$2:$T$39,"="&amp;AJ$2)</f>
        <v>1</v>
      </c>
      <c r="AK16" s="39">
        <f>COUNTIFS($U$2:$U$39,"="&amp;$AD$16,$J$2:$J$39,"="&amp;$AE16,$T$2:$T$39,"="&amp;AK$2)</f>
        <v>1</v>
      </c>
      <c r="AL16" s="39">
        <f>COUNTIFS($U$2:$U$39,"="&amp;$AD$16,$J$2:$J$39,"="&amp;$AE16,$T$2:$T$39,"="&amp;AL$2)</f>
        <v>1</v>
      </c>
      <c r="AM16" s="38">
        <f>COUNTIFS($U$2:$U$39,"="&amp;$AD$16,$J$2:$J$39,"="&amp;$AE16,$T$2:$T$39,"="&amp;AM$2)</f>
        <v>0</v>
      </c>
      <c r="AS16" s="175"/>
      <c r="AT16" s="87" t="s">
        <v>191</v>
      </c>
      <c r="AU16" s="91">
        <f ca="1">_xlfn.MAXIFS($V$2:$V$39,$T$2:$T$39,"="&amp;$AS$15,$J$2:$J$39,"="&amp;$AT16,$I$2:$I$39,"&gt;="&amp;$AU$13,$I$2:$I$39,"&lt;"&amp;$AW$13)</f>
        <v>0</v>
      </c>
      <c r="AV16" s="96">
        <f ca="1">_xlfn.MINIFS($V$2:$V$39,$T$2:$T$39,"="&amp;$AS$15,$J$2:$J$39,"="&amp;$AT16,$I$2:$I$39,"&gt;="&amp;$AU$13,$I$2:$I$39,"&lt;"&amp;$AW$13)</f>
        <v>0</v>
      </c>
      <c r="AW16" s="96">
        <f ca="1">_xlfn.MAXIFS($V$2:$V$39,$T$2:$T$39,"="&amp;$AS$15,$J$2:$J$39,"="&amp;$AT16,$I$2:$I$39,"&gt;="&amp;$AW$13,$I$2:$I$39,"&lt;"&amp;$AY$13)</f>
        <v>0.18</v>
      </c>
      <c r="AX16" s="96">
        <f ca="1">_xlfn.MINIFS($V$2:$V$39,$T$2:$T$39,"="&amp;$AS$15,$J$2:$J$39,"="&amp;$AT16,$I$2:$I$39,"&gt;="&amp;$AW$13,$I$2:$I$39,"&lt;"&amp;$AY$13)</f>
        <v>0.18</v>
      </c>
      <c r="AY16" s="96">
        <f ca="1">_xlfn.MAXIFS($V$2:$V$39,$T$2:$T$39,"="&amp;$AS$15,$J$2:$J$39,"="&amp;$AT16,$I$2:$I$39,"&gt;="&amp;$AY$13)</f>
        <v>0</v>
      </c>
      <c r="AZ16" s="101">
        <f ca="1">_xlfn.MINIFS($V$2:$V$39,$T$2:$T$39,"="&amp;$AS$15,$J$2:$J$39,"="&amp;$AT16,$I$2:$I$39,"&gt;="&amp;$AY$13)</f>
        <v>0</v>
      </c>
    </row>
    <row r="17" spans="1:52" ht="17.100000000000001" customHeight="1" outlineLevel="2" thickTop="1" thickBot="1" x14ac:dyDescent="0.35">
      <c r="A17" s="113" t="str">
        <f t="shared" si="13"/>
        <v>soyoon1212-1296</v>
      </c>
      <c r="B17" s="123" t="s">
        <v>9</v>
      </c>
      <c r="C17" s="124" t="s">
        <v>103</v>
      </c>
      <c r="D17" s="115" t="str">
        <f t="shared" si="14"/>
        <v>710621-2******</v>
      </c>
      <c r="E17" s="120">
        <f t="shared" si="15"/>
        <v>26105</v>
      </c>
      <c r="F17" s="115">
        <f t="shared" si="16"/>
        <v>1971</v>
      </c>
      <c r="G17" s="115">
        <f t="shared" si="17"/>
        <v>6</v>
      </c>
      <c r="H17" s="115">
        <f t="shared" si="18"/>
        <v>21</v>
      </c>
      <c r="I17" s="115">
        <f t="shared" ca="1" si="19"/>
        <v>48</v>
      </c>
      <c r="J17" s="124" t="str">
        <f t="shared" si="20"/>
        <v>여</v>
      </c>
      <c r="K17" s="115">
        <f t="shared" ca="1" si="21"/>
        <v>17707</v>
      </c>
      <c r="L17" s="125" t="s">
        <v>68</v>
      </c>
      <c r="M17" s="126" t="s">
        <v>139</v>
      </c>
      <c r="N17" s="113">
        <v>42001</v>
      </c>
      <c r="O17" s="115">
        <f t="shared" ca="1" si="22"/>
        <v>4</v>
      </c>
      <c r="P17" s="115">
        <v>4</v>
      </c>
      <c r="Q17" s="115">
        <f t="shared" ca="1" si="23"/>
        <v>11</v>
      </c>
      <c r="R17" s="115">
        <f t="shared" ca="1" si="24"/>
        <v>15</v>
      </c>
      <c r="S17" s="127">
        <v>55600</v>
      </c>
      <c r="T17" s="140" t="str">
        <f t="shared" si="25"/>
        <v>월</v>
      </c>
      <c r="U17" s="145" t="str">
        <f>HLOOKUP(S17, 할인율!$C$1:$F$3,3,TRUE)</f>
        <v>SILVER</v>
      </c>
      <c r="V17" s="147">
        <f>INDEX(할인율!$C$4:$F$11,MATCH(P17,할인율!$B$4:$B$11,1), MATCH(U17,할인율!$C$3:$F$3,0))</f>
        <v>0.05</v>
      </c>
      <c r="X17" s="44">
        <f ca="1">COUNTIFS(I2:I39,"&gt;=30",I2:I39,"&lt;40",J2:J39,"=여",U2:U39,"=GOLD")</f>
        <v>3</v>
      </c>
      <c r="Y17" s="208">
        <f ca="1">SUMIFS(S2:S39,I2:I39,"&gt;=30",I2:I39,"&lt;40",J2:J39,"=여",U2:U39,"=GOLD")</f>
        <v>410500</v>
      </c>
      <c r="Z17" s="209"/>
      <c r="AA17" s="208">
        <f ca="1">ROUND(AVERAGEIFS(V2:V39,I2:I39,"&gt;=30",I2:I39,"&lt;40",J2:J39,"=여",U2:U39,"=GOLD"),2)</f>
        <v>0.13</v>
      </c>
      <c r="AB17" s="210"/>
      <c r="AD17" s="175"/>
      <c r="AE17" s="198"/>
      <c r="AF17" s="28" t="s">
        <v>185</v>
      </c>
      <c r="AG17" s="60">
        <f>SUMIFS($S$2:$S$39,$U$2:$U$39,"="&amp;$AD$16,$J$2:$J$39,"="&amp;$AE16,$T$2:$T$39,"="&amp;AG$2)</f>
        <v>16700</v>
      </c>
      <c r="AH17" s="48">
        <f>SUMIFS($S$2:$S$39,$U$2:$U$39,"="&amp;$AD$16,$J$2:$J$39,"="&amp;$AE16,$T$2:$T$39,"="&amp;AH$2)</f>
        <v>17300</v>
      </c>
      <c r="AI17" s="48">
        <f>SUMIFS($S$2:$S$39,$U$2:$U$39,"="&amp;$AD$16,$J$2:$J$39,"="&amp;$AE16,$T$2:$T$39,"="&amp;AI$2)</f>
        <v>68100</v>
      </c>
      <c r="AJ17" s="48">
        <f>SUMIFS($S$2:$S$39,$U$2:$U$39,"="&amp;$AD$16,$J$2:$J$39,"="&amp;$AE16,$T$2:$T$39,"="&amp;AJ$2)</f>
        <v>36800</v>
      </c>
      <c r="AK17" s="48">
        <f>SUMIFS($S$2:$S$39,$U$2:$U$39,"="&amp;$AD$16,$J$2:$J$39,"="&amp;$AE16,$T$2:$T$39,"="&amp;AK$2)</f>
        <v>97300</v>
      </c>
      <c r="AL17" s="48">
        <f>SUMIFS($S$2:$S$39,$U$2:$U$39,"="&amp;$AD$16,$J$2:$J$39,"="&amp;$AE16,$T$2:$T$39,"="&amp;AL$2)</f>
        <v>32100</v>
      </c>
      <c r="AM17" s="29">
        <f>SUMIFS($S$2:$S$39,$U$2:$U$39,"="&amp;$AD$16,$J$2:$J$39,"="&amp;$AE16,$T$2:$T$39,"="&amp;AM$2)</f>
        <v>0</v>
      </c>
      <c r="AS17" s="173" t="s">
        <v>197</v>
      </c>
      <c r="AT17" s="88" t="s">
        <v>190</v>
      </c>
      <c r="AU17" s="98">
        <f ca="1">_xlfn.MAXIFS($V$2:$V$39,$T$2:$T$39,"="&amp;$AS$17,$J$2:$J$39,"="&amp;$AT17,$I$2:$I$39,"&gt;="&amp;$AU$13,$I$2:$I$39,"&lt;"&amp;$AW$13)</f>
        <v>0</v>
      </c>
      <c r="AV17" s="99">
        <f ca="1">_xlfn.MINIFS($V$2:$V$39,$T$2:$T$39,"="&amp;$AS$17,$J$2:$J$39,"="&amp;$AT17,$I$2:$I$39,"&gt;="&amp;$AU$13,$I$2:$I$39,"&lt;"&amp;$AW$13)</f>
        <v>0</v>
      </c>
      <c r="AW17" s="99">
        <f ca="1">_xlfn.MAXIFS($V$2:$V$39,$T$2:$T$39,"="&amp;$AS$17,$J$2:$J$39,"="&amp;$AT17,$I$2:$I$39,"&gt;="&amp;$AW$13,$I$2:$I$39,"&lt;"&amp;$AY$13)</f>
        <v>0.12</v>
      </c>
      <c r="AX17" s="99">
        <f ca="1">_xlfn.MINIFS($V$2:$V$39,$T$2:$T$39,"="&amp;$AS$17,$J$2:$J$39,"="&amp;$AT17,$I$2:$I$39,"&gt;="&amp;$AW$13,$I$2:$I$39,"&lt;"&amp;$AY$13)</f>
        <v>0.12</v>
      </c>
      <c r="AY17" s="99">
        <f ca="1">_xlfn.MAXIFS($V$2:$V$39,$T$2:$T$39,"="&amp;$AS$17,$J$2:$J$39,"="&amp;$AT17,$I$2:$I$39,"&gt;="&amp;$AY$13)</f>
        <v>7.0000000000000007E-2</v>
      </c>
      <c r="AZ17" s="102">
        <f ca="1">_xlfn.MINIFS($V$2:$V$39,$T$2:$T$39,"="&amp;$AS$17,$J$2:$J$39,"="&amp;$AT17,$I$2:$I$39,"&gt;="&amp;$AY$13)</f>
        <v>7.0000000000000007E-2</v>
      </c>
    </row>
    <row r="18" spans="1:52" ht="17.100000000000001" customHeight="1" outlineLevel="2" thickTop="1" thickBot="1" x14ac:dyDescent="0.35">
      <c r="A18" s="113" t="str">
        <f t="shared" si="13"/>
        <v>minuminu-6743</v>
      </c>
      <c r="B18" s="123" t="s">
        <v>12</v>
      </c>
      <c r="C18" s="124" t="s">
        <v>105</v>
      </c>
      <c r="D18" s="115" t="str">
        <f t="shared" si="14"/>
        <v>870722-1******</v>
      </c>
      <c r="E18" s="120">
        <f t="shared" si="15"/>
        <v>31980</v>
      </c>
      <c r="F18" s="115">
        <f t="shared" si="16"/>
        <v>1987</v>
      </c>
      <c r="G18" s="115">
        <f t="shared" si="17"/>
        <v>7</v>
      </c>
      <c r="H18" s="115">
        <f t="shared" si="18"/>
        <v>22</v>
      </c>
      <c r="I18" s="115">
        <f t="shared" ca="1" si="19"/>
        <v>32</v>
      </c>
      <c r="J18" s="124" t="str">
        <f t="shared" si="20"/>
        <v>남</v>
      </c>
      <c r="K18" s="115">
        <f t="shared" ca="1" si="21"/>
        <v>11832</v>
      </c>
      <c r="L18" s="125" t="s">
        <v>72</v>
      </c>
      <c r="M18" s="126" t="s">
        <v>143</v>
      </c>
      <c r="N18" s="113">
        <v>40212</v>
      </c>
      <c r="O18" s="115">
        <f t="shared" ca="1" si="22"/>
        <v>9</v>
      </c>
      <c r="P18" s="115">
        <v>9</v>
      </c>
      <c r="Q18" s="115">
        <f t="shared" ca="1" si="23"/>
        <v>10</v>
      </c>
      <c r="R18" s="115">
        <f t="shared" ca="1" si="24"/>
        <v>10</v>
      </c>
      <c r="S18" s="127">
        <v>36800</v>
      </c>
      <c r="T18" s="142" t="str">
        <f t="shared" si="25"/>
        <v>수</v>
      </c>
      <c r="U18" s="145" t="str">
        <f>HLOOKUP(S18, 할인율!$C$1:$F$3,3,TRUE)</f>
        <v>SILVER</v>
      </c>
      <c r="V18" s="147">
        <f>INDEX(할인율!$C$4:$F$11,MATCH(P18,할인율!$B$4:$B$11,1), MATCH(U18,할인율!$C$3:$F$3,0))</f>
        <v>7.0000000000000007E-2</v>
      </c>
      <c r="AD18" s="175"/>
      <c r="AE18" s="200"/>
      <c r="AF18" s="30" t="s">
        <v>186</v>
      </c>
      <c r="AG18" s="64">
        <f>IFERROR(ROUND(AVERAGEIFS($V$2:$V$39,$U$2:$U$39,"="&amp;$AD$16,$J$2:$J$39,"="&amp;$AE16,$T$2:$T$39,"="&amp;AG$2),2),"-")</f>
        <v>0.13</v>
      </c>
      <c r="AH18" s="31">
        <f>IFERROR(ROUND(AVERAGEIFS($V$2:$V$39,$U$2:$U$39,"="&amp;$AD$16,$J$2:$J$39,"="&amp;$AE16,$T$2:$T$39,"="&amp;AH$2),2),"-")</f>
        <v>7.0000000000000007E-2</v>
      </c>
      <c r="AI18" s="31">
        <f>IFERROR(ROUND(AVERAGEIFS($V$2:$V$39,$U$2:$U$39,"="&amp;$AD$16,$J$2:$J$39,"="&amp;$AE16,$T$2:$T$39,"="&amp;AI$2),2),"-")</f>
        <v>7.0000000000000007E-2</v>
      </c>
      <c r="AJ18" s="31">
        <f>IFERROR(ROUND(AVERAGEIFS($V$2:$V$39,$U$2:$U$39,"="&amp;$AD$16,$J$2:$J$39,"="&amp;$AE16,$T$2:$T$39,"="&amp;AJ$2),2),"-")</f>
        <v>7.0000000000000007E-2</v>
      </c>
      <c r="AK18" s="31">
        <f>IFERROR(ROUND(AVERAGEIFS($V$2:$V$39,$U$2:$U$39,"="&amp;$AD$16,$J$2:$J$39,"="&amp;$AE16,$T$2:$T$39,"="&amp;AK$2),2),"-")</f>
        <v>0.03</v>
      </c>
      <c r="AL18" s="31">
        <f>IFERROR(ROUND(AVERAGEIFS($V$2:$V$39,$U$2:$U$39,"="&amp;$AD$16,$J$2:$J$39,"="&amp;$AE16,$T$2:$T$39,"="&amp;AL$2),2),"-")</f>
        <v>0.05</v>
      </c>
      <c r="AM18" s="32" t="str">
        <f>IFERROR(ROUND(AVERAGEIFS($V$2:$V$39,$U$2:$U$39,"="&amp;$AD$16,$J$2:$J$39,"="&amp;$AE16,$T$2:$T$39,"="&amp;AM$2),2),"-")</f>
        <v>-</v>
      </c>
      <c r="AS18" s="174"/>
      <c r="AT18" s="80" t="s">
        <v>191</v>
      </c>
      <c r="AU18" s="92">
        <f ca="1">_xlfn.MAXIFS($V$2:$V$39,$T$2:$T$39,"="&amp;$AS$17,$J$2:$J$39,"="&amp;$AT18,$I$2:$I$39,"&gt;="&amp;$AU$13,$I$2:$I$39,"&lt;"&amp;$AW$13)</f>
        <v>0</v>
      </c>
      <c r="AV18" s="100">
        <f ca="1">_xlfn.MINIFS($V$2:$V$39,$T$2:$T$39,"="&amp;$AS$17,$J$2:$J$39,"="&amp;$AT18,$I$2:$I$39,"&gt;="&amp;$AU$13,$I$2:$I$39,"&lt;"&amp;$AW$13)</f>
        <v>0</v>
      </c>
      <c r="AW18" s="100">
        <f ca="1">_xlfn.MAXIFS($V$2:$V$39,$T$2:$T$39,"="&amp;$AS$17,$J$2:$J$39,"="&amp;$AT18,$I$2:$I$39,"&gt;="&amp;$AW$13,$I$2:$I$39,"&lt;"&amp;$AY$13)</f>
        <v>0</v>
      </c>
      <c r="AX18" s="100">
        <f ca="1">_xlfn.MINIFS($V$2:$V$39,$T$2:$T$39,"="&amp;$AS$17,$J$2:$J$39,"="&amp;$AT18,$I$2:$I$39,"&gt;="&amp;$AW$13,$I$2:$I$39,"&lt;"&amp;$AY$13)</f>
        <v>0</v>
      </c>
      <c r="AY18" s="100">
        <f ca="1">_xlfn.MAXIFS($V$2:$V$39,$T$2:$T$39,"="&amp;$AS$17,$J$2:$J$39,"="&amp;$AT18,$I$2:$I$39,"&gt;="&amp;$AY$13)</f>
        <v>0.05</v>
      </c>
      <c r="AZ18" s="103">
        <f ca="1">_xlfn.MINIFS($V$2:$V$39,$T$2:$T$39,"="&amp;$AS$17,$J$2:$J$39,"="&amp;$AT18,$I$2:$I$39,"&gt;="&amp;$AY$13)</f>
        <v>0.04</v>
      </c>
    </row>
    <row r="19" spans="1:52" ht="17.100000000000001" customHeight="1" outlineLevel="2" thickTop="1" x14ac:dyDescent="0.3">
      <c r="A19" s="113" t="str">
        <f t="shared" si="13"/>
        <v>seaaaaaaa-8521</v>
      </c>
      <c r="B19" s="123" t="s">
        <v>40</v>
      </c>
      <c r="C19" s="124" t="s">
        <v>110</v>
      </c>
      <c r="D19" s="115" t="str">
        <f t="shared" si="14"/>
        <v>821224-2******</v>
      </c>
      <c r="E19" s="120">
        <f t="shared" si="15"/>
        <v>30309</v>
      </c>
      <c r="F19" s="115">
        <f t="shared" si="16"/>
        <v>1982</v>
      </c>
      <c r="G19" s="115">
        <f t="shared" si="17"/>
        <v>12</v>
      </c>
      <c r="H19" s="115">
        <f t="shared" si="18"/>
        <v>24</v>
      </c>
      <c r="I19" s="115">
        <f t="shared" ca="1" si="19"/>
        <v>36</v>
      </c>
      <c r="J19" s="124" t="str">
        <f t="shared" si="20"/>
        <v>여</v>
      </c>
      <c r="K19" s="115">
        <f t="shared" ca="1" si="21"/>
        <v>13503</v>
      </c>
      <c r="L19" s="125" t="s">
        <v>75</v>
      </c>
      <c r="M19" s="126" t="s">
        <v>146</v>
      </c>
      <c r="N19" s="113">
        <v>42274</v>
      </c>
      <c r="O19" s="115">
        <f t="shared" ca="1" si="22"/>
        <v>4</v>
      </c>
      <c r="P19" s="115">
        <v>4</v>
      </c>
      <c r="Q19" s="115">
        <f t="shared" ca="1" si="23"/>
        <v>2</v>
      </c>
      <c r="R19" s="115">
        <f t="shared" ca="1" si="24"/>
        <v>16</v>
      </c>
      <c r="S19" s="127">
        <v>78300</v>
      </c>
      <c r="T19" s="143" t="str">
        <f t="shared" si="25"/>
        <v>금</v>
      </c>
      <c r="U19" s="145" t="str">
        <f>HLOOKUP(S19, 할인율!$C$1:$F$3,3,TRUE)</f>
        <v>SILVER</v>
      </c>
      <c r="V19" s="147">
        <f>INDEX(할인율!$C$4:$F$11,MATCH(P19,할인율!$B$4:$B$11,1), MATCH(U19,할인율!$C$3:$F$3,0))</f>
        <v>0.05</v>
      </c>
      <c r="AD19" s="175"/>
      <c r="AE19" s="197" t="s">
        <v>170</v>
      </c>
      <c r="AF19" s="33" t="s">
        <v>183</v>
      </c>
      <c r="AG19" s="59">
        <f>COUNTIFS($U$2:$U$39,"="&amp;$AD$16,$J$2:$J$39,"="&amp;$AE19,$T$2:$T$39,"="&amp;AG$2)</f>
        <v>0</v>
      </c>
      <c r="AH19" s="34">
        <f>COUNTIFS($U$2:$U$39,"="&amp;$AD$16,$J$2:$J$39,"="&amp;$AE19,$T$2:$T$39,"="&amp;AH$2)</f>
        <v>1</v>
      </c>
      <c r="AI19" s="34">
        <f>COUNTIFS($U$2:$U$39,"="&amp;$AD$16,$J$2:$J$39,"="&amp;$AE19,$T$2:$T$39,"="&amp;AI$2)</f>
        <v>1</v>
      </c>
      <c r="AJ19" s="34">
        <f>COUNTIFS($U$2:$U$39,"="&amp;$AD$16,$J$2:$J$39,"="&amp;$AE19,$T$2:$T$39,"="&amp;AJ$2)</f>
        <v>0</v>
      </c>
      <c r="AK19" s="34">
        <f>COUNTIFS($U$2:$U$39,"="&amp;$AD$16,$J$2:$J$39,"="&amp;$AE19,$T$2:$T$39,"="&amp;AK$2)</f>
        <v>0</v>
      </c>
      <c r="AL19" s="34">
        <f>COUNTIFS($U$2:$U$39,"="&amp;$AD$16,$J$2:$J$39,"="&amp;$AE19,$T$2:$T$39,"="&amp;AL$2)</f>
        <v>1</v>
      </c>
      <c r="AM19" s="33">
        <f>COUNTIFS($U$2:$U$39,"="&amp;$AD$16,$J$2:$J$39,"="&amp;$AE19,$T$2:$T$39,"="&amp;AM$2)</f>
        <v>1</v>
      </c>
      <c r="AS19" s="175" t="s">
        <v>198</v>
      </c>
      <c r="AT19" s="73" t="s">
        <v>190</v>
      </c>
      <c r="AU19" s="89">
        <f ca="1">_xlfn.MAXIFS($V$2:$V$39,$T$2:$T$39,"="&amp;$AS$19,$J$2:$J$39,"="&amp;$AT19,$I$2:$I$39,"&gt;="&amp;$AU$13,$I$2:$I$39,"&lt;"&amp;$AW$13)</f>
        <v>0</v>
      </c>
      <c r="AV19" s="72">
        <f ca="1">_xlfn.MINIFS($V$2:$V$39,$T$2:$T$39,"="&amp;$AS$19,$J$2:$J$39,"="&amp;$AT19,$I$2:$I$39,"&gt;="&amp;$AU$13,$I$2:$I$39,"&lt;"&amp;$AW$13)</f>
        <v>0</v>
      </c>
      <c r="AW19" s="72">
        <f ca="1">_xlfn.MAXIFS($V$2:$V$39,$T$2:$T$39,"="&amp;$AS$19,$J$2:$J$39,"="&amp;$AT19,$I$2:$I$39,"&gt;="&amp;$AW$13,$I$2:$I$39,"&lt;"&amp;$AY$13)</f>
        <v>0.15</v>
      </c>
      <c r="AX19" s="72">
        <f ca="1">_xlfn.MINIFS($V$2:$V$39,$T$2:$T$39,"="&amp;$AS$19,$J$2:$J$39,"="&amp;$AT19,$I$2:$I$39,"&gt;="&amp;$AW$13,$I$2:$I$39,"&lt;"&amp;$AY$13)</f>
        <v>7.0000000000000007E-2</v>
      </c>
      <c r="AY19" s="72">
        <f ca="1">_xlfn.MAXIFS($V$2:$V$39,$T$2:$T$39,"="&amp;$AS$19,$J$2:$J$39,"="&amp;$AT19,$I$2:$I$39,"&gt;="&amp;$AY$13)</f>
        <v>0</v>
      </c>
      <c r="AZ19" s="104">
        <f ca="1">_xlfn.MINIFS($V$2:$V$39,$T$2:$T$39,"="&amp;$AS$19,$J$2:$J$39,"="&amp;$AT19,$I$2:$I$39,"&gt;="&amp;$AY$13)</f>
        <v>0</v>
      </c>
    </row>
    <row r="20" spans="1:52" ht="17.100000000000001" customHeight="1" outlineLevel="1" x14ac:dyDescent="0.3">
      <c r="A20" s="113"/>
      <c r="B20" s="123"/>
      <c r="C20" s="124"/>
      <c r="D20" s="115"/>
      <c r="E20" s="120"/>
      <c r="F20" s="115"/>
      <c r="G20" s="115"/>
      <c r="H20" s="115"/>
      <c r="I20" s="115"/>
      <c r="J20" s="124"/>
      <c r="K20" s="115"/>
      <c r="L20" s="125"/>
      <c r="M20" s="126"/>
      <c r="N20" s="113"/>
      <c r="O20" s="115"/>
      <c r="P20" s="115">
        <f>SUBTOTAL(1,P10:P19)</f>
        <v>7.2</v>
      </c>
      <c r="Q20" s="115"/>
      <c r="R20" s="115"/>
      <c r="S20" s="127">
        <f>SUBTOTAL(1,S10:S19)</f>
        <v>47120</v>
      </c>
      <c r="T20" s="143"/>
      <c r="U20" s="163" t="s">
        <v>209</v>
      </c>
      <c r="V20" s="147">
        <f>SUBTOTAL(1,V10:V19)</f>
        <v>6.900000000000002E-2</v>
      </c>
      <c r="AD20" s="175"/>
      <c r="AE20" s="198"/>
      <c r="AF20" s="38"/>
      <c r="AG20" s="65"/>
      <c r="AH20" s="39"/>
      <c r="AI20" s="39"/>
      <c r="AJ20" s="39"/>
      <c r="AK20" s="39"/>
      <c r="AL20" s="39"/>
      <c r="AM20" s="38"/>
      <c r="AS20" s="175"/>
      <c r="AT20" s="97"/>
      <c r="AU20" s="154"/>
      <c r="AV20" s="96"/>
      <c r="AW20" s="96"/>
      <c r="AX20" s="96"/>
      <c r="AY20" s="96"/>
      <c r="AZ20" s="101"/>
    </row>
    <row r="21" spans="1:52" ht="17.100000000000001" customHeight="1" outlineLevel="2" thickBot="1" x14ac:dyDescent="0.35">
      <c r="A21" s="113" t="str">
        <f t="shared" ref="A21:A33" si="26">LEFT(L21, FIND("@",L21)-1) &amp; "-" &amp; RIGHT(M21, 4)</f>
        <v>kjwoon79-4628</v>
      </c>
      <c r="B21" s="123" t="s">
        <v>14</v>
      </c>
      <c r="C21" s="124" t="s">
        <v>76</v>
      </c>
      <c r="D21" s="115" t="str">
        <f t="shared" ref="D21:D33" si="27">REPLACE(C21,9,,REPT("*",6))</f>
        <v>790809-1******</v>
      </c>
      <c r="E21" s="120">
        <f t="shared" ref="E21:E33" si="28">DATE(LEFT(C21,2), MID(C21,3,2), MID(C21,5,2))</f>
        <v>29076</v>
      </c>
      <c r="F21" s="115">
        <f t="shared" ref="F21:F33" si="29">YEAR(E21)</f>
        <v>1979</v>
      </c>
      <c r="G21" s="115">
        <f t="shared" ref="G21:G33" si="30">MONTH(E21)</f>
        <v>8</v>
      </c>
      <c r="H21" s="115">
        <f t="shared" ref="H21:H33" si="31">DAY(E21)</f>
        <v>9</v>
      </c>
      <c r="I21" s="115">
        <f t="shared" ref="I21:I33" ca="1" si="32">DATEDIF(E21, TODAY(), "Y")</f>
        <v>40</v>
      </c>
      <c r="J21" s="124" t="str">
        <f t="shared" ref="J21:J33" si="33">CHOOSE(RIGHT(C21,1), "남", "여", "남", "여")</f>
        <v>남</v>
      </c>
      <c r="K21" s="115">
        <f t="shared" ref="K21:K33" ca="1" si="34">DATEDIF(E21, TODAY(), "D")</f>
        <v>14736</v>
      </c>
      <c r="L21" s="125" t="s">
        <v>41</v>
      </c>
      <c r="M21" s="126" t="s">
        <v>112</v>
      </c>
      <c r="N21" s="113">
        <v>37424</v>
      </c>
      <c r="O21" s="115">
        <f t="shared" ref="O21:O33" ca="1" si="35">DATEDIF(N21, TODAY(), "Y")</f>
        <v>17</v>
      </c>
      <c r="P21" s="115">
        <v>17</v>
      </c>
      <c r="Q21" s="115">
        <f t="shared" ref="Q21:Q33" ca="1" si="36">DATEDIF(N21, TODAY(), "YM")</f>
        <v>5</v>
      </c>
      <c r="R21" s="115">
        <f t="shared" ref="R21:R33" ca="1" si="37">DATEDIF(N21, TODAY(), "MD")</f>
        <v>26</v>
      </c>
      <c r="S21" s="127">
        <v>123650</v>
      </c>
      <c r="T21" s="138" t="str">
        <f t="shared" ref="T21:T33" si="38">CHOOSE(WEEKDAY(E21), "일", "월", "화", "수", "목", "금", "토")</f>
        <v>목</v>
      </c>
      <c r="U21" s="136" t="str">
        <f>HLOOKUP(S21, 할인율!$C$1:$F$3,3,TRUE)</f>
        <v>GOLD</v>
      </c>
      <c r="V21" s="147">
        <f>INDEX(할인율!$C$4:$F$11,MATCH(P21,할인율!$B$4:$B$11,1), MATCH(U21,할인율!$C$3:$F$3,0))</f>
        <v>0.18</v>
      </c>
      <c r="AD21" s="175"/>
      <c r="AE21" s="198"/>
      <c r="AF21" s="28" t="s">
        <v>185</v>
      </c>
      <c r="AG21" s="60">
        <f>SUMIFS($S$2:$S$39,$U$2:$U$39,"="&amp;$AD$16,$J$2:$J$39,"="&amp;$AE19,$T$2:$T$39,"="&amp;AG$2)</f>
        <v>0</v>
      </c>
      <c r="AH21" s="48">
        <f>SUMIFS($S$2:$S$39,$U$2:$U$39,"="&amp;$AD$16,$J$2:$J$39,"="&amp;$AE19,$T$2:$T$39,"="&amp;AH$2)</f>
        <v>55600</v>
      </c>
      <c r="AI21" s="48">
        <f>SUMIFS($S$2:$S$39,$U$2:$U$39,"="&amp;$AD$16,$J$2:$J$39,"="&amp;$AE19,$T$2:$T$39,"="&amp;AI$2)</f>
        <v>46000</v>
      </c>
      <c r="AJ21" s="48">
        <f>SUMIFS($S$2:$S$39,$U$2:$U$39,"="&amp;$AD$16,$J$2:$J$39,"="&amp;$AE19,$T$2:$T$39,"="&amp;AJ$2)</f>
        <v>0</v>
      </c>
      <c r="AK21" s="48">
        <f>SUMIFS($S$2:$S$39,$U$2:$U$39,"="&amp;$AD$16,$J$2:$J$39,"="&amp;$AE19,$T$2:$T$39,"="&amp;AK$2)</f>
        <v>0</v>
      </c>
      <c r="AL21" s="48">
        <f>SUMIFS($S$2:$S$39,$U$2:$U$39,"="&amp;$AD$16,$J$2:$J$39,"="&amp;$AE19,$T$2:$T$39,"="&amp;AL$2)</f>
        <v>78300</v>
      </c>
      <c r="AM21" s="29">
        <f>SUMIFS($S$2:$S$39,$U$2:$U$39,"="&amp;$AD$16,$J$2:$J$39,"="&amp;$AE19,$T$2:$T$39,"="&amp;AM$2)</f>
        <v>23000</v>
      </c>
      <c r="AS21" s="175"/>
      <c r="AT21" s="87" t="s">
        <v>191</v>
      </c>
      <c r="AU21" s="91">
        <f ca="1">_xlfn.MAXIFS($V$2:$V$39,$T$2:$T$39,"="&amp;$AS$19,$J$2:$J$39,"="&amp;$AT21,$I$2:$I$39,"&gt;="&amp;$AU$13,$I$2:$I$39,"&lt;"&amp;$AW$13)</f>
        <v>0</v>
      </c>
      <c r="AV21" s="96">
        <f ca="1">_xlfn.MINIFS($V$2:$V$39,$T$2:$T$39,"="&amp;$AS$19,$J$2:$J$39,"="&amp;$AT21,$I$2:$I$39,"&gt;="&amp;$AU$13,$I$2:$I$39,"&lt;"&amp;$AW$13)</f>
        <v>0</v>
      </c>
      <c r="AW21" s="96">
        <f ca="1">_xlfn.MAXIFS($V$2:$V$39,$T$2:$T$39,"="&amp;$AS$19,$J$2:$J$39,"="&amp;$AT21,$I$2:$I$39,"&gt;="&amp;$AW$13,$I$2:$I$39,"&lt;"&amp;$AY$13)</f>
        <v>0.1</v>
      </c>
      <c r="AX21" s="96">
        <f ca="1">_xlfn.MINIFS($V$2:$V$39,$T$2:$T$39,"="&amp;$AS$19,$J$2:$J$39,"="&amp;$AT21,$I$2:$I$39,"&gt;="&amp;$AW$13,$I$2:$I$39,"&lt;"&amp;$AY$13)</f>
        <v>0</v>
      </c>
      <c r="AY21" s="96">
        <f ca="1">_xlfn.MAXIFS($V$2:$V$39,$T$2:$T$39,"="&amp;$AS$19,$J$2:$J$39,"="&amp;$AT21,$I$2:$I$39,"&gt;="&amp;$AY$13)</f>
        <v>0.15</v>
      </c>
      <c r="AZ21" s="101">
        <f ca="1">_xlfn.MINIFS($V$2:$V$39,$T$2:$T$39,"="&amp;$AS$19,$J$2:$J$39,"="&amp;$AT21,$I$2:$I$39,"&gt;="&amp;$AY$13)</f>
        <v>0.15</v>
      </c>
    </row>
    <row r="22" spans="1:52" ht="17.100000000000001" customHeight="1" outlineLevel="2" thickTop="1" thickBot="1" x14ac:dyDescent="0.35">
      <c r="A22" s="113" t="str">
        <f t="shared" si="26"/>
        <v>kjw8855-7896</v>
      </c>
      <c r="B22" s="123" t="s">
        <v>17</v>
      </c>
      <c r="C22" s="124" t="s">
        <v>79</v>
      </c>
      <c r="D22" s="115" t="str">
        <f t="shared" si="27"/>
        <v>880305-1******</v>
      </c>
      <c r="E22" s="120">
        <f t="shared" si="28"/>
        <v>32207</v>
      </c>
      <c r="F22" s="115">
        <f t="shared" si="29"/>
        <v>1988</v>
      </c>
      <c r="G22" s="115">
        <f t="shared" si="30"/>
        <v>3</v>
      </c>
      <c r="H22" s="115">
        <f t="shared" si="31"/>
        <v>5</v>
      </c>
      <c r="I22" s="115">
        <f t="shared" ca="1" si="32"/>
        <v>31</v>
      </c>
      <c r="J22" s="124" t="str">
        <f t="shared" si="33"/>
        <v>남</v>
      </c>
      <c r="K22" s="115">
        <f t="shared" ca="1" si="34"/>
        <v>11605</v>
      </c>
      <c r="L22" s="125" t="s">
        <v>44</v>
      </c>
      <c r="M22" s="126" t="s">
        <v>115</v>
      </c>
      <c r="N22" s="113">
        <v>40005</v>
      </c>
      <c r="O22" s="115">
        <f t="shared" ca="1" si="35"/>
        <v>10</v>
      </c>
      <c r="P22" s="115">
        <v>10</v>
      </c>
      <c r="Q22" s="115">
        <f t="shared" ca="1" si="36"/>
        <v>5</v>
      </c>
      <c r="R22" s="115">
        <f t="shared" ca="1" si="37"/>
        <v>2</v>
      </c>
      <c r="S22" s="127">
        <v>143000</v>
      </c>
      <c r="T22" s="144" t="str">
        <f t="shared" si="38"/>
        <v>토</v>
      </c>
      <c r="U22" s="136" t="str">
        <f>HLOOKUP(S22, 할인율!$C$1:$F$3,3,TRUE)</f>
        <v>GOLD</v>
      </c>
      <c r="V22" s="147">
        <f>INDEX(할인율!$C$4:$F$11,MATCH(P22,할인율!$B$4:$B$11,1), MATCH(U22,할인율!$C$3:$F$3,0))</f>
        <v>0.15</v>
      </c>
      <c r="AD22" s="174"/>
      <c r="AE22" s="201"/>
      <c r="AF22" s="35" t="s">
        <v>186</v>
      </c>
      <c r="AG22" s="61" t="str">
        <f>IFERROR(ROUND(AVERAGEIFS($V$2:$V$39,$U$2:$U$39,"="&amp;$AD$16,$J$2:$J$39,"="&amp;$AE19,$T$2:$T$39,"="&amp;AG$2),2),"-")</f>
        <v>-</v>
      </c>
      <c r="AH22" s="36">
        <f>IFERROR(ROUND(AVERAGEIFS($V$2:$V$39,$U$2:$U$39,"="&amp;$AD$16,$J$2:$J$39,"="&amp;$AE19,$T$2:$T$39,"="&amp;AH$2),2),"-")</f>
        <v>0.05</v>
      </c>
      <c r="AI22" s="36">
        <f>IFERROR(ROUND(AVERAGEIFS($V$2:$V$39,$U$2:$U$39,"="&amp;$AD$16,$J$2:$J$39,"="&amp;$AE19,$T$2:$T$39,"="&amp;AI$2),2),"-")</f>
        <v>0.1</v>
      </c>
      <c r="AJ22" s="36" t="str">
        <f>IFERROR(ROUND(AVERAGEIFS($V$2:$V$39,$U$2:$U$39,"="&amp;$AD$16,$J$2:$J$39,"="&amp;$AE19,$T$2:$T$39,"="&amp;AJ$2),2),"-")</f>
        <v>-</v>
      </c>
      <c r="AK22" s="36" t="str">
        <f>IFERROR(ROUND(AVERAGEIFS($V$2:$V$39,$U$2:$U$39,"="&amp;$AD$16,$J$2:$J$39,"="&amp;$AE19,$T$2:$T$39,"="&amp;AK$2),2),"-")</f>
        <v>-</v>
      </c>
      <c r="AL22" s="36">
        <f>IFERROR(ROUND(AVERAGEIFS($V$2:$V$39,$U$2:$U$39,"="&amp;$AD$16,$J$2:$J$39,"="&amp;$AE19,$T$2:$T$39,"="&amp;AL$2),2),"-")</f>
        <v>0.05</v>
      </c>
      <c r="AM22" s="37">
        <f>IFERROR(ROUND(AVERAGEIFS($V$2:$V$39,$U$2:$U$39,"="&amp;$AD$16,$J$2:$J$39,"="&amp;$AE19,$T$2:$T$39,"="&amp;AM$2),2),"-")</f>
        <v>7.0000000000000007E-2</v>
      </c>
      <c r="AS22" s="173" t="s">
        <v>199</v>
      </c>
      <c r="AT22" s="88" t="s">
        <v>190</v>
      </c>
      <c r="AU22" s="98">
        <f ca="1">_xlfn.MAXIFS($V$2:$V$39,$T$2:$T$39,"="&amp;$AS$22,$J$2:$J$39,"="&amp;$AT22,$I$2:$I$39,"&gt;="&amp;$AU$13,$I$2:$I$39,"&lt;"&amp;$AW$13)</f>
        <v>0</v>
      </c>
      <c r="AV22" s="99">
        <f ca="1">_xlfn.MINIFS($V$2:$V$39,$T$2:$T$39,"="&amp;$AS$22,$J$2:$J$39,"="&amp;$AT22,$I$2:$I$39,"&gt;="&amp;$AU$13,$I$2:$I$39,"&lt;"&amp;$AW$13)</f>
        <v>0</v>
      </c>
      <c r="AW22" s="99">
        <f ca="1">_xlfn.MAXIFS($V$2:$V$39,$T$2:$T$39,"="&amp;$AS$22,$J$2:$J$39,"="&amp;$AT22,$I$2:$I$39,"&gt;="&amp;$AW$13,$I$2:$I$39,"&lt;"&amp;$AY$13)</f>
        <v>0.12</v>
      </c>
      <c r="AX22" s="99">
        <f ca="1">_xlfn.MINIFS($V$2:$V$39,$T$2:$T$39,"="&amp;$AS$22,$J$2:$J$39,"="&amp;$AT22,$I$2:$I$39,"&gt;="&amp;$AW$13,$I$2:$I$39,"&lt;"&amp;$AY$13)</f>
        <v>7.0000000000000007E-2</v>
      </c>
      <c r="AY22" s="99">
        <f ca="1">_xlfn.MAXIFS($V$2:$V$39,$T$2:$T$39,"="&amp;$AS$22,$J$2:$J$39,"="&amp;$AT22,$I$2:$I$39,"&gt;="&amp;$AY$13)</f>
        <v>0</v>
      </c>
      <c r="AZ22" s="102">
        <f ca="1">_xlfn.MINIFS($V$2:$V$39,$T$2:$T$39,"="&amp;$AS$22,$J$2:$J$39,"="&amp;$AT22,$I$2:$I$39,"&gt;="&amp;$AY$13)</f>
        <v>0</v>
      </c>
    </row>
    <row r="23" spans="1:52" ht="17.100000000000001" customHeight="1" outlineLevel="2" thickTop="1" thickBot="1" x14ac:dyDescent="0.35">
      <c r="A23" s="113" t="str">
        <f t="shared" si="26"/>
        <v>ppororo2157-7412</v>
      </c>
      <c r="B23" s="123" t="s">
        <v>18</v>
      </c>
      <c r="C23" s="124" t="s">
        <v>80</v>
      </c>
      <c r="D23" s="115" t="str">
        <f t="shared" si="27"/>
        <v>750102-2******</v>
      </c>
      <c r="E23" s="120">
        <f t="shared" si="28"/>
        <v>27396</v>
      </c>
      <c r="F23" s="115">
        <f t="shared" si="29"/>
        <v>1975</v>
      </c>
      <c r="G23" s="115">
        <f t="shared" si="30"/>
        <v>1</v>
      </c>
      <c r="H23" s="115">
        <f t="shared" si="31"/>
        <v>2</v>
      </c>
      <c r="I23" s="115">
        <f t="shared" ca="1" si="32"/>
        <v>44</v>
      </c>
      <c r="J23" s="124" t="str">
        <f t="shared" si="33"/>
        <v>여</v>
      </c>
      <c r="K23" s="115">
        <f t="shared" ca="1" si="34"/>
        <v>16416</v>
      </c>
      <c r="L23" s="125" t="s">
        <v>45</v>
      </c>
      <c r="M23" s="126" t="s">
        <v>116</v>
      </c>
      <c r="N23" s="113">
        <v>40605</v>
      </c>
      <c r="O23" s="115">
        <f t="shared" ca="1" si="35"/>
        <v>8</v>
      </c>
      <c r="P23" s="115">
        <v>8</v>
      </c>
      <c r="Q23" s="115">
        <f t="shared" ca="1" si="36"/>
        <v>9</v>
      </c>
      <c r="R23" s="115">
        <f t="shared" ca="1" si="37"/>
        <v>10</v>
      </c>
      <c r="S23" s="127">
        <v>186300</v>
      </c>
      <c r="T23" s="138" t="str">
        <f t="shared" si="38"/>
        <v>목</v>
      </c>
      <c r="U23" s="136" t="str">
        <f>HLOOKUP(S23, 할인율!$C$1:$F$3,3,TRUE)</f>
        <v>GOLD</v>
      </c>
      <c r="V23" s="147">
        <f>INDEX(할인율!$C$4:$F$11,MATCH(P23,할인율!$B$4:$B$11,1), MATCH(U23,할인율!$C$3:$F$3,0))</f>
        <v>0.12</v>
      </c>
      <c r="AD23" s="175" t="s">
        <v>173</v>
      </c>
      <c r="AE23" s="198" t="s">
        <v>169</v>
      </c>
      <c r="AF23" s="38" t="s">
        <v>183</v>
      </c>
      <c r="AG23" s="65">
        <f>COUNTIFS($U$2:$U$39,"="&amp;$AD$23,$J$2:$J$39,"="&amp;$AE23,$T$2:$T$39,"="&amp;AG$2)</f>
        <v>1</v>
      </c>
      <c r="AH23" s="39">
        <f>COUNTIFS($U$2:$U$39,"="&amp;$AD$23,$J$2:$J$39,"="&amp;$AE23,$T$2:$T$39,"="&amp;AH$2)</f>
        <v>0</v>
      </c>
      <c r="AI23" s="39">
        <f>COUNTIFS($U$2:$U$39,"="&amp;$AD$23,$J$2:$J$39,"="&amp;$AE23,$T$2:$T$39,"="&amp;AI$2)</f>
        <v>0</v>
      </c>
      <c r="AJ23" s="39">
        <f>COUNTIFS($U$2:$U$39,"="&amp;$AD$23,$J$2:$J$39,"="&amp;$AE23,$T$2:$T$39,"="&amp;AJ$2)</f>
        <v>0</v>
      </c>
      <c r="AK23" s="39">
        <f>COUNTIFS($U$2:$U$39,"="&amp;$AD$23,$J$2:$J$39,"="&amp;$AE23,$T$2:$T$39,"="&amp;AK$2)</f>
        <v>0</v>
      </c>
      <c r="AL23" s="39">
        <f>COUNTIFS($U$2:$U$39,"="&amp;$AD$23,$J$2:$J$39,"="&amp;$AE23,$T$2:$T$39,"="&amp;AL$2)</f>
        <v>1</v>
      </c>
      <c r="AM23" s="38">
        <f>COUNTIFS($U$2:$U$39,"="&amp;$AD$23,$J$2:$J$39,"="&amp;$AE23,$T$2:$T$39,"="&amp;AM$2)</f>
        <v>0</v>
      </c>
      <c r="AS23" s="174"/>
      <c r="AT23" s="80" t="s">
        <v>191</v>
      </c>
      <c r="AU23" s="92">
        <f ca="1">_xlfn.MAXIFS($V$2:$V$39,$T$2:$T$39,"="&amp;$AS$22,$J$2:$J$39,"="&amp;$AT23,$I$2:$I$39,"&gt;="&amp;$AU$13,$I$2:$I$39,"&lt;"&amp;$AW$13)</f>
        <v>0</v>
      </c>
      <c r="AV23" s="100">
        <f ca="1">_xlfn.MINIFS($V$2:$V$39,$T$2:$T$39,"="&amp;$AS$22,$J$2:$J$39,"="&amp;$AT23,$I$2:$I$39,"&gt;="&amp;$AU$13,$I$2:$I$39,"&lt;"&amp;$AW$13)</f>
        <v>0</v>
      </c>
      <c r="AW23" s="100">
        <f ca="1">_xlfn.MAXIFS($V$2:$V$39,$T$2:$T$39,"="&amp;$AS$22,$J$2:$J$39,"="&amp;$AT23,$I$2:$I$39,"&gt;="&amp;$AW$13,$I$2:$I$39,"&lt;"&amp;$AY$13)</f>
        <v>0.15</v>
      </c>
      <c r="AX23" s="100">
        <f ca="1">_xlfn.MINIFS($V$2:$V$39,$T$2:$T$39,"="&amp;$AS$22,$J$2:$J$39,"="&amp;$AT23,$I$2:$I$39,"&gt;="&amp;$AW$13,$I$2:$I$39,"&lt;"&amp;$AY$13)</f>
        <v>0.15</v>
      </c>
      <c r="AY23" s="100">
        <f ca="1">_xlfn.MAXIFS($V$2:$V$39,$T$2:$T$39,"="&amp;$AS$22,$J$2:$J$39,"="&amp;$AT23,$I$2:$I$39,"&gt;="&amp;$AY$13)</f>
        <v>0</v>
      </c>
      <c r="AZ23" s="103">
        <f ca="1">_xlfn.MINIFS($V$2:$V$39,$T$2:$T$39,"="&amp;$AS$22,$J$2:$J$39,"="&amp;$AT23,$I$2:$I$39,"&gt;="&amp;$AY$13)</f>
        <v>0</v>
      </c>
    </row>
    <row r="24" spans="1:52" ht="17.100000000000001" customHeight="1" outlineLevel="2" thickTop="1" x14ac:dyDescent="0.3">
      <c r="A24" s="113" t="str">
        <f t="shared" si="26"/>
        <v>luvsi123-5213</v>
      </c>
      <c r="B24" s="123" t="s">
        <v>20</v>
      </c>
      <c r="C24" s="124" t="s">
        <v>82</v>
      </c>
      <c r="D24" s="115" t="str">
        <f t="shared" si="27"/>
        <v>860319-2******</v>
      </c>
      <c r="E24" s="120">
        <f t="shared" si="28"/>
        <v>31490</v>
      </c>
      <c r="F24" s="115">
        <f t="shared" si="29"/>
        <v>1986</v>
      </c>
      <c r="G24" s="115">
        <f t="shared" si="30"/>
        <v>3</v>
      </c>
      <c r="H24" s="115">
        <f t="shared" si="31"/>
        <v>19</v>
      </c>
      <c r="I24" s="115">
        <f t="shared" ca="1" si="32"/>
        <v>33</v>
      </c>
      <c r="J24" s="124" t="str">
        <f t="shared" si="33"/>
        <v>여</v>
      </c>
      <c r="K24" s="115">
        <f t="shared" ca="1" si="34"/>
        <v>12322</v>
      </c>
      <c r="L24" s="125" t="s">
        <v>47</v>
      </c>
      <c r="M24" s="126" t="s">
        <v>118</v>
      </c>
      <c r="N24" s="113">
        <v>39273</v>
      </c>
      <c r="O24" s="115">
        <f t="shared" ca="1" si="35"/>
        <v>12</v>
      </c>
      <c r="P24" s="115">
        <v>12</v>
      </c>
      <c r="Q24" s="115">
        <f t="shared" ca="1" si="36"/>
        <v>5</v>
      </c>
      <c r="R24" s="115">
        <f t="shared" ca="1" si="37"/>
        <v>3</v>
      </c>
      <c r="S24" s="127">
        <v>168000</v>
      </c>
      <c r="T24" s="142" t="str">
        <f t="shared" si="38"/>
        <v>수</v>
      </c>
      <c r="U24" s="136" t="str">
        <f>HLOOKUP(S24, 할인율!$C$1:$F$3,3,TRUE)</f>
        <v>GOLD</v>
      </c>
      <c r="V24" s="147">
        <f>INDEX(할인율!$C$4:$F$11,MATCH(P24,할인율!$B$4:$B$11,1), MATCH(U24,할인율!$C$3:$F$3,0))</f>
        <v>0.15</v>
      </c>
      <c r="AD24" s="175"/>
      <c r="AE24" s="198"/>
      <c r="AF24" s="28" t="s">
        <v>185</v>
      </c>
      <c r="AG24" s="60">
        <f>SUMIFS($S$2:$S$39,$U$2:$U$39,"="&amp;$AD$23,$J$2:$J$39,"="&amp;$AE23,$T$2:$T$39,"="&amp;AG$2)</f>
        <v>9200</v>
      </c>
      <c r="AH24" s="48">
        <f>SUMIFS($S$2:$S$39,$U$2:$U$39,"="&amp;$AD$23,$J$2:$J$39,"="&amp;$AE23,$T$2:$T$39,"="&amp;AH$2)</f>
        <v>0</v>
      </c>
      <c r="AI24" s="48">
        <f>SUMIFS($S$2:$S$39,$U$2:$U$39,"="&amp;$AD$23,$J$2:$J$39,"="&amp;$AE23,$T$2:$T$39,"="&amp;AI$2)</f>
        <v>0</v>
      </c>
      <c r="AJ24" s="48">
        <f>SUMIFS($S$2:$S$39,$U$2:$U$39,"="&amp;$AD$23,$J$2:$J$39,"="&amp;$AE23,$T$2:$T$39,"="&amp;AJ$2)</f>
        <v>0</v>
      </c>
      <c r="AK24" s="48">
        <f>SUMIFS($S$2:$S$39,$U$2:$U$39,"="&amp;$AD$23,$J$2:$J$39,"="&amp;$AE23,$T$2:$T$39,"="&amp;AK$2)</f>
        <v>0</v>
      </c>
      <c r="AL24" s="48">
        <f>SUMIFS($S$2:$S$39,$U$2:$U$39,"="&amp;$AD$23,$J$2:$J$39,"="&amp;$AE23,$T$2:$T$39,"="&amp;AL$2)</f>
        <v>400</v>
      </c>
      <c r="AM24" s="29">
        <f>SUMIFS($S$2:$S$39,$U$2:$U$39,"="&amp;$AD$23,$J$2:$J$39,"="&amp;$AE23,$T$2:$T$39,"="&amp;AM$2)</f>
        <v>0</v>
      </c>
      <c r="AS24" s="175" t="s">
        <v>200</v>
      </c>
      <c r="AT24" s="73" t="s">
        <v>190</v>
      </c>
      <c r="AU24" s="89">
        <f ca="1">_xlfn.MAXIFS($V$2:$V$39,$T$2:$T$39,"="&amp;$AS$24,$J$2:$J$39,"="&amp;$AT24,$I$2:$I$39,"&gt;="&amp;$AU$13,$I$2:$I$39,"&lt;"&amp;$AW$13)</f>
        <v>0</v>
      </c>
      <c r="AV24" s="72">
        <f ca="1">_xlfn.MINIFS($V$2:$V$39,$T$2:$T$39,"="&amp;$AS$24,$J$2:$J$39,"="&amp;$AT24,$I$2:$I$39,"&gt;="&amp;$AU$13,$I$2:$I$39,"&lt;"&amp;$AW$13)</f>
        <v>0</v>
      </c>
      <c r="AW24" s="72">
        <f ca="1">_xlfn.MAXIFS($V$2:$V$39,$T$2:$T$39,"="&amp;$AS$24,$J$2:$J$39,"="&amp;$AT24,$I$2:$I$39,"&gt;="&amp;$AW$13,$I$2:$I$39,"&lt;"&amp;$AY$13)</f>
        <v>0</v>
      </c>
      <c r="AX24" s="72">
        <f ca="1">_xlfn.MINIFS($V$2:$V$39,$T$2:$T$39,"="&amp;$AS$24,$J$2:$J$39,"="&amp;$AT24,$I$2:$I$39,"&gt;="&amp;$AW$13,$I$2:$I$39,"&lt;"&amp;$AY$13)</f>
        <v>0</v>
      </c>
      <c r="AY24" s="72">
        <f ca="1">_xlfn.MAXIFS($V$2:$V$39,$T$2:$T$39,"="&amp;$AS$24,$J$2:$J$39,"="&amp;$AT24,$I$2:$I$39,"&gt;="&amp;$AY$13)</f>
        <v>0.18</v>
      </c>
      <c r="AZ24" s="104">
        <f ca="1">_xlfn.MINIFS($V$2:$V$39,$T$2:$T$39,"="&amp;$AS$24,$J$2:$J$39,"="&amp;$AT24,$I$2:$I$39,"&gt;="&amp;$AY$13)</f>
        <v>0.03</v>
      </c>
    </row>
    <row r="25" spans="1:52" ht="17.100000000000001" customHeight="1" outlineLevel="2" thickBot="1" x14ac:dyDescent="0.35">
      <c r="A25" s="113" t="str">
        <f t="shared" si="26"/>
        <v>teakjjingg-4613</v>
      </c>
      <c r="B25" s="123" t="s">
        <v>22</v>
      </c>
      <c r="C25" s="124" t="s">
        <v>84</v>
      </c>
      <c r="D25" s="115" t="str">
        <f t="shared" si="27"/>
        <v>800729-1******</v>
      </c>
      <c r="E25" s="120">
        <f t="shared" si="28"/>
        <v>29431</v>
      </c>
      <c r="F25" s="115">
        <f t="shared" si="29"/>
        <v>1980</v>
      </c>
      <c r="G25" s="115">
        <f t="shared" si="30"/>
        <v>7</v>
      </c>
      <c r="H25" s="115">
        <f t="shared" si="31"/>
        <v>29</v>
      </c>
      <c r="I25" s="115">
        <f t="shared" ca="1" si="32"/>
        <v>39</v>
      </c>
      <c r="J25" s="124" t="str">
        <f t="shared" si="33"/>
        <v>남</v>
      </c>
      <c r="K25" s="115">
        <f t="shared" ca="1" si="34"/>
        <v>14381</v>
      </c>
      <c r="L25" s="125" t="s">
        <v>49</v>
      </c>
      <c r="M25" s="126" t="s">
        <v>120</v>
      </c>
      <c r="N25" s="113">
        <v>41245</v>
      </c>
      <c r="O25" s="115">
        <f t="shared" ca="1" si="35"/>
        <v>7</v>
      </c>
      <c r="P25" s="115">
        <v>6</v>
      </c>
      <c r="Q25" s="115">
        <f t="shared" ca="1" si="36"/>
        <v>0</v>
      </c>
      <c r="R25" s="115">
        <f t="shared" ca="1" si="37"/>
        <v>11</v>
      </c>
      <c r="S25" s="127">
        <v>199000</v>
      </c>
      <c r="T25" s="141" t="str">
        <f t="shared" si="38"/>
        <v>화</v>
      </c>
      <c r="U25" s="136" t="str">
        <f>HLOOKUP(S25, 할인율!$C$1:$F$3,3,TRUE)</f>
        <v>GOLD</v>
      </c>
      <c r="V25" s="147">
        <f>INDEX(할인율!$C$4:$F$11,MATCH(P25,할인율!$B$4:$B$11,1), MATCH(U25,할인율!$C$3:$F$3,0))</f>
        <v>0.12</v>
      </c>
      <c r="AD25" s="175"/>
      <c r="AE25" s="200"/>
      <c r="AF25" s="30" t="s">
        <v>186</v>
      </c>
      <c r="AG25" s="64">
        <f>IFERROR(ROUND(AVERAGEIFS($V$2:$V$39,$U$2:$U$39,"="&amp;$AD$23,$J$2:$J$39,"="&amp;$AE23,$T$2:$T$39,"="&amp;AG$2),2),"-")</f>
        <v>0</v>
      </c>
      <c r="AH25" s="31" t="str">
        <f>IFERROR(ROUND(AVERAGEIFS($V$2:$V$39,$U$2:$U$39,"="&amp;$AD$23,$J$2:$J$39,"="&amp;$AE23,$T$2:$T$39,"="&amp;AH$2),2),"-")</f>
        <v>-</v>
      </c>
      <c r="AI25" s="31" t="str">
        <f>IFERROR(ROUND(AVERAGEIFS($V$2:$V$39,$U$2:$U$39,"="&amp;$AD$23,$J$2:$J$39,"="&amp;$AE23,$T$2:$T$39,"="&amp;AI$2),2),"-")</f>
        <v>-</v>
      </c>
      <c r="AJ25" s="31" t="str">
        <f>IFERROR(ROUND(AVERAGEIFS($V$2:$V$39,$U$2:$U$39,"="&amp;$AD$23,$J$2:$J$39,"="&amp;$AE23,$T$2:$T$39,"="&amp;AJ$2),2),"-")</f>
        <v>-</v>
      </c>
      <c r="AK25" s="31" t="str">
        <f>IFERROR(ROUND(AVERAGEIFS($V$2:$V$39,$U$2:$U$39,"="&amp;$AD$23,$J$2:$J$39,"="&amp;$AE23,$T$2:$T$39,"="&amp;AK$2),2),"-")</f>
        <v>-</v>
      </c>
      <c r="AL25" s="31">
        <f>IFERROR(ROUND(AVERAGEIFS($V$2:$V$39,$U$2:$U$39,"="&amp;$AD$23,$J$2:$J$39,"="&amp;$AE23,$T$2:$T$39,"="&amp;AL$2),2),"-")</f>
        <v>0</v>
      </c>
      <c r="AM25" s="32" t="str">
        <f>IFERROR(ROUND(AVERAGEIFS($V$2:$V$39,$U$2:$U$39,"="&amp;$AD$23,$J$2:$J$39,"="&amp;$AE23,$T$2:$T$39,"="&amp;AM$2),2),"-")</f>
        <v>-</v>
      </c>
      <c r="AS25" s="175"/>
      <c r="AT25" s="87" t="s">
        <v>191</v>
      </c>
      <c r="AU25" s="91">
        <f ca="1">_xlfn.MAXIFS($V$2:$V$39,$T$2:$T$39,"="&amp;$AS$24,$J$2:$J$39,"="&amp;$AT25,$I$2:$I$39,"&gt;="&amp;$AU$13,$I$2:$I$39,"&lt;"&amp;$AW$13)</f>
        <v>0</v>
      </c>
      <c r="AV25" s="96">
        <f ca="1">_xlfn.MINIFS($V$2:$V$39,$T$2:$T$39,"="&amp;$AS$24,$J$2:$J$39,"="&amp;$AT25,$I$2:$I$39,"&gt;="&amp;$AU$13,$I$2:$I$39,"&lt;"&amp;$AW$13)</f>
        <v>0</v>
      </c>
      <c r="AW25" s="96">
        <f ca="1">_xlfn.MAXIFS($V$2:$V$39,$T$2:$T$39,"="&amp;$AS$24,$J$2:$J$39,"="&amp;$AT25,$I$2:$I$39,"&gt;="&amp;$AW$13,$I$2:$I$39,"&lt;"&amp;$AY$13)</f>
        <v>0.15</v>
      </c>
      <c r="AX25" s="96">
        <f ca="1">_xlfn.MINIFS($V$2:$V$39,$T$2:$T$39,"="&amp;$AS$24,$J$2:$J$39,"="&amp;$AT25,$I$2:$I$39,"&gt;="&amp;$AW$13,$I$2:$I$39,"&lt;"&amp;$AY$13)</f>
        <v>0.15</v>
      </c>
      <c r="AY25" s="96">
        <f ca="1">_xlfn.MAXIFS($V$2:$V$39,$T$2:$T$39,"="&amp;$AS$24,$J$2:$J$39,"="&amp;$AT25,$I$2:$I$39,"&gt;="&amp;$AY$13)</f>
        <v>0.12</v>
      </c>
      <c r="AZ25" s="101">
        <f ca="1">_xlfn.MINIFS($V$2:$V$39,$T$2:$T$39,"="&amp;$AS$24,$J$2:$J$39,"="&amp;$AT25,$I$2:$I$39,"&gt;="&amp;$AY$13)</f>
        <v>0.12</v>
      </c>
    </row>
    <row r="26" spans="1:52" ht="17.100000000000001" customHeight="1" outlineLevel="2" thickTop="1" x14ac:dyDescent="0.3">
      <c r="A26" s="113" t="str">
        <f t="shared" si="26"/>
        <v>ddongyoon-9856</v>
      </c>
      <c r="B26" s="123" t="s">
        <v>28</v>
      </c>
      <c r="C26" s="124" t="s">
        <v>90</v>
      </c>
      <c r="D26" s="115" t="str">
        <f t="shared" si="27"/>
        <v>840911-1******</v>
      </c>
      <c r="E26" s="120">
        <f t="shared" si="28"/>
        <v>30936</v>
      </c>
      <c r="F26" s="115">
        <f t="shared" si="29"/>
        <v>1984</v>
      </c>
      <c r="G26" s="115">
        <f t="shared" si="30"/>
        <v>9</v>
      </c>
      <c r="H26" s="115">
        <f t="shared" si="31"/>
        <v>11</v>
      </c>
      <c r="I26" s="115">
        <f t="shared" ca="1" si="32"/>
        <v>35</v>
      </c>
      <c r="J26" s="124" t="str">
        <f t="shared" si="33"/>
        <v>남</v>
      </c>
      <c r="K26" s="115">
        <f t="shared" ca="1" si="34"/>
        <v>12876</v>
      </c>
      <c r="L26" s="125" t="s">
        <v>55</v>
      </c>
      <c r="M26" s="126" t="s">
        <v>126</v>
      </c>
      <c r="N26" s="113">
        <v>38946</v>
      </c>
      <c r="O26" s="115">
        <f t="shared" ca="1" si="35"/>
        <v>13</v>
      </c>
      <c r="P26" s="115">
        <v>13</v>
      </c>
      <c r="Q26" s="115">
        <f t="shared" ca="1" si="36"/>
        <v>3</v>
      </c>
      <c r="R26" s="115">
        <f t="shared" ca="1" si="37"/>
        <v>26</v>
      </c>
      <c r="S26" s="127">
        <v>154000</v>
      </c>
      <c r="T26" s="141" t="str">
        <f t="shared" si="38"/>
        <v>화</v>
      </c>
      <c r="U26" s="136" t="str">
        <f>HLOOKUP(S26, 할인율!$C$1:$F$3,3,TRUE)</f>
        <v>GOLD</v>
      </c>
      <c r="V26" s="147">
        <f>INDEX(할인율!$C$4:$F$11,MATCH(P26,할인율!$B$4:$B$11,1), MATCH(U26,할인율!$C$3:$F$3,0))</f>
        <v>0.15</v>
      </c>
      <c r="AD26" s="175"/>
      <c r="AE26" s="197" t="s">
        <v>170</v>
      </c>
      <c r="AF26" s="33" t="s">
        <v>183</v>
      </c>
      <c r="AG26" s="59">
        <f>COUNTIFS($U$2:$U$39,"="&amp;$AD$23,$J$2:$J$39,"="&amp;$AE26,$T$2:$T$39,"="&amp;AG$2)</f>
        <v>0</v>
      </c>
      <c r="AH26" s="34">
        <f>COUNTIFS($U$2:$U$39,"="&amp;$AD$23,$J$2:$J$39,"="&amp;$AE26,$T$2:$T$39,"="&amp;AH$2)</f>
        <v>1</v>
      </c>
      <c r="AI26" s="34">
        <f>COUNTIFS($U$2:$U$39,"="&amp;$AD$23,$J$2:$J$39,"="&amp;$AE26,$T$2:$T$39,"="&amp;AI$2)</f>
        <v>1</v>
      </c>
      <c r="AJ26" s="34">
        <f>COUNTIFS($U$2:$U$39,"="&amp;$AD$23,$J$2:$J$39,"="&amp;$AE26,$T$2:$T$39,"="&amp;AJ$2)</f>
        <v>0</v>
      </c>
      <c r="AK26" s="34">
        <f>COUNTIFS($U$2:$U$39,"="&amp;$AD$23,$J$2:$J$39,"="&amp;$AE26,$T$2:$T$39,"="&amp;AK$2)</f>
        <v>0</v>
      </c>
      <c r="AL26" s="34">
        <f>COUNTIFS($U$2:$U$39,"="&amp;$AD$23,$J$2:$J$39,"="&amp;$AE26,$T$2:$T$39,"="&amp;AL$2)</f>
        <v>0</v>
      </c>
      <c r="AM26" s="33">
        <f>COUNTIFS($U$2:$U$39,"="&amp;$AD$23,$J$2:$J$39,"="&amp;$AE26,$T$2:$T$39,"="&amp;AM$2)</f>
        <v>1</v>
      </c>
      <c r="AS26" s="173" t="s">
        <v>201</v>
      </c>
      <c r="AT26" s="88" t="s">
        <v>190</v>
      </c>
      <c r="AU26" s="98">
        <f ca="1">_xlfn.MAXIFS($V$2:$V$39,$T$2:$T$39,"="&amp;$AS$26,$J$2:$J$39,"="&amp;$AT26,$I$2:$I$39,"&gt;="&amp;$AU$13,$I$2:$I$39,"&lt;"&amp;$AW$13)</f>
        <v>0</v>
      </c>
      <c r="AV26" s="99">
        <f ca="1">_xlfn.MINIFS($V$2:$V$39,$T$2:$T$39,"="&amp;$AS$26,$J$2:$J$39,"="&amp;$AT26,$I$2:$I$39,"&gt;="&amp;$AU$13,$I$2:$I$39,"&lt;"&amp;$AW$13)</f>
        <v>0</v>
      </c>
      <c r="AW26" s="99">
        <f ca="1">_xlfn.MAXIFS($V$2:$V$39,$T$2:$T$39,"="&amp;$AS$26,$J$2:$J$39,"="&amp;$AT26,$I$2:$I$39,"&gt;="&amp;$AW$13,$I$2:$I$39,"&lt;"&amp;$AY$13)</f>
        <v>0.15</v>
      </c>
      <c r="AX26" s="99">
        <f ca="1">_xlfn.MINIFS($V$2:$V$39,$T$2:$T$39,"="&amp;$AS$26,$J$2:$J$39,"="&amp;$AT26,$I$2:$I$39,"&gt;="&amp;$AW$13,$I$2:$I$39,"&lt;"&amp;$AY$13)</f>
        <v>0.15</v>
      </c>
      <c r="AY26" s="99">
        <f ca="1">_xlfn.MAXIFS($V$2:$V$39,$T$2:$T$39,"="&amp;$AS$26,$J$2:$J$39,"="&amp;$AT26,$I$2:$I$39,"&gt;="&amp;$AY$13)</f>
        <v>0.2</v>
      </c>
      <c r="AZ26" s="102">
        <f ca="1">_xlfn.MINIFS($V$2:$V$39,$T$2:$T$39,"="&amp;$AS$26,$J$2:$J$39,"="&amp;$AT26,$I$2:$I$39,"&gt;="&amp;$AY$13)</f>
        <v>0.05</v>
      </c>
    </row>
    <row r="27" spans="1:52" ht="17.100000000000001" customHeight="1" outlineLevel="2" thickBot="1" x14ac:dyDescent="0.35">
      <c r="A27" s="113" t="str">
        <f t="shared" si="26"/>
        <v>jjjjpark-6589</v>
      </c>
      <c r="B27" s="123" t="s">
        <v>29</v>
      </c>
      <c r="C27" s="124" t="s">
        <v>91</v>
      </c>
      <c r="D27" s="115" t="str">
        <f t="shared" si="27"/>
        <v>770903-2******</v>
      </c>
      <c r="E27" s="120">
        <f t="shared" si="28"/>
        <v>28371</v>
      </c>
      <c r="F27" s="115">
        <f t="shared" si="29"/>
        <v>1977</v>
      </c>
      <c r="G27" s="115">
        <f t="shared" si="30"/>
        <v>9</v>
      </c>
      <c r="H27" s="115">
        <f t="shared" si="31"/>
        <v>3</v>
      </c>
      <c r="I27" s="115">
        <f t="shared" ca="1" si="32"/>
        <v>42</v>
      </c>
      <c r="J27" s="124" t="str">
        <f t="shared" si="33"/>
        <v>여</v>
      </c>
      <c r="K27" s="115">
        <f t="shared" ca="1" si="34"/>
        <v>15441</v>
      </c>
      <c r="L27" s="125" t="s">
        <v>56</v>
      </c>
      <c r="M27" s="126" t="s">
        <v>127</v>
      </c>
      <c r="N27" s="113">
        <v>41734</v>
      </c>
      <c r="O27" s="115">
        <f t="shared" ca="1" si="35"/>
        <v>5</v>
      </c>
      <c r="P27" s="115">
        <v>5</v>
      </c>
      <c r="Q27" s="115">
        <f t="shared" ca="1" si="36"/>
        <v>8</v>
      </c>
      <c r="R27" s="115">
        <f t="shared" ca="1" si="37"/>
        <v>8</v>
      </c>
      <c r="S27" s="127">
        <v>110000</v>
      </c>
      <c r="T27" s="144" t="str">
        <f t="shared" si="38"/>
        <v>토</v>
      </c>
      <c r="U27" s="136" t="str">
        <f>HLOOKUP(S27, 할인율!$C$1:$F$3,3,TRUE)</f>
        <v>GOLD</v>
      </c>
      <c r="V27" s="147">
        <f>INDEX(할인율!$C$4:$F$11,MATCH(P27,할인율!$B$4:$B$11,1), MATCH(U27,할인율!$C$3:$F$3,0))</f>
        <v>0.12</v>
      </c>
      <c r="AD27" s="175"/>
      <c r="AE27" s="198"/>
      <c r="AF27" s="28" t="s">
        <v>185</v>
      </c>
      <c r="AG27" s="60">
        <f>SUMIFS($S$2:$S$39,$U$2:$U$39,"="&amp;$AD$23,$J$2:$J$39,"="&amp;$AE26,$T$2:$T$39,"="&amp;AG$2)</f>
        <v>0</v>
      </c>
      <c r="AH27" s="48">
        <f>SUMIFS($S$2:$S$39,$U$2:$U$39,"="&amp;$AD$23,$J$2:$J$39,"="&amp;$AE26,$T$2:$T$39,"="&amp;AH$2)</f>
        <v>3700</v>
      </c>
      <c r="AI27" s="48">
        <f>SUMIFS($S$2:$S$39,$U$2:$U$39,"="&amp;$AD$23,$J$2:$J$39,"="&amp;$AE26,$T$2:$T$39,"="&amp;AI$2)</f>
        <v>2400</v>
      </c>
      <c r="AJ27" s="48">
        <f>SUMIFS($S$2:$S$39,$U$2:$U$39,"="&amp;$AD$23,$J$2:$J$39,"="&amp;$AE26,$T$2:$T$39,"="&amp;AJ$2)</f>
        <v>0</v>
      </c>
      <c r="AK27" s="48">
        <f>SUMIFS($S$2:$S$39,$U$2:$U$39,"="&amp;$AD$23,$J$2:$J$39,"="&amp;$AE26,$T$2:$T$39,"="&amp;AK$2)</f>
        <v>0</v>
      </c>
      <c r="AL27" s="48">
        <f>SUMIFS($S$2:$S$39,$U$2:$U$39,"="&amp;$AD$23,$J$2:$J$39,"="&amp;$AE26,$T$2:$T$39,"="&amp;AL$2)</f>
        <v>0</v>
      </c>
      <c r="AM27" s="29">
        <f>SUMIFS($S$2:$S$39,$U$2:$U$39,"="&amp;$AD$23,$J$2:$J$39,"="&amp;$AE26,$T$2:$T$39,"="&amp;AM$2)</f>
        <v>6500</v>
      </c>
      <c r="AS27" s="174"/>
      <c r="AT27" s="80" t="s">
        <v>191</v>
      </c>
      <c r="AU27" s="92">
        <f ca="1">_xlfn.MAXIFS($V$2:$V$39,$T$2:$T$39,"="&amp;$AS$26,$J$2:$J$39,"="&amp;$AT27,$I$2:$I$39,"&gt;="&amp;$AU$13,$I$2:$I$39,"&lt;"&amp;$AW$13)</f>
        <v>0</v>
      </c>
      <c r="AV27" s="100">
        <f ca="1">_xlfn.MINIFS($V$2:$V$39,$T$2:$T$39,"="&amp;$AS$26,$J$2:$J$39,"="&amp;$AT27,$I$2:$I$39,"&gt;="&amp;$AU$13,$I$2:$I$39,"&lt;"&amp;$AW$13)</f>
        <v>0</v>
      </c>
      <c r="AW27" s="100">
        <f ca="1">_xlfn.MAXIFS($V$2:$V$39,$T$2:$T$39,"="&amp;$AS$26,$J$2:$J$39,"="&amp;$AT27,$I$2:$I$39,"&gt;="&amp;$AW$13,$I$2:$I$39,"&lt;"&amp;$AY$13)</f>
        <v>0.05</v>
      </c>
      <c r="AX27" s="100">
        <f ca="1">_xlfn.MINIFS($V$2:$V$39,$T$2:$T$39,"="&amp;$AS$26,$J$2:$J$39,"="&amp;$AT27,$I$2:$I$39,"&gt;="&amp;$AW$13,$I$2:$I$39,"&lt;"&amp;$AY$13)</f>
        <v>0.05</v>
      </c>
      <c r="AY27" s="100">
        <f ca="1">_xlfn.MAXIFS($V$2:$V$39,$T$2:$T$39,"="&amp;$AS$26,$J$2:$J$39,"="&amp;$AT27,$I$2:$I$39,"&gt;="&amp;$AY$13)</f>
        <v>0.2</v>
      </c>
      <c r="AZ27" s="103">
        <f ca="1">_xlfn.MINIFS($V$2:$V$39,$T$2:$T$39,"="&amp;$AS$26,$J$2:$J$39,"="&amp;$AT27,$I$2:$I$39,"&gt;="&amp;$AY$13)</f>
        <v>0.2</v>
      </c>
    </row>
    <row r="28" spans="1:52" ht="17.100000000000001" customHeight="1" outlineLevel="2" thickTop="1" thickBot="1" x14ac:dyDescent="0.35">
      <c r="A28" s="113" t="str">
        <f t="shared" si="26"/>
        <v>hopelim75-2541</v>
      </c>
      <c r="B28" s="123" t="s">
        <v>30</v>
      </c>
      <c r="C28" s="124" t="s">
        <v>92</v>
      </c>
      <c r="D28" s="115" t="str">
        <f t="shared" si="27"/>
        <v>751111-2******</v>
      </c>
      <c r="E28" s="120">
        <f t="shared" si="28"/>
        <v>27709</v>
      </c>
      <c r="F28" s="115">
        <f t="shared" si="29"/>
        <v>1975</v>
      </c>
      <c r="G28" s="115">
        <f t="shared" si="30"/>
        <v>11</v>
      </c>
      <c r="H28" s="115">
        <f t="shared" si="31"/>
        <v>11</v>
      </c>
      <c r="I28" s="115">
        <f t="shared" ca="1" si="32"/>
        <v>44</v>
      </c>
      <c r="J28" s="124" t="str">
        <f t="shared" si="33"/>
        <v>여</v>
      </c>
      <c r="K28" s="115">
        <f t="shared" ca="1" si="34"/>
        <v>16103</v>
      </c>
      <c r="L28" s="125" t="s">
        <v>57</v>
      </c>
      <c r="M28" s="126" t="s">
        <v>128</v>
      </c>
      <c r="N28" s="113">
        <v>39490</v>
      </c>
      <c r="O28" s="115">
        <f t="shared" ca="1" si="35"/>
        <v>11</v>
      </c>
      <c r="P28" s="115">
        <v>11</v>
      </c>
      <c r="Q28" s="115">
        <f t="shared" ca="1" si="36"/>
        <v>10</v>
      </c>
      <c r="R28" s="115">
        <f t="shared" ca="1" si="37"/>
        <v>1</v>
      </c>
      <c r="S28" s="127">
        <v>130000</v>
      </c>
      <c r="T28" s="141" t="str">
        <f t="shared" si="38"/>
        <v>화</v>
      </c>
      <c r="U28" s="136" t="str">
        <f>HLOOKUP(S28, 할인율!$C$1:$F$3,3,TRUE)</f>
        <v>GOLD</v>
      </c>
      <c r="V28" s="147">
        <f>INDEX(할인율!$C$4:$F$11,MATCH(P28,할인율!$B$4:$B$11,1), MATCH(U28,할인율!$C$3:$F$3,0))</f>
        <v>0.15</v>
      </c>
      <c r="AD28" s="176"/>
      <c r="AE28" s="202"/>
      <c r="AF28" s="40" t="s">
        <v>186</v>
      </c>
      <c r="AG28" s="62" t="str">
        <f>IFERROR(ROUND(AVERAGEIFS($V$2:$V$39,$U$2:$U$39,"="&amp;$AD$23,$J$2:$J$39,"="&amp;$AE26,$T$2:$T$39,"="&amp;AG$2),2),"-")</f>
        <v>-</v>
      </c>
      <c r="AH28" s="41">
        <f>IFERROR(ROUND(AVERAGEIFS($V$2:$V$39,$U$2:$U$39,"="&amp;$AD$23,$J$2:$J$39,"="&amp;$AE26,$T$2:$T$39,"="&amp;AH$2),2),"-")</f>
        <v>0.04</v>
      </c>
      <c r="AI28" s="41">
        <f>IFERROR(ROUND(AVERAGEIFS($V$2:$V$39,$U$2:$U$39,"="&amp;$AD$23,$J$2:$J$39,"="&amp;$AE26,$T$2:$T$39,"="&amp;AI$2),2),"-")</f>
        <v>0</v>
      </c>
      <c r="AJ28" s="41" t="str">
        <f>IFERROR(ROUND(AVERAGEIFS($V$2:$V$39,$U$2:$U$39,"="&amp;$AD$23,$J$2:$J$39,"="&amp;$AE26,$T$2:$T$39,"="&amp;AJ$2),2),"-")</f>
        <v>-</v>
      </c>
      <c r="AK28" s="41" t="str">
        <f>IFERROR(ROUND(AVERAGEIFS($V$2:$V$39,$U$2:$U$39,"="&amp;$AD$23,$J$2:$J$39,"="&amp;$AE26,$T$2:$T$39,"="&amp;AK$2),2),"-")</f>
        <v>-</v>
      </c>
      <c r="AL28" s="41" t="str">
        <f>IFERROR(ROUND(AVERAGEIFS($V$2:$V$39,$U$2:$U$39,"="&amp;$AD$23,$J$2:$J$39,"="&amp;$AE26,$T$2:$T$39,"="&amp;AL$2),2),"-")</f>
        <v>-</v>
      </c>
      <c r="AM28" s="42">
        <f>IFERROR(ROUND(AVERAGEIFS($V$2:$V$39,$U$2:$U$39,"="&amp;$AD$23,$J$2:$J$39,"="&amp;$AE26,$T$2:$T$39,"="&amp;AM$2),2),"-")</f>
        <v>0.02</v>
      </c>
      <c r="AS28" s="175" t="s">
        <v>202</v>
      </c>
      <c r="AT28" s="73" t="s">
        <v>190</v>
      </c>
      <c r="AU28" s="89">
        <f ca="1">_xlfn.MAXIFS($V$2:$V$39,$T$2:$T$39,"="&amp;$AS$28,$J$2:$J$39,"="&amp;$AT28,$I$2:$I$39,"&gt;="&amp;$AU$13,$I$2:$I$39,"&lt;"&amp;$AW$13)</f>
        <v>0</v>
      </c>
      <c r="AV28" s="72">
        <f ca="1">_xlfn.MINIFS($V$2:$V$39,$T$2:$T$39,"="&amp;$AS$28,$J$2:$J$39,"="&amp;$AT28,$I$2:$I$39,"&gt;="&amp;$AU$13,$I$2:$I$39,"&lt;"&amp;$AW$13)</f>
        <v>0</v>
      </c>
      <c r="AW28" s="72">
        <f ca="1">_xlfn.MAXIFS($V$2:$V$39,$T$2:$T$39,"="&amp;$AS$28,$J$2:$J$39,"="&amp;$AT28,$I$2:$I$39,"&gt;="&amp;$AW$13,$I$2:$I$39,"&lt;"&amp;$AY$13)</f>
        <v>0.15</v>
      </c>
      <c r="AX28" s="72">
        <f ca="1">_xlfn.MINIFS($V$2:$V$39,$T$2:$T$39,"="&amp;$AS$28,$J$2:$J$39,"="&amp;$AT28,$I$2:$I$39,"&gt;="&amp;$AW$13,$I$2:$I$39,"&lt;"&amp;$AY$13)</f>
        <v>0.15</v>
      </c>
      <c r="AY28" s="72">
        <f ca="1">_xlfn.MAXIFS($V$2:$V$39,$T$2:$T$39,"="&amp;$AS$28,$J$2:$J$39,"="&amp;$AT28,$I$2:$I$39,"&gt;="&amp;$AY$13)</f>
        <v>0.15</v>
      </c>
      <c r="AZ28" s="104">
        <f ca="1">_xlfn.MINIFS($V$2:$V$39,$T$2:$T$39,"="&amp;$AS$28,$J$2:$J$39,"="&amp;$AT28,$I$2:$I$39,"&gt;="&amp;$AY$13)</f>
        <v>0.15</v>
      </c>
    </row>
    <row r="29" spans="1:52" ht="17.100000000000001" customHeight="1" outlineLevel="2" thickTop="1" thickBot="1" x14ac:dyDescent="0.35">
      <c r="A29" s="113" t="str">
        <f t="shared" si="26"/>
        <v>yeslee84-4866</v>
      </c>
      <c r="B29" s="123" t="s">
        <v>34</v>
      </c>
      <c r="C29" s="124" t="s">
        <v>98</v>
      </c>
      <c r="D29" s="115" t="str">
        <f t="shared" si="27"/>
        <v>840628-2******</v>
      </c>
      <c r="E29" s="120">
        <f t="shared" si="28"/>
        <v>30861</v>
      </c>
      <c r="F29" s="115">
        <f t="shared" si="29"/>
        <v>1984</v>
      </c>
      <c r="G29" s="115">
        <f t="shared" si="30"/>
        <v>6</v>
      </c>
      <c r="H29" s="115">
        <f t="shared" si="31"/>
        <v>28</v>
      </c>
      <c r="I29" s="115">
        <f t="shared" ca="1" si="32"/>
        <v>35</v>
      </c>
      <c r="J29" s="124" t="str">
        <f t="shared" si="33"/>
        <v>여</v>
      </c>
      <c r="K29" s="115">
        <f t="shared" ca="1" si="34"/>
        <v>12951</v>
      </c>
      <c r="L29" s="125" t="s">
        <v>63</v>
      </c>
      <c r="M29" s="126" t="s">
        <v>134</v>
      </c>
      <c r="N29" s="113">
        <v>38491</v>
      </c>
      <c r="O29" s="115">
        <f t="shared" ca="1" si="35"/>
        <v>14</v>
      </c>
      <c r="P29" s="115">
        <v>14</v>
      </c>
      <c r="Q29" s="115">
        <f t="shared" ca="1" si="36"/>
        <v>6</v>
      </c>
      <c r="R29" s="115">
        <f t="shared" ca="1" si="37"/>
        <v>24</v>
      </c>
      <c r="S29" s="127">
        <v>142000</v>
      </c>
      <c r="T29" s="138" t="str">
        <f t="shared" si="38"/>
        <v>목</v>
      </c>
      <c r="U29" s="136" t="str">
        <f>HLOOKUP(S29, 할인율!$C$1:$F$3,3,TRUE)</f>
        <v>GOLD</v>
      </c>
      <c r="V29" s="147">
        <f>INDEX(할인율!$C$4:$F$11,MATCH(P29,할인율!$B$4:$B$11,1), MATCH(U29,할인율!$C$3:$F$3,0))</f>
        <v>0.15</v>
      </c>
      <c r="AS29" s="176"/>
      <c r="AT29" s="50" t="s">
        <v>191</v>
      </c>
      <c r="AU29" s="93">
        <f ca="1">_xlfn.MAXIFS($V$2:$V$39,$T$2:$T$39,"="&amp;$AS$28,$J$2:$J$39,"="&amp;$AT29,$I$2:$I$39,"&gt;="&amp;$AU$13,$I$2:$I$39,"&lt;"&amp;$AW$13)</f>
        <v>0</v>
      </c>
      <c r="AV29" s="105">
        <f ca="1">_xlfn.MINIFS($V$2:$V$39,$T$2:$T$39,"="&amp;$AS$28,$J$2:$J$39,"="&amp;$AT29,$I$2:$I$39,"&gt;="&amp;$AU$13,$I$2:$I$39,"&lt;"&amp;$AW$13)</f>
        <v>0</v>
      </c>
      <c r="AW29" s="105">
        <f ca="1">_xlfn.MAXIFS($V$2:$V$39,$T$2:$T$39,"="&amp;$AS$28,$J$2:$J$39,"="&amp;$AT29,$I$2:$I$39,"&gt;="&amp;$AW$13,$I$2:$I$39,"&lt;"&amp;$AY$13)</f>
        <v>7.0000000000000007E-2</v>
      </c>
      <c r="AX29" s="105">
        <f ca="1">_xlfn.MINIFS($V$2:$V$39,$T$2:$T$39,"="&amp;$AS$28,$J$2:$J$39,"="&amp;$AT29,$I$2:$I$39,"&gt;="&amp;$AW$13,$I$2:$I$39,"&lt;"&amp;$AY$13)</f>
        <v>0.02</v>
      </c>
      <c r="AY29" s="105">
        <f ca="1">_xlfn.MAXIFS($V$2:$V$39,$T$2:$T$39,"="&amp;$AS$28,$J$2:$J$39,"="&amp;$AT29,$I$2:$I$39,"&gt;="&amp;$AY$13)</f>
        <v>0.18</v>
      </c>
      <c r="AZ29" s="106">
        <f ca="1">_xlfn.MINIFS($V$2:$V$39,$T$2:$T$39,"="&amp;$AS$28,$J$2:$J$39,"="&amp;$AT29,$I$2:$I$39,"&gt;="&amp;$AY$13)</f>
        <v>0.12</v>
      </c>
    </row>
    <row r="30" spans="1:52" ht="17.100000000000001" customHeight="1" outlineLevel="2" thickTop="1" x14ac:dyDescent="0.3">
      <c r="A30" s="113" t="str">
        <f t="shared" si="26"/>
        <v>jiyoungida-9762</v>
      </c>
      <c r="B30" s="123" t="s">
        <v>35</v>
      </c>
      <c r="C30" s="124" t="s">
        <v>99</v>
      </c>
      <c r="D30" s="115" t="str">
        <f t="shared" si="27"/>
        <v>870203-2******</v>
      </c>
      <c r="E30" s="120">
        <f t="shared" si="28"/>
        <v>31811</v>
      </c>
      <c r="F30" s="115">
        <f t="shared" si="29"/>
        <v>1987</v>
      </c>
      <c r="G30" s="115">
        <f t="shared" si="30"/>
        <v>2</v>
      </c>
      <c r="H30" s="115">
        <f t="shared" si="31"/>
        <v>3</v>
      </c>
      <c r="I30" s="115">
        <f t="shared" ca="1" si="32"/>
        <v>32</v>
      </c>
      <c r="J30" s="124" t="str">
        <f t="shared" si="33"/>
        <v>여</v>
      </c>
      <c r="K30" s="115">
        <f t="shared" ca="1" si="34"/>
        <v>12001</v>
      </c>
      <c r="L30" s="125" t="s">
        <v>64</v>
      </c>
      <c r="M30" s="126" t="s">
        <v>135</v>
      </c>
      <c r="N30" s="113">
        <v>42273</v>
      </c>
      <c r="O30" s="115">
        <f t="shared" ca="1" si="35"/>
        <v>4</v>
      </c>
      <c r="P30" s="115">
        <v>4</v>
      </c>
      <c r="Q30" s="115">
        <f t="shared" ca="1" si="36"/>
        <v>2</v>
      </c>
      <c r="R30" s="115">
        <f t="shared" ca="1" si="37"/>
        <v>17</v>
      </c>
      <c r="S30" s="127">
        <v>100500</v>
      </c>
      <c r="T30" s="141" t="str">
        <f t="shared" si="38"/>
        <v>화</v>
      </c>
      <c r="U30" s="136" t="str">
        <f>HLOOKUP(S30, 할인율!$C$1:$F$3,3,TRUE)</f>
        <v>GOLD</v>
      </c>
      <c r="V30" s="147">
        <f>INDEX(할인율!$C$4:$F$11,MATCH(P30,할인율!$B$4:$B$11,1), MATCH(U30,할인율!$C$3:$F$3,0))</f>
        <v>0.1</v>
      </c>
    </row>
    <row r="31" spans="1:52" ht="17.100000000000001" customHeight="1" outlineLevel="2" x14ac:dyDescent="0.3">
      <c r="A31" s="113" t="str">
        <f t="shared" si="26"/>
        <v>notingzeor0-7619</v>
      </c>
      <c r="B31" s="123" t="s">
        <v>38</v>
      </c>
      <c r="C31" s="124" t="s">
        <v>101</v>
      </c>
      <c r="D31" s="115" t="str">
        <f t="shared" si="27"/>
        <v>831205-1******</v>
      </c>
      <c r="E31" s="120">
        <f t="shared" si="28"/>
        <v>30655</v>
      </c>
      <c r="F31" s="115">
        <f t="shared" si="29"/>
        <v>1983</v>
      </c>
      <c r="G31" s="115">
        <f t="shared" si="30"/>
        <v>12</v>
      </c>
      <c r="H31" s="115">
        <f t="shared" si="31"/>
        <v>5</v>
      </c>
      <c r="I31" s="115">
        <f t="shared" ca="1" si="32"/>
        <v>36</v>
      </c>
      <c r="J31" s="124" t="str">
        <f t="shared" si="33"/>
        <v>남</v>
      </c>
      <c r="K31" s="115">
        <f t="shared" ca="1" si="34"/>
        <v>13157</v>
      </c>
      <c r="L31" s="125" t="s">
        <v>66</v>
      </c>
      <c r="M31" s="126" t="s">
        <v>137</v>
      </c>
      <c r="N31" s="113">
        <v>41468</v>
      </c>
      <c r="O31" s="115">
        <f t="shared" ca="1" si="35"/>
        <v>6</v>
      </c>
      <c r="P31" s="115">
        <v>6</v>
      </c>
      <c r="Q31" s="115">
        <f t="shared" ca="1" si="36"/>
        <v>5</v>
      </c>
      <c r="R31" s="115">
        <f t="shared" ca="1" si="37"/>
        <v>0</v>
      </c>
      <c r="S31" s="127">
        <v>193000</v>
      </c>
      <c r="T31" s="140" t="str">
        <f t="shared" si="38"/>
        <v>월</v>
      </c>
      <c r="U31" s="136" t="str">
        <f>HLOOKUP(S31, 할인율!$C$1:$F$3,3,TRUE)</f>
        <v>GOLD</v>
      </c>
      <c r="V31" s="147">
        <f>INDEX(할인율!$C$4:$F$11,MATCH(P31,할인율!$B$4:$B$11,1), MATCH(U31,할인율!$C$3:$F$3,0))</f>
        <v>0.12</v>
      </c>
    </row>
    <row r="32" spans="1:52" ht="17.100000000000001" customHeight="1" outlineLevel="2" x14ac:dyDescent="0.3">
      <c r="A32" s="113" t="str">
        <f t="shared" si="26"/>
        <v>thlee1985-7913</v>
      </c>
      <c r="B32" s="123" t="s">
        <v>8</v>
      </c>
      <c r="C32" s="124" t="s">
        <v>102</v>
      </c>
      <c r="D32" s="115" t="str">
        <f t="shared" si="27"/>
        <v>850927-1******</v>
      </c>
      <c r="E32" s="120">
        <f t="shared" si="28"/>
        <v>31317</v>
      </c>
      <c r="F32" s="115">
        <f t="shared" si="29"/>
        <v>1985</v>
      </c>
      <c r="G32" s="115">
        <f t="shared" si="30"/>
        <v>9</v>
      </c>
      <c r="H32" s="115">
        <f t="shared" si="31"/>
        <v>27</v>
      </c>
      <c r="I32" s="115">
        <f t="shared" ca="1" si="32"/>
        <v>34</v>
      </c>
      <c r="J32" s="124" t="str">
        <f t="shared" si="33"/>
        <v>남</v>
      </c>
      <c r="K32" s="115">
        <f t="shared" ca="1" si="34"/>
        <v>12495</v>
      </c>
      <c r="L32" s="125" t="s">
        <v>67</v>
      </c>
      <c r="M32" s="126" t="s">
        <v>138</v>
      </c>
      <c r="N32" s="113">
        <v>39737</v>
      </c>
      <c r="O32" s="115">
        <f t="shared" ca="1" si="35"/>
        <v>11</v>
      </c>
      <c r="P32" s="115">
        <v>11</v>
      </c>
      <c r="Q32" s="115">
        <f t="shared" ca="1" si="36"/>
        <v>1</v>
      </c>
      <c r="R32" s="115">
        <f t="shared" ca="1" si="37"/>
        <v>27</v>
      </c>
      <c r="S32" s="127">
        <v>187000</v>
      </c>
      <c r="T32" s="143" t="str">
        <f t="shared" si="38"/>
        <v>금</v>
      </c>
      <c r="U32" s="136" t="str">
        <f>HLOOKUP(S32, 할인율!$C$1:$F$3,3,TRUE)</f>
        <v>GOLD</v>
      </c>
      <c r="V32" s="147">
        <f>INDEX(할인율!$C$4:$F$11,MATCH(P32,할인율!$B$4:$B$11,1), MATCH(U32,할인율!$C$3:$F$3,0))</f>
        <v>0.15</v>
      </c>
    </row>
    <row r="33" spans="1:22" ht="17.100000000000001" customHeight="1" outlineLevel="2" x14ac:dyDescent="0.3">
      <c r="A33" s="113" t="str">
        <f t="shared" si="26"/>
        <v>tellhjtrue-4963</v>
      </c>
      <c r="B33" s="123" t="s">
        <v>11</v>
      </c>
      <c r="C33" s="124" t="s">
        <v>106</v>
      </c>
      <c r="D33" s="115" t="str">
        <f t="shared" si="27"/>
        <v>801112-1******</v>
      </c>
      <c r="E33" s="120">
        <f t="shared" si="28"/>
        <v>29537</v>
      </c>
      <c r="F33" s="115">
        <f t="shared" si="29"/>
        <v>1980</v>
      </c>
      <c r="G33" s="115">
        <f t="shared" si="30"/>
        <v>11</v>
      </c>
      <c r="H33" s="115">
        <f t="shared" si="31"/>
        <v>12</v>
      </c>
      <c r="I33" s="115">
        <f t="shared" ca="1" si="32"/>
        <v>39</v>
      </c>
      <c r="J33" s="124" t="str">
        <f t="shared" si="33"/>
        <v>남</v>
      </c>
      <c r="K33" s="115">
        <f t="shared" ca="1" si="34"/>
        <v>14275</v>
      </c>
      <c r="L33" s="125" t="s">
        <v>71</v>
      </c>
      <c r="M33" s="126" t="s">
        <v>142</v>
      </c>
      <c r="N33" s="113">
        <v>40712</v>
      </c>
      <c r="O33" s="115">
        <f t="shared" ca="1" si="35"/>
        <v>8</v>
      </c>
      <c r="P33" s="115">
        <v>8</v>
      </c>
      <c r="Q33" s="115">
        <f t="shared" ca="1" si="36"/>
        <v>5</v>
      </c>
      <c r="R33" s="115">
        <f t="shared" ca="1" si="37"/>
        <v>25</v>
      </c>
      <c r="S33" s="127">
        <v>147600</v>
      </c>
      <c r="T33" s="142" t="str">
        <f t="shared" si="38"/>
        <v>수</v>
      </c>
      <c r="U33" s="136" t="str">
        <f>HLOOKUP(S33, 할인율!$C$1:$F$3,3,TRUE)</f>
        <v>GOLD</v>
      </c>
      <c r="V33" s="147">
        <f>INDEX(할인율!$C$4:$F$11,MATCH(P33,할인율!$B$4:$B$11,1), MATCH(U33,할인율!$C$3:$F$3,0))</f>
        <v>0.12</v>
      </c>
    </row>
    <row r="34" spans="1:22" ht="17.100000000000001" customHeight="1" outlineLevel="1" x14ac:dyDescent="0.3">
      <c r="A34" s="113"/>
      <c r="B34" s="123"/>
      <c r="C34" s="124"/>
      <c r="D34" s="115"/>
      <c r="E34" s="120"/>
      <c r="F34" s="115"/>
      <c r="G34" s="115"/>
      <c r="H34" s="115"/>
      <c r="I34" s="115"/>
      <c r="J34" s="124"/>
      <c r="K34" s="115"/>
      <c r="L34" s="125"/>
      <c r="M34" s="126"/>
      <c r="N34" s="113"/>
      <c r="O34" s="115"/>
      <c r="P34" s="115">
        <f>SUBTOTAL(1,P21:P33)</f>
        <v>9.615384615384615</v>
      </c>
      <c r="Q34" s="115"/>
      <c r="R34" s="115"/>
      <c r="S34" s="127">
        <f>SUBTOTAL(1,S21:S33)</f>
        <v>152619.23076923078</v>
      </c>
      <c r="T34" s="142"/>
      <c r="U34" s="164" t="s">
        <v>210</v>
      </c>
      <c r="V34" s="147">
        <f>SUBTOTAL(1,V21:V33)</f>
        <v>0.1369230769230769</v>
      </c>
    </row>
    <row r="35" spans="1:22" ht="17.100000000000001" customHeight="1" outlineLevel="2" x14ac:dyDescent="0.3">
      <c r="A35" s="113" t="str">
        <f>LEFT(L35, FIND("@",L35)-1) &amp; "-" &amp; RIGHT(M35, 4)</f>
        <v>jjyylove-1793</v>
      </c>
      <c r="B35" s="123" t="s">
        <v>16</v>
      </c>
      <c r="C35" s="124" t="s">
        <v>78</v>
      </c>
      <c r="D35" s="115" t="str">
        <f>REPLACE(C35,9,,REPT("*",6))</f>
        <v>820327-2******</v>
      </c>
      <c r="E35" s="120">
        <f>DATE(LEFT(C35,2), MID(C35,3,2), MID(C35,5,2))</f>
        <v>30037</v>
      </c>
      <c r="F35" s="115">
        <f>YEAR(E35)</f>
        <v>1982</v>
      </c>
      <c r="G35" s="115">
        <f>MONTH(E35)</f>
        <v>3</v>
      </c>
      <c r="H35" s="115">
        <f>DAY(E35)</f>
        <v>27</v>
      </c>
      <c r="I35" s="115">
        <f ca="1">DATEDIF(E35, TODAY(), "Y")</f>
        <v>37</v>
      </c>
      <c r="J35" s="124" t="str">
        <f>CHOOSE(RIGHT(C35,1), "남", "여", "남", "여")</f>
        <v>여</v>
      </c>
      <c r="K35" s="115">
        <f ca="1">DATEDIF(E35, TODAY(), "D")</f>
        <v>13775</v>
      </c>
      <c r="L35" s="125" t="s">
        <v>43</v>
      </c>
      <c r="M35" s="126" t="s">
        <v>114</v>
      </c>
      <c r="N35" s="113">
        <v>40311</v>
      </c>
      <c r="O35" s="115">
        <f ca="1">DATEDIF(N35, TODAY(), "Y")</f>
        <v>9</v>
      </c>
      <c r="P35" s="115">
        <v>9</v>
      </c>
      <c r="Q35" s="115">
        <f ca="1">DATEDIF(N35, TODAY(), "YM")</f>
        <v>7</v>
      </c>
      <c r="R35" s="115">
        <f ca="1">DATEDIF(N35, TODAY(), "MD")</f>
        <v>0</v>
      </c>
      <c r="S35" s="127">
        <v>6500</v>
      </c>
      <c r="T35" s="144" t="str">
        <f>CHOOSE(WEEKDAY(E35), "일", "월", "화", "수", "목", "금", "토")</f>
        <v>토</v>
      </c>
      <c r="U35" s="135" t="str">
        <f>HLOOKUP(S35, 할인율!$C$1:$F$3,3,TRUE)</f>
        <v>BRONZE</v>
      </c>
      <c r="V35" s="147">
        <f>INDEX(할인율!$C$4:$F$11,MATCH(P35,할인율!$B$4:$B$11,1), MATCH(U35,할인율!$C$3:$F$3,0))</f>
        <v>0.02</v>
      </c>
    </row>
    <row r="36" spans="1:22" ht="17.100000000000001" customHeight="1" outlineLevel="2" x14ac:dyDescent="0.3">
      <c r="A36" s="113" t="str">
        <f>LEFT(L36, FIND("@",L36)-1) &amp; "-" &amp; RIGHT(M36, 4)</f>
        <v>hhphhp-4123</v>
      </c>
      <c r="B36" s="123" t="s">
        <v>19</v>
      </c>
      <c r="C36" s="124" t="s">
        <v>81</v>
      </c>
      <c r="D36" s="115" t="str">
        <f>REPLACE(C36,9,,REPT("*",6))</f>
        <v>900615-1******</v>
      </c>
      <c r="E36" s="120">
        <f>DATE(LEFT(C36,2), MID(C36,3,2), MID(C36,5,2))</f>
        <v>33039</v>
      </c>
      <c r="F36" s="115">
        <f>YEAR(E36)</f>
        <v>1990</v>
      </c>
      <c r="G36" s="115">
        <f>MONTH(E36)</f>
        <v>6</v>
      </c>
      <c r="H36" s="115">
        <f>DAY(E36)</f>
        <v>15</v>
      </c>
      <c r="I36" s="115">
        <f ca="1">DATEDIF(E36, TODAY(), "Y")</f>
        <v>29</v>
      </c>
      <c r="J36" s="124" t="str">
        <f>CHOOSE(RIGHT(C36,1), "남", "여", "남", "여")</f>
        <v>남</v>
      </c>
      <c r="K36" s="115">
        <f ca="1">DATEDIF(E36, TODAY(), "D")</f>
        <v>10773</v>
      </c>
      <c r="L36" s="125" t="s">
        <v>46</v>
      </c>
      <c r="M36" s="126" t="s">
        <v>117</v>
      </c>
      <c r="N36" s="113">
        <v>43475</v>
      </c>
      <c r="O36" s="115">
        <f ca="1">DATEDIF(N36, TODAY(), "Y")</f>
        <v>0</v>
      </c>
      <c r="P36" s="115">
        <v>0</v>
      </c>
      <c r="Q36" s="115">
        <f ca="1">DATEDIF(N36, TODAY(), "YM")</f>
        <v>11</v>
      </c>
      <c r="R36" s="115">
        <f ca="1">DATEDIF(N36, TODAY(), "MD")</f>
        <v>3</v>
      </c>
      <c r="S36" s="127">
        <v>400</v>
      </c>
      <c r="T36" s="143" t="str">
        <f>CHOOSE(WEEKDAY(E36), "일", "월", "화", "수", "목", "금", "토")</f>
        <v>금</v>
      </c>
      <c r="U36" s="135" t="str">
        <f>HLOOKUP(S36, 할인율!$C$1:$F$3,3,TRUE)</f>
        <v>BRONZE</v>
      </c>
      <c r="V36" s="147">
        <f>INDEX(할인율!$C$4:$F$11,MATCH(P36,할인율!$B$4:$B$11,1), MATCH(U36,할인율!$C$3:$F$3,0))</f>
        <v>0</v>
      </c>
    </row>
    <row r="37" spans="1:22" ht="17.100000000000001" customHeight="1" outlineLevel="2" x14ac:dyDescent="0.3">
      <c r="A37" s="113" t="str">
        <f>LEFT(L37, FIND("@",L37)-1) &amp; "-" &amp; RIGHT(M37, 4)</f>
        <v>doldolhkh555-8293</v>
      </c>
      <c r="B37" s="123" t="s">
        <v>24</v>
      </c>
      <c r="C37" s="124" t="s">
        <v>86</v>
      </c>
      <c r="D37" s="115" t="str">
        <f>REPLACE(C37,9,,REPT("*",6))</f>
        <v>760412-2******</v>
      </c>
      <c r="E37" s="120">
        <f>DATE(LEFT(C37,2), MID(C37,3,2), MID(C37,5,2))</f>
        <v>27862</v>
      </c>
      <c r="F37" s="115">
        <f>YEAR(E37)</f>
        <v>1976</v>
      </c>
      <c r="G37" s="115">
        <f>MONTH(E37)</f>
        <v>4</v>
      </c>
      <c r="H37" s="115">
        <f>DAY(E37)</f>
        <v>12</v>
      </c>
      <c r="I37" s="115">
        <f ca="1">DATEDIF(E37, TODAY(), "Y")</f>
        <v>43</v>
      </c>
      <c r="J37" s="124" t="str">
        <f>CHOOSE(RIGHT(C37,1), "남", "여", "남", "여")</f>
        <v>여</v>
      </c>
      <c r="K37" s="115">
        <f ca="1">DATEDIF(E37, TODAY(), "D")</f>
        <v>15950</v>
      </c>
      <c r="L37" s="125" t="s">
        <v>51</v>
      </c>
      <c r="M37" s="126" t="s">
        <v>122</v>
      </c>
      <c r="N37" s="113">
        <v>36558</v>
      </c>
      <c r="O37" s="115">
        <f ca="1">DATEDIF(N37, TODAY(), "Y")</f>
        <v>19</v>
      </c>
      <c r="P37" s="115">
        <v>19</v>
      </c>
      <c r="Q37" s="115">
        <f ca="1">DATEDIF(N37, TODAY(), "YM")</f>
        <v>10</v>
      </c>
      <c r="R37" s="115">
        <f ca="1">DATEDIF(N37, TODAY(), "MD")</f>
        <v>11</v>
      </c>
      <c r="S37" s="127">
        <v>3700</v>
      </c>
      <c r="T37" s="140" t="str">
        <f>CHOOSE(WEEKDAY(E37), "일", "월", "화", "수", "목", "금", "토")</f>
        <v>월</v>
      </c>
      <c r="U37" s="135" t="str">
        <f>HLOOKUP(S37, 할인율!$C$1:$F$3,3,TRUE)</f>
        <v>BRONZE</v>
      </c>
      <c r="V37" s="147">
        <f>INDEX(할인율!$C$4:$F$11,MATCH(P37,할인율!$B$4:$B$11,1), MATCH(U37,할인율!$C$3:$F$3,0))</f>
        <v>0.04</v>
      </c>
    </row>
    <row r="38" spans="1:22" ht="17.100000000000001" customHeight="1" outlineLevel="2" x14ac:dyDescent="0.3">
      <c r="A38" s="113" t="str">
        <f>LEFT(L38, FIND("@",L38)-1) &amp; "-" &amp; RIGHT(M38, 4)</f>
        <v>eachother-4532</v>
      </c>
      <c r="B38" s="123" t="s">
        <v>7</v>
      </c>
      <c r="C38" s="124" t="s">
        <v>96</v>
      </c>
      <c r="D38" s="115" t="str">
        <f>REPLACE(C38,9,,REPT("*",6))</f>
        <v>830925-1******</v>
      </c>
      <c r="E38" s="120">
        <f>DATE(LEFT(C38,2), MID(C38,3,2), MID(C38,5,2))</f>
        <v>30584</v>
      </c>
      <c r="F38" s="115">
        <f>YEAR(E38)</f>
        <v>1983</v>
      </c>
      <c r="G38" s="115">
        <f>MONTH(E38)</f>
        <v>9</v>
      </c>
      <c r="H38" s="115">
        <f>DAY(E38)</f>
        <v>25</v>
      </c>
      <c r="I38" s="115">
        <f ca="1">DATEDIF(E38, TODAY(), "Y")</f>
        <v>36</v>
      </c>
      <c r="J38" s="124" t="str">
        <f>CHOOSE(RIGHT(C38,1), "남", "여", "남", "여")</f>
        <v>남</v>
      </c>
      <c r="K38" s="115">
        <f ca="1">DATEDIF(E38, TODAY(), "D")</f>
        <v>13228</v>
      </c>
      <c r="L38" s="125" t="s">
        <v>62</v>
      </c>
      <c r="M38" s="126" t="s">
        <v>132</v>
      </c>
      <c r="N38" s="113">
        <v>43434</v>
      </c>
      <c r="O38" s="115">
        <f ca="1">DATEDIF(N38, TODAY(), "Y")</f>
        <v>1</v>
      </c>
      <c r="P38" s="115">
        <v>0</v>
      </c>
      <c r="Q38" s="115">
        <f ca="1">DATEDIF(N38, TODAY(), "YM")</f>
        <v>0</v>
      </c>
      <c r="R38" s="115">
        <f ca="1">DATEDIF(N38, TODAY(), "MD")</f>
        <v>13</v>
      </c>
      <c r="S38" s="127">
        <v>9200</v>
      </c>
      <c r="T38" s="139" t="str">
        <f>CHOOSE(WEEKDAY(E38), "일", "월", "화", "수", "목", "금", "토")</f>
        <v>일</v>
      </c>
      <c r="U38" s="135" t="str">
        <f>HLOOKUP(S38, 할인율!$C$1:$F$3,3,TRUE)</f>
        <v>BRONZE</v>
      </c>
      <c r="V38" s="147">
        <f>INDEX(할인율!$C$4:$F$11,MATCH(P38,할인율!$B$4:$B$11,1), MATCH(U38,할인율!$C$3:$F$3,0))</f>
        <v>0</v>
      </c>
    </row>
    <row r="39" spans="1:22" ht="17.100000000000001" customHeight="1" outlineLevel="2" thickBot="1" x14ac:dyDescent="0.35">
      <c r="A39" s="113" t="str">
        <f>LEFT(L39, FIND("@",L39)-1) &amp; "-" &amp; RIGHT(M39, 4)</f>
        <v>lovelyhuson-1476</v>
      </c>
      <c r="B39" s="4" t="s">
        <v>36</v>
      </c>
      <c r="C39" s="128" t="s">
        <v>108</v>
      </c>
      <c r="D39" s="129" t="str">
        <f>REPLACE(C39,9,,REPT("*",6))</f>
        <v>860513-2******</v>
      </c>
      <c r="E39" s="130">
        <f>DATE(LEFT(C39,2), MID(C39,3,2), MID(C39,5,2))</f>
        <v>31545</v>
      </c>
      <c r="F39" s="129">
        <f>YEAR(E39)</f>
        <v>1986</v>
      </c>
      <c r="G39" s="129">
        <f>MONTH(E39)</f>
        <v>5</v>
      </c>
      <c r="H39" s="129">
        <f>DAY(E39)</f>
        <v>13</v>
      </c>
      <c r="I39" s="129">
        <f ca="1">DATEDIF(E39, TODAY(), "Y")</f>
        <v>33</v>
      </c>
      <c r="J39" s="128" t="str">
        <f>CHOOSE(RIGHT(C39,1), "남", "여", "남", "여")</f>
        <v>여</v>
      </c>
      <c r="K39" s="129">
        <f ca="1">DATEDIF(E39, TODAY(), "D")</f>
        <v>12267</v>
      </c>
      <c r="L39" s="131" t="s">
        <v>73</v>
      </c>
      <c r="M39" s="132" t="s">
        <v>144</v>
      </c>
      <c r="N39" s="133">
        <v>43355</v>
      </c>
      <c r="O39" s="129">
        <f ca="1">DATEDIF(N39, TODAY(), "Y")</f>
        <v>1</v>
      </c>
      <c r="P39" s="129">
        <v>1</v>
      </c>
      <c r="Q39" s="129">
        <f ca="1">DATEDIF(N39, TODAY(), "YM")</f>
        <v>3</v>
      </c>
      <c r="R39" s="129">
        <f ca="1">DATEDIF(N39, TODAY(), "MD")</f>
        <v>1</v>
      </c>
      <c r="S39" s="134">
        <v>2400</v>
      </c>
      <c r="T39" s="156" t="str">
        <f>CHOOSE(WEEKDAY(E39), "일", "월", "화", "수", "목", "금", "토")</f>
        <v>화</v>
      </c>
      <c r="U39" s="158" t="str">
        <f>HLOOKUP(S39, 할인율!$C$1:$F$3,3,TRUE)</f>
        <v>BRONZE</v>
      </c>
      <c r="V39" s="148">
        <f>INDEX(할인율!$C$4:$F$11,MATCH(P39,할인율!$B$4:$B$11,1), MATCH(U39,할인율!$C$3:$F$3,0))</f>
        <v>0</v>
      </c>
    </row>
    <row r="40" spans="1:22" ht="17.100000000000001" customHeight="1" outlineLevel="1" thickTop="1" x14ac:dyDescent="0.3">
      <c r="A40" s="165"/>
      <c r="B40" s="166"/>
      <c r="C40" s="167"/>
      <c r="D40" s="167"/>
      <c r="E40" s="165"/>
      <c r="F40" s="167"/>
      <c r="G40" s="167"/>
      <c r="H40" s="167"/>
      <c r="I40" s="167"/>
      <c r="J40" s="167"/>
      <c r="K40" s="167"/>
      <c r="L40" s="168"/>
      <c r="M40" s="169"/>
      <c r="N40" s="165"/>
      <c r="O40" s="167"/>
      <c r="P40" s="167">
        <f>SUBTOTAL(1,P35:P39)</f>
        <v>5.8</v>
      </c>
      <c r="Q40" s="167"/>
      <c r="R40" s="167"/>
      <c r="S40" s="170">
        <f>SUBTOTAL(1,S35:S39)</f>
        <v>4440</v>
      </c>
      <c r="T40" s="171"/>
      <c r="U40" s="172" t="s">
        <v>211</v>
      </c>
      <c r="V40" s="169">
        <f>SUBTOTAL(1,V35:V39)</f>
        <v>1.2E-2</v>
      </c>
    </row>
    <row r="41" spans="1:22" ht="17.100000000000001" customHeight="1" x14ac:dyDescent="0.3">
      <c r="A41" s="165"/>
      <c r="B41" s="166"/>
      <c r="C41" s="167"/>
      <c r="D41" s="167"/>
      <c r="E41" s="165"/>
      <c r="F41" s="167"/>
      <c r="G41" s="167"/>
      <c r="H41" s="167"/>
      <c r="I41" s="167"/>
      <c r="J41" s="167"/>
      <c r="K41" s="167"/>
      <c r="L41" s="168"/>
      <c r="M41" s="169"/>
      <c r="N41" s="165"/>
      <c r="O41" s="167"/>
      <c r="P41" s="167">
        <f>SUBTOTAL(1,P2:P39)</f>
        <v>9.1714285714285708</v>
      </c>
      <c r="Q41" s="167"/>
      <c r="R41" s="167"/>
      <c r="S41" s="170">
        <f>SUBTOTAL(1,S2:S39)</f>
        <v>116214.57142857143</v>
      </c>
      <c r="T41" s="171"/>
      <c r="U41" s="172" t="s">
        <v>212</v>
      </c>
      <c r="V41" s="169">
        <f>SUBTOTAL(1,V2:V39)</f>
        <v>0.11000000000000001</v>
      </c>
    </row>
    <row r="42" spans="1:22" ht="17.100000000000001" customHeight="1" x14ac:dyDescent="0.3">
      <c r="S42" s="216"/>
    </row>
  </sheetData>
  <sortState ref="A2:V39">
    <sortCondition sortBy="fontColor" ref="U2:U39" dxfId="11"/>
    <sortCondition sortBy="fontColor" ref="U2:U39" dxfId="10"/>
    <sortCondition sortBy="fontColor" ref="U2:U39" dxfId="9"/>
  </sortState>
  <mergeCells count="33">
    <mergeCell ref="AE23:AE25"/>
    <mergeCell ref="AE26:AE28"/>
    <mergeCell ref="X15:AB15"/>
    <mergeCell ref="Y16:Z16"/>
    <mergeCell ref="AA16:AB16"/>
    <mergeCell ref="Y17:Z17"/>
    <mergeCell ref="AA17:AB17"/>
    <mergeCell ref="AE19:AE22"/>
    <mergeCell ref="AE3:AE5"/>
    <mergeCell ref="AE6:AE8"/>
    <mergeCell ref="AE10:AE12"/>
    <mergeCell ref="AE13:AE15"/>
    <mergeCell ref="AE16:AE18"/>
    <mergeCell ref="AD3:AD8"/>
    <mergeCell ref="AD10:AD15"/>
    <mergeCell ref="AD16:AD22"/>
    <mergeCell ref="AD23:AD28"/>
    <mergeCell ref="Y7:Z7"/>
    <mergeCell ref="AA7:AB7"/>
    <mergeCell ref="AP2:AP3"/>
    <mergeCell ref="AQ2:AQ3"/>
    <mergeCell ref="AU13:AV13"/>
    <mergeCell ref="AW13:AX13"/>
    <mergeCell ref="AY13:AZ13"/>
    <mergeCell ref="AS26:AS27"/>
    <mergeCell ref="AS28:AS29"/>
    <mergeCell ref="AS3:AS6"/>
    <mergeCell ref="AS7:AS11"/>
    <mergeCell ref="AS15:AS16"/>
    <mergeCell ref="AS17:AS18"/>
    <mergeCell ref="AS19:AS21"/>
    <mergeCell ref="AS22:AS23"/>
    <mergeCell ref="AS24:AS25"/>
  </mergeCells>
  <phoneticPr fontId="1" type="noConversion"/>
  <hyperlinks>
    <hyperlink ref="L21" r:id="rId1" xr:uid="{136D84B7-DAB1-4521-B8DF-6EEDA1848C70}"/>
    <hyperlink ref="L2" r:id="rId2" xr:uid="{BB0185EF-A0A5-4827-9223-DB235D17340F}"/>
    <hyperlink ref="L35" r:id="rId3" xr:uid="{C763EBDF-3F2B-438E-A192-1874A387BBAC}"/>
    <hyperlink ref="L22" r:id="rId4" xr:uid="{F41D252F-AD94-4819-BB14-3FFC16EDA534}"/>
    <hyperlink ref="L23" r:id="rId5" xr:uid="{4918770D-9ADA-413B-B26D-63ECFEEDEE29}"/>
    <hyperlink ref="L36" r:id="rId6" xr:uid="{49B99187-CAB1-484C-A4AB-B247BE8C1EF8}"/>
    <hyperlink ref="L24" r:id="rId7" xr:uid="{E7B9FAA8-716F-4DFB-9288-B2A826F77A71}"/>
    <hyperlink ref="L3" r:id="rId8" xr:uid="{C09DBC54-2228-40E7-8700-6E4C51691A37}"/>
    <hyperlink ref="L25" r:id="rId9" xr:uid="{EBDCE4B0-6C04-4372-B8B8-CA67C126C23C}"/>
    <hyperlink ref="L4" r:id="rId10" xr:uid="{8161D764-D463-4414-A2F8-864093E1644C}"/>
    <hyperlink ref="L37" r:id="rId11" xr:uid="{5195EB4C-9820-4EF5-B20D-D05FD86CD54B}"/>
    <hyperlink ref="L10" r:id="rId12" xr:uid="{2E08634E-7AC2-4FAD-B3C1-F574B0014D2B}"/>
    <hyperlink ref="L11" r:id="rId13" xr:uid="{31E6BD70-2454-49D0-AD35-118240C8C668}"/>
    <hyperlink ref="L12" r:id="rId14" xr:uid="{96ECCABB-EA55-4924-AEF5-4290B71B29C2}"/>
    <hyperlink ref="L26" r:id="rId15" xr:uid="{1635B3D2-46EC-48ED-AC50-D0C5405E8579}"/>
    <hyperlink ref="L27" r:id="rId16" xr:uid="{AAD9F6BF-8C69-4172-9AD8-8C7CD7820931}"/>
    <hyperlink ref="L28" r:id="rId17" xr:uid="{9E74A2B7-1042-4A41-88B8-40A9F50E06C0}"/>
    <hyperlink ref="L5" r:id="rId18" xr:uid="{B6C17307-22E4-420A-B88B-B2E2B5E24B37}"/>
    <hyperlink ref="L13" r:id="rId19" xr:uid="{3A34AE39-50E4-4969-97D3-35D6AAC5329D}"/>
    <hyperlink ref="L14" r:id="rId20" xr:uid="{E160B89A-75C8-4FFF-A88F-F89251DB2F03}"/>
    <hyperlink ref="L15" r:id="rId21" xr:uid="{DA72E5B2-C46F-4B2F-B04A-211A5258B441}"/>
    <hyperlink ref="L38" r:id="rId22" xr:uid="{82301447-38EB-47A3-AB1C-ED16EA290E7D}"/>
    <hyperlink ref="L29" r:id="rId23" xr:uid="{B2F7BD9E-EEE5-49D4-9F3E-3A04FFD1F303}"/>
    <hyperlink ref="L30" r:id="rId24" xr:uid="{6BE49CD7-4FCB-43D3-ADED-03EBDA54C236}"/>
    <hyperlink ref="L16" r:id="rId25" xr:uid="{C2E2005E-99DA-4659-B952-2E565D5F27E1}"/>
    <hyperlink ref="L31" r:id="rId26" xr:uid="{C5E5A782-4EF2-4276-BDF4-632945E59054}"/>
    <hyperlink ref="L32" r:id="rId27" xr:uid="{AB45C99F-D2E7-42E1-A6C8-E6123EC48890}"/>
    <hyperlink ref="L17" r:id="rId28" xr:uid="{C5841288-25A8-482B-902B-B44C7B015A6F}"/>
    <hyperlink ref="L6" r:id="rId29" xr:uid="{305C0912-7589-46F1-8341-2288DBC11E00}"/>
    <hyperlink ref="L7" r:id="rId30" xr:uid="{319B47DB-EE13-44DE-BF48-3FD4872B9D64}"/>
    <hyperlink ref="L33" r:id="rId31" xr:uid="{15F1FAEE-7A9C-48B6-BC2D-1AB4E88BEBDE}"/>
    <hyperlink ref="L18" r:id="rId32" xr:uid="{D4A47B70-994E-49CC-9AF3-01F4FAC70B85}"/>
    <hyperlink ref="L39" r:id="rId33" xr:uid="{BE40543D-51AA-41AD-B617-1DE5A1C73CD0}"/>
    <hyperlink ref="L8" r:id="rId34" xr:uid="{4C976864-3DE1-4915-B091-34C928F22139}"/>
    <hyperlink ref="L19" r:id="rId35" xr:uid="{58B569EE-6C69-4C46-9E29-9B2A0E02F5FD}"/>
  </hyperlinks>
  <pageMargins left="0.19685039370078741" right="0.19685039370078741" top="0.19685039370078741" bottom="0.19685039370078741" header="0" footer="0"/>
  <pageSetup paperSize="9" scale="74" fitToHeight="0" orientation="landscape" horizontalDpi="4294967293" r:id="rId36"/>
  <ignoredErrors>
    <ignoredError sqref="Z10:Z13 AA10:AA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A111-06BD-408D-AC3C-58537BB394D2}">
  <dimension ref="A1:F11"/>
  <sheetViews>
    <sheetView workbookViewId="0">
      <selection activeCell="C1" sqref="C1"/>
    </sheetView>
  </sheetViews>
  <sheetFormatPr defaultRowHeight="20.100000000000001" customHeight="1" x14ac:dyDescent="0.3"/>
  <cols>
    <col min="1" max="2" width="5.625" style="5" customWidth="1"/>
    <col min="3" max="6" width="10.625" style="5" customWidth="1"/>
    <col min="7" max="16384" width="9" style="5"/>
  </cols>
  <sheetData>
    <row r="1" spans="1:6" ht="20.100000000000001" customHeight="1" x14ac:dyDescent="0.3">
      <c r="A1" s="211" t="s">
        <v>158</v>
      </c>
      <c r="B1" s="212"/>
      <c r="C1" s="8">
        <v>0</v>
      </c>
      <c r="D1" s="8">
        <v>10000</v>
      </c>
      <c r="E1" s="8">
        <v>100000</v>
      </c>
      <c r="F1" s="8">
        <v>200000</v>
      </c>
    </row>
    <row r="2" spans="1:6" ht="20.100000000000001" customHeight="1" x14ac:dyDescent="0.3">
      <c r="A2" s="211" t="s">
        <v>159</v>
      </c>
      <c r="B2" s="212"/>
      <c r="C2" s="6">
        <v>4</v>
      </c>
      <c r="D2" s="6">
        <v>3</v>
      </c>
      <c r="E2" s="6">
        <v>2</v>
      </c>
      <c r="F2" s="6">
        <v>1</v>
      </c>
    </row>
    <row r="3" spans="1:6" ht="20.100000000000001" customHeight="1" x14ac:dyDescent="0.3">
      <c r="A3" s="211" t="s">
        <v>160</v>
      </c>
      <c r="B3" s="212"/>
      <c r="C3" s="6" t="s">
        <v>161</v>
      </c>
      <c r="D3" s="6" t="s">
        <v>162</v>
      </c>
      <c r="E3" s="6" t="s">
        <v>163</v>
      </c>
      <c r="F3" s="6" t="s">
        <v>164</v>
      </c>
    </row>
    <row r="4" spans="1:6" ht="20.100000000000001" customHeight="1" x14ac:dyDescent="0.3">
      <c r="A4" s="213" t="s">
        <v>165</v>
      </c>
      <c r="B4" s="6">
        <v>0</v>
      </c>
      <c r="C4" s="7">
        <v>0</v>
      </c>
      <c r="D4" s="7">
        <v>0.03</v>
      </c>
      <c r="E4" s="7">
        <v>7.0000000000000007E-2</v>
      </c>
      <c r="F4" s="7">
        <v>0.1</v>
      </c>
    </row>
    <row r="5" spans="1:6" ht="20.100000000000001" customHeight="1" x14ac:dyDescent="0.3">
      <c r="A5" s="214"/>
      <c r="B5" s="6">
        <v>3</v>
      </c>
      <c r="C5" s="7">
        <v>0.01</v>
      </c>
      <c r="D5" s="7">
        <v>0.05</v>
      </c>
      <c r="E5" s="7">
        <v>0.1</v>
      </c>
      <c r="F5" s="7">
        <v>0.13</v>
      </c>
    </row>
    <row r="6" spans="1:6" ht="20.100000000000001" customHeight="1" x14ac:dyDescent="0.3">
      <c r="A6" s="214"/>
      <c r="B6" s="6">
        <v>5</v>
      </c>
      <c r="C6" s="7">
        <v>0.02</v>
      </c>
      <c r="D6" s="7">
        <v>7.0000000000000007E-2</v>
      </c>
      <c r="E6" s="7">
        <v>0.12</v>
      </c>
      <c r="F6" s="7">
        <v>0.15</v>
      </c>
    </row>
    <row r="7" spans="1:6" ht="20.100000000000001" customHeight="1" x14ac:dyDescent="0.3">
      <c r="A7" s="214"/>
      <c r="B7" s="6">
        <v>10</v>
      </c>
      <c r="C7" s="7">
        <v>0.03</v>
      </c>
      <c r="D7" s="7">
        <v>0.1</v>
      </c>
      <c r="E7" s="7">
        <v>0.15</v>
      </c>
      <c r="F7" s="7">
        <v>0.18</v>
      </c>
    </row>
    <row r="8" spans="1:6" ht="20.100000000000001" customHeight="1" x14ac:dyDescent="0.3">
      <c r="A8" s="214"/>
      <c r="B8" s="6">
        <v>15</v>
      </c>
      <c r="C8" s="7">
        <v>0.04</v>
      </c>
      <c r="D8" s="7">
        <v>0.13</v>
      </c>
      <c r="E8" s="7">
        <v>0.18</v>
      </c>
      <c r="F8" s="7">
        <v>0.2</v>
      </c>
    </row>
    <row r="9" spans="1:6" ht="20.100000000000001" customHeight="1" x14ac:dyDescent="0.3">
      <c r="A9" s="214"/>
      <c r="B9" s="146">
        <v>20</v>
      </c>
      <c r="C9" s="149">
        <v>0.05</v>
      </c>
      <c r="D9" s="149">
        <v>0.15</v>
      </c>
      <c r="E9" s="149">
        <v>0.2</v>
      </c>
      <c r="F9" s="149">
        <v>0.23</v>
      </c>
    </row>
    <row r="10" spans="1:6" ht="20.100000000000001" customHeight="1" x14ac:dyDescent="0.3">
      <c r="A10" s="214"/>
      <c r="B10" s="150">
        <v>25</v>
      </c>
      <c r="C10" s="152">
        <v>0.06</v>
      </c>
      <c r="D10" s="152">
        <v>0.17</v>
      </c>
      <c r="E10" s="152">
        <v>0.23</v>
      </c>
      <c r="F10" s="151">
        <v>0.27</v>
      </c>
    </row>
    <row r="11" spans="1:6" ht="20.100000000000001" customHeight="1" x14ac:dyDescent="0.3">
      <c r="A11" s="215"/>
      <c r="B11" s="150">
        <v>30</v>
      </c>
      <c r="C11" s="152">
        <v>7.0000000000000007E-2</v>
      </c>
      <c r="D11" s="152">
        <v>0.22</v>
      </c>
      <c r="E11" s="152">
        <v>0.26</v>
      </c>
      <c r="F11" s="151">
        <v>0.3</v>
      </c>
    </row>
  </sheetData>
  <mergeCells count="4">
    <mergeCell ref="A1:B1"/>
    <mergeCell ref="A2:B2"/>
    <mergeCell ref="A3:B3"/>
    <mergeCell ref="A4:A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</vt:lpstr>
      <vt:lpstr>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</dc:creator>
  <cp:lastModifiedBy>Administrator</cp:lastModifiedBy>
  <cp:lastPrinted>2019-11-12T10:39:08Z</cp:lastPrinted>
  <dcterms:created xsi:type="dcterms:W3CDTF">2019-08-09T06:57:54Z</dcterms:created>
  <dcterms:modified xsi:type="dcterms:W3CDTF">2019-12-13T13:48:16Z</dcterms:modified>
</cp:coreProperties>
</file>