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백업했니\데이터분석\2차_수정\제5부 엑셀에서 제공하는 분석 기능\Chap18_가상분석을 이용한 예측\Chap18 가상분석을 이용한 예측_준비파일\"/>
    </mc:Choice>
  </mc:AlternateContent>
  <xr:revisionPtr revIDLastSave="0" documentId="13_ncr:1_{5CE56630-24CF-4789-BA93-EA3B4C504A80}" xr6:coauthVersionLast="45" xr6:coauthVersionMax="45" xr10:uidLastSave="{00000000-0000-0000-0000-000000000000}"/>
  <bookViews>
    <workbookView xWindow="17340" yWindow="2325" windowWidth="22875" windowHeight="14790" xr2:uid="{2D8AC48B-9640-475B-B561-F4F68DEC2978}"/>
  </bookViews>
  <sheets>
    <sheet name="회원정보_01" sheetId="3" r:id="rId1"/>
    <sheet name="회원정보_02" sheetId="34" r:id="rId2"/>
    <sheet name="혜택포인트" sheetId="2" r:id="rId3"/>
  </sheets>
  <externalReferences>
    <externalReference r:id="rId4"/>
  </externalReferences>
  <definedNames>
    <definedName name="_xlnm._FilterDatabase" localSheetId="0" hidden="1">회원정보_01!$A$4:$AH$54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66" i="34" l="1"/>
  <c r="X66" i="34"/>
  <c r="W66" i="34"/>
  <c r="V66" i="34"/>
  <c r="U66" i="34"/>
  <c r="T66" i="34"/>
  <c r="S66" i="34"/>
  <c r="Y65" i="34"/>
  <c r="X65" i="34"/>
  <c r="W65" i="34"/>
  <c r="V65" i="34"/>
  <c r="U65" i="34"/>
  <c r="T65" i="34"/>
  <c r="S65" i="34"/>
  <c r="Y64" i="34"/>
  <c r="X64" i="34"/>
  <c r="W64" i="34"/>
  <c r="V64" i="34"/>
  <c r="U64" i="34"/>
  <c r="T64" i="34"/>
  <c r="S64" i="34"/>
  <c r="Y63" i="34"/>
  <c r="X63" i="34"/>
  <c r="W63" i="34"/>
  <c r="V63" i="34"/>
  <c r="U63" i="34"/>
  <c r="T63" i="34"/>
  <c r="S63" i="34"/>
  <c r="Y62" i="34"/>
  <c r="X62" i="34"/>
  <c r="W62" i="34"/>
  <c r="V62" i="34"/>
  <c r="U62" i="34"/>
  <c r="T62" i="34"/>
  <c r="S62" i="34"/>
  <c r="Y57" i="34"/>
  <c r="Y60" i="34" s="1"/>
  <c r="X57" i="34"/>
  <c r="X60" i="34" s="1"/>
  <c r="W57" i="34"/>
  <c r="W60" i="34" s="1"/>
  <c r="V57" i="34"/>
  <c r="V60" i="34" s="1"/>
  <c r="U57" i="34"/>
  <c r="U60" i="34" s="1"/>
  <c r="T57" i="34"/>
  <c r="T60" i="34" s="1"/>
  <c r="S57" i="34"/>
  <c r="S60" i="34" s="1"/>
  <c r="Y56" i="34"/>
  <c r="X56" i="34"/>
  <c r="W56" i="34"/>
  <c r="V56" i="34"/>
  <c r="U56" i="34"/>
  <c r="T56" i="34"/>
  <c r="S56" i="34"/>
  <c r="AE55" i="34"/>
  <c r="Z55" i="34"/>
  <c r="AD55" i="34" s="1"/>
  <c r="R55" i="34"/>
  <c r="P55" i="34"/>
  <c r="O55" i="34"/>
  <c r="N55" i="34"/>
  <c r="L55" i="34"/>
  <c r="J55" i="34"/>
  <c r="I55" i="34"/>
  <c r="E55" i="34"/>
  <c r="D55" i="34"/>
  <c r="A55" i="34"/>
  <c r="AG54" i="34"/>
  <c r="AH54" i="34" s="1"/>
  <c r="AF54" i="34"/>
  <c r="AE54" i="34"/>
  <c r="AC54" i="34"/>
  <c r="Z54" i="34"/>
  <c r="R54" i="34"/>
  <c r="P54" i="34"/>
  <c r="O54" i="34"/>
  <c r="N54" i="34"/>
  <c r="L54" i="34"/>
  <c r="J54" i="34"/>
  <c r="G54" i="34"/>
  <c r="E54" i="34"/>
  <c r="F54" i="34" s="1"/>
  <c r="D54" i="34"/>
  <c r="A54" i="34"/>
  <c r="AG53" i="34"/>
  <c r="AH53" i="34" s="1"/>
  <c r="AF53" i="34"/>
  <c r="AE53" i="34"/>
  <c r="AC53" i="34"/>
  <c r="Z53" i="34"/>
  <c r="AD53" i="34" s="1"/>
  <c r="R53" i="34"/>
  <c r="P53" i="34"/>
  <c r="O53" i="34"/>
  <c r="N53" i="34"/>
  <c r="L53" i="34"/>
  <c r="J53" i="34"/>
  <c r="E53" i="34"/>
  <c r="D53" i="34"/>
  <c r="A53" i="34"/>
  <c r="AG52" i="34"/>
  <c r="AH52" i="34" s="1"/>
  <c r="AE52" i="34"/>
  <c r="AC52" i="34"/>
  <c r="Z52" i="34"/>
  <c r="R52" i="34"/>
  <c r="P52" i="34"/>
  <c r="O52" i="34"/>
  <c r="N52" i="34"/>
  <c r="L52" i="34"/>
  <c r="J52" i="34"/>
  <c r="G52" i="34"/>
  <c r="E52" i="34"/>
  <c r="F52" i="34" s="1"/>
  <c r="D52" i="34"/>
  <c r="A52" i="34"/>
  <c r="AG51" i="34"/>
  <c r="AH51" i="34" s="1"/>
  <c r="AE51" i="34"/>
  <c r="AC51" i="34"/>
  <c r="Z51" i="34"/>
  <c r="AD51" i="34" s="1"/>
  <c r="R51" i="34"/>
  <c r="P51" i="34"/>
  <c r="O51" i="34"/>
  <c r="N51" i="34"/>
  <c r="L51" i="34"/>
  <c r="J51" i="34"/>
  <c r="I51" i="34"/>
  <c r="E51" i="34"/>
  <c r="D51" i="34"/>
  <c r="A51" i="34"/>
  <c r="AG50" i="34"/>
  <c r="AH50" i="34" s="1"/>
  <c r="AE50" i="34"/>
  <c r="AC50" i="34"/>
  <c r="Z50" i="34"/>
  <c r="R50" i="34"/>
  <c r="P50" i="34"/>
  <c r="O50" i="34"/>
  <c r="N50" i="34"/>
  <c r="L50" i="34"/>
  <c r="J50" i="34"/>
  <c r="G50" i="34"/>
  <c r="E50" i="34"/>
  <c r="F50" i="34" s="1"/>
  <c r="D50" i="34"/>
  <c r="A50" i="34"/>
  <c r="AG49" i="34"/>
  <c r="AH49" i="34" s="1"/>
  <c r="AE49" i="34"/>
  <c r="AC49" i="34"/>
  <c r="Z49" i="34"/>
  <c r="AD49" i="34" s="1"/>
  <c r="R49" i="34"/>
  <c r="P49" i="34"/>
  <c r="O49" i="34"/>
  <c r="N49" i="34"/>
  <c r="L49" i="34"/>
  <c r="J49" i="34"/>
  <c r="I49" i="34"/>
  <c r="E49" i="34"/>
  <c r="D49" i="34"/>
  <c r="A49" i="34"/>
  <c r="AG48" i="34"/>
  <c r="AH48" i="34" s="1"/>
  <c r="AE48" i="34"/>
  <c r="AC48" i="34"/>
  <c r="Z48" i="34"/>
  <c r="R48" i="34"/>
  <c r="P48" i="34"/>
  <c r="O48" i="34"/>
  <c r="N48" i="34"/>
  <c r="L48" i="34"/>
  <c r="J48" i="34"/>
  <c r="G48" i="34"/>
  <c r="E48" i="34"/>
  <c r="F48" i="34" s="1"/>
  <c r="D48" i="34"/>
  <c r="A48" i="34"/>
  <c r="AG47" i="34"/>
  <c r="AH47" i="34" s="1"/>
  <c r="AE47" i="34"/>
  <c r="AC47" i="34"/>
  <c r="Z47" i="34"/>
  <c r="AD47" i="34" s="1"/>
  <c r="R47" i="34"/>
  <c r="P47" i="34"/>
  <c r="O47" i="34"/>
  <c r="N47" i="34"/>
  <c r="L47" i="34"/>
  <c r="J47" i="34"/>
  <c r="E47" i="34"/>
  <c r="D47" i="34"/>
  <c r="A47" i="34"/>
  <c r="AG46" i="34"/>
  <c r="AH46" i="34" s="1"/>
  <c r="AE46" i="34"/>
  <c r="AC46" i="34"/>
  <c r="Z46" i="34"/>
  <c r="R46" i="34"/>
  <c r="P46" i="34"/>
  <c r="O46" i="34"/>
  <c r="N46" i="34"/>
  <c r="L46" i="34"/>
  <c r="J46" i="34"/>
  <c r="I46" i="34"/>
  <c r="E46" i="34"/>
  <c r="F46" i="34" s="1"/>
  <c r="D46" i="34"/>
  <c r="A46" i="34"/>
  <c r="AF45" i="34"/>
  <c r="AE45" i="34"/>
  <c r="Z45" i="34"/>
  <c r="R45" i="34"/>
  <c r="P45" i="34"/>
  <c r="O45" i="34"/>
  <c r="N45" i="34"/>
  <c r="L45" i="34"/>
  <c r="J45" i="34"/>
  <c r="H45" i="34"/>
  <c r="E45" i="34"/>
  <c r="G45" i="34" s="1"/>
  <c r="D45" i="34"/>
  <c r="A45" i="34"/>
  <c r="AG44" i="34"/>
  <c r="AH44" i="34" s="1"/>
  <c r="AE44" i="34"/>
  <c r="AC44" i="34"/>
  <c r="Z44" i="34"/>
  <c r="AD44" i="34" s="1"/>
  <c r="R44" i="34"/>
  <c r="P44" i="34"/>
  <c r="O44" i="34"/>
  <c r="N44" i="34"/>
  <c r="L44" i="34"/>
  <c r="J44" i="34"/>
  <c r="G44" i="34"/>
  <c r="F44" i="34"/>
  <c r="E44" i="34"/>
  <c r="I44" i="34" s="1"/>
  <c r="D44" i="34"/>
  <c r="A44" i="34"/>
  <c r="AE43" i="34"/>
  <c r="Z43" i="34"/>
  <c r="AD43" i="34" s="1"/>
  <c r="R43" i="34"/>
  <c r="P43" i="34"/>
  <c r="O43" i="34"/>
  <c r="N43" i="34"/>
  <c r="L43" i="34"/>
  <c r="J43" i="34"/>
  <c r="H43" i="34"/>
  <c r="E43" i="34"/>
  <c r="G43" i="34" s="1"/>
  <c r="D43" i="34"/>
  <c r="A43" i="34"/>
  <c r="AG42" i="34"/>
  <c r="AH42" i="34" s="1"/>
  <c r="AE42" i="34"/>
  <c r="AC42" i="34"/>
  <c r="Z42" i="34"/>
  <c r="AD42" i="34" s="1"/>
  <c r="R42" i="34"/>
  <c r="P42" i="34"/>
  <c r="O42" i="34"/>
  <c r="N42" i="34"/>
  <c r="L42" i="34"/>
  <c r="J42" i="34"/>
  <c r="G42" i="34"/>
  <c r="F42" i="34"/>
  <c r="E42" i="34"/>
  <c r="I42" i="34" s="1"/>
  <c r="D42" i="34"/>
  <c r="A42" i="34"/>
  <c r="AE41" i="34"/>
  <c r="Z41" i="34"/>
  <c r="R41" i="34"/>
  <c r="P41" i="34"/>
  <c r="O41" i="34"/>
  <c r="N41" i="34"/>
  <c r="L41" i="34"/>
  <c r="J41" i="34"/>
  <c r="I41" i="34"/>
  <c r="H41" i="34"/>
  <c r="E41" i="34"/>
  <c r="D41" i="34"/>
  <c r="A41" i="34"/>
  <c r="AG40" i="34"/>
  <c r="AH40" i="34" s="1"/>
  <c r="AE40" i="34"/>
  <c r="AC40" i="34"/>
  <c r="Z40" i="34"/>
  <c r="AD40" i="34" s="1"/>
  <c r="R40" i="34"/>
  <c r="P40" i="34"/>
  <c r="O40" i="34"/>
  <c r="N40" i="34"/>
  <c r="L40" i="34"/>
  <c r="J40" i="34"/>
  <c r="G40" i="34"/>
  <c r="F40" i="34"/>
  <c r="E40" i="34"/>
  <c r="I40" i="34" s="1"/>
  <c r="D40" i="34"/>
  <c r="A40" i="34"/>
  <c r="AF39" i="34"/>
  <c r="AE39" i="34"/>
  <c r="AD39" i="34"/>
  <c r="Z39" i="34"/>
  <c r="R39" i="34"/>
  <c r="P39" i="34"/>
  <c r="O39" i="34"/>
  <c r="N39" i="34"/>
  <c r="L39" i="34"/>
  <c r="J39" i="34"/>
  <c r="E39" i="34"/>
  <c r="H39" i="34" s="1"/>
  <c r="D39" i="34"/>
  <c r="A39" i="34"/>
  <c r="AG38" i="34"/>
  <c r="AH38" i="34" s="1"/>
  <c r="AE38" i="34"/>
  <c r="AC38" i="34"/>
  <c r="Z38" i="34"/>
  <c r="AD38" i="34" s="1"/>
  <c r="R38" i="34"/>
  <c r="P38" i="34"/>
  <c r="O38" i="34"/>
  <c r="N38" i="34"/>
  <c r="L38" i="34"/>
  <c r="J38" i="34"/>
  <c r="G38" i="34"/>
  <c r="F38" i="34"/>
  <c r="E38" i="34"/>
  <c r="I38" i="34" s="1"/>
  <c r="D38" i="34"/>
  <c r="A38" i="34"/>
  <c r="AE37" i="34"/>
  <c r="Z37" i="34"/>
  <c r="R37" i="34"/>
  <c r="P37" i="34"/>
  <c r="O37" i="34"/>
  <c r="N37" i="34"/>
  <c r="L37" i="34"/>
  <c r="J37" i="34"/>
  <c r="E37" i="34"/>
  <c r="D37" i="34"/>
  <c r="A37" i="34"/>
  <c r="AG36" i="34"/>
  <c r="AH36" i="34" s="1"/>
  <c r="AF36" i="34"/>
  <c r="AE36" i="34"/>
  <c r="AC36" i="34"/>
  <c r="Z36" i="34"/>
  <c r="AD36" i="34" s="1"/>
  <c r="R36" i="34"/>
  <c r="P36" i="34"/>
  <c r="O36" i="34"/>
  <c r="N36" i="34"/>
  <c r="L36" i="34"/>
  <c r="J36" i="34"/>
  <c r="G36" i="34"/>
  <c r="F36" i="34"/>
  <c r="E36" i="34"/>
  <c r="I36" i="34" s="1"/>
  <c r="D36" i="34"/>
  <c r="A36" i="34"/>
  <c r="AF35" i="34"/>
  <c r="AE35" i="34"/>
  <c r="AD35" i="34"/>
  <c r="Z35" i="34"/>
  <c r="R35" i="34"/>
  <c r="P35" i="34"/>
  <c r="O35" i="34"/>
  <c r="N35" i="34"/>
  <c r="L35" i="34"/>
  <c r="J35" i="34"/>
  <c r="I35" i="34"/>
  <c r="E35" i="34"/>
  <c r="D35" i="34"/>
  <c r="A35" i="34"/>
  <c r="AG34" i="34"/>
  <c r="AH34" i="34" s="1"/>
  <c r="AE34" i="34"/>
  <c r="AC34" i="34"/>
  <c r="Z34" i="34"/>
  <c r="AD34" i="34" s="1"/>
  <c r="R34" i="34"/>
  <c r="P34" i="34"/>
  <c r="O34" i="34"/>
  <c r="N34" i="34"/>
  <c r="L34" i="34"/>
  <c r="J34" i="34"/>
  <c r="G34" i="34"/>
  <c r="F34" i="34"/>
  <c r="E34" i="34"/>
  <c r="I34" i="34" s="1"/>
  <c r="D34" i="34"/>
  <c r="A34" i="34"/>
  <c r="AF33" i="34"/>
  <c r="AE33" i="34"/>
  <c r="Z33" i="34"/>
  <c r="R33" i="34"/>
  <c r="P33" i="34"/>
  <c r="O33" i="34"/>
  <c r="N33" i="34"/>
  <c r="L33" i="34"/>
  <c r="J33" i="34"/>
  <c r="E33" i="34"/>
  <c r="D33" i="34"/>
  <c r="A33" i="34"/>
  <c r="AG32" i="34"/>
  <c r="AH32" i="34" s="1"/>
  <c r="AF32" i="34"/>
  <c r="AE32" i="34"/>
  <c r="AC32" i="34"/>
  <c r="Z32" i="34"/>
  <c r="AD32" i="34" s="1"/>
  <c r="R32" i="34"/>
  <c r="P32" i="34"/>
  <c r="O32" i="34"/>
  <c r="N32" i="34"/>
  <c r="L32" i="34"/>
  <c r="J32" i="34"/>
  <c r="G32" i="34"/>
  <c r="F32" i="34"/>
  <c r="E32" i="34"/>
  <c r="I32" i="34" s="1"/>
  <c r="D32" i="34"/>
  <c r="A32" i="34"/>
  <c r="AE31" i="34"/>
  <c r="Z31" i="34"/>
  <c r="R31" i="34"/>
  <c r="P31" i="34"/>
  <c r="O31" i="34"/>
  <c r="N31" i="34"/>
  <c r="L31" i="34"/>
  <c r="J31" i="34"/>
  <c r="I31" i="34"/>
  <c r="H31" i="34"/>
  <c r="E31" i="34"/>
  <c r="D31" i="34"/>
  <c r="A31" i="34"/>
  <c r="AG30" i="34"/>
  <c r="AH30" i="34" s="1"/>
  <c r="AE30" i="34"/>
  <c r="AC30" i="34"/>
  <c r="Z30" i="34"/>
  <c r="AD30" i="34" s="1"/>
  <c r="R30" i="34"/>
  <c r="P30" i="34"/>
  <c r="O30" i="34"/>
  <c r="N30" i="34"/>
  <c r="L30" i="34"/>
  <c r="J30" i="34"/>
  <c r="I30" i="34"/>
  <c r="G30" i="34"/>
  <c r="F30" i="34"/>
  <c r="E30" i="34"/>
  <c r="H30" i="34" s="1"/>
  <c r="D30" i="34"/>
  <c r="A30" i="34"/>
  <c r="AG29" i="34"/>
  <c r="AH29" i="34" s="1"/>
  <c r="AF29" i="34"/>
  <c r="AE29" i="34"/>
  <c r="AD29" i="34"/>
  <c r="AC29" i="34"/>
  <c r="Z29" i="34"/>
  <c r="R29" i="34"/>
  <c r="P29" i="34"/>
  <c r="O29" i="34"/>
  <c r="N29" i="34"/>
  <c r="L29" i="34"/>
  <c r="J29" i="34"/>
  <c r="E29" i="34"/>
  <c r="I29" i="34" s="1"/>
  <c r="D29" i="34"/>
  <c r="A29" i="34"/>
  <c r="AG28" i="34"/>
  <c r="AH28" i="34" s="1"/>
  <c r="AE28" i="34"/>
  <c r="AC28" i="34"/>
  <c r="Z28" i="34"/>
  <c r="R28" i="34"/>
  <c r="P28" i="34"/>
  <c r="O28" i="34"/>
  <c r="N28" i="34"/>
  <c r="L28" i="34"/>
  <c r="J28" i="34"/>
  <c r="H28" i="34"/>
  <c r="G28" i="34"/>
  <c r="E28" i="34"/>
  <c r="F28" i="34" s="1"/>
  <c r="D28" i="34"/>
  <c r="A28" i="34"/>
  <c r="AG27" i="34"/>
  <c r="AH27" i="34" s="1"/>
  <c r="AE27" i="34"/>
  <c r="AC27" i="34"/>
  <c r="Z27" i="34"/>
  <c r="AD27" i="34" s="1"/>
  <c r="R27" i="34"/>
  <c r="P27" i="34"/>
  <c r="O27" i="34"/>
  <c r="N27" i="34"/>
  <c r="L27" i="34"/>
  <c r="J27" i="34"/>
  <c r="E27" i="34"/>
  <c r="D27" i="34"/>
  <c r="A27" i="34"/>
  <c r="AG26" i="34"/>
  <c r="AH26" i="34" s="1"/>
  <c r="AE26" i="34"/>
  <c r="AC26" i="34"/>
  <c r="Z26" i="34"/>
  <c r="R26" i="34"/>
  <c r="P26" i="34"/>
  <c r="O26" i="34"/>
  <c r="N26" i="34"/>
  <c r="L26" i="34"/>
  <c r="J26" i="34"/>
  <c r="H26" i="34"/>
  <c r="G26" i="34"/>
  <c r="E26" i="34"/>
  <c r="F26" i="34" s="1"/>
  <c r="D26" i="34"/>
  <c r="A26" i="34"/>
  <c r="AG25" i="34"/>
  <c r="AH25" i="34" s="1"/>
  <c r="AF25" i="34"/>
  <c r="AE25" i="34"/>
  <c r="AC25" i="34"/>
  <c r="Z25" i="34"/>
  <c r="AD25" i="34" s="1"/>
  <c r="R25" i="34"/>
  <c r="P25" i="34"/>
  <c r="O25" i="34"/>
  <c r="N25" i="34"/>
  <c r="L25" i="34"/>
  <c r="J25" i="34"/>
  <c r="E25" i="34"/>
  <c r="D25" i="34"/>
  <c r="A25" i="34"/>
  <c r="AE24" i="34"/>
  <c r="Z24" i="34"/>
  <c r="R24" i="34"/>
  <c r="P24" i="34"/>
  <c r="O24" i="34"/>
  <c r="N24" i="34"/>
  <c r="L24" i="34"/>
  <c r="J24" i="34"/>
  <c r="H24" i="34"/>
  <c r="G24" i="34"/>
  <c r="E24" i="34"/>
  <c r="F24" i="34" s="1"/>
  <c r="D24" i="34"/>
  <c r="A24" i="34"/>
  <c r="AG23" i="34"/>
  <c r="AH23" i="34" s="1"/>
  <c r="AF23" i="34"/>
  <c r="AE23" i="34"/>
  <c r="AC23" i="34"/>
  <c r="Z23" i="34"/>
  <c r="AD23" i="34" s="1"/>
  <c r="R23" i="34"/>
  <c r="P23" i="34"/>
  <c r="O23" i="34"/>
  <c r="N23" i="34"/>
  <c r="L23" i="34"/>
  <c r="J23" i="34"/>
  <c r="I23" i="34"/>
  <c r="F23" i="34"/>
  <c r="E23" i="34"/>
  <c r="D23" i="34"/>
  <c r="A23" i="34"/>
  <c r="AF22" i="34"/>
  <c r="AE22" i="34"/>
  <c r="AD22" i="34"/>
  <c r="Z22" i="34"/>
  <c r="R22" i="34"/>
  <c r="P22" i="34"/>
  <c r="O22" i="34"/>
  <c r="N22" i="34"/>
  <c r="L22" i="34"/>
  <c r="J22" i="34"/>
  <c r="H22" i="34"/>
  <c r="G22" i="34"/>
  <c r="E22" i="34"/>
  <c r="F22" i="34" s="1"/>
  <c r="D22" i="34"/>
  <c r="A22" i="34"/>
  <c r="AG21" i="34"/>
  <c r="AH21" i="34" s="1"/>
  <c r="AF21" i="34"/>
  <c r="AE21" i="34"/>
  <c r="AC21" i="34"/>
  <c r="Z21" i="34"/>
  <c r="AD21" i="34" s="1"/>
  <c r="R21" i="34"/>
  <c r="P21" i="34"/>
  <c r="O21" i="34"/>
  <c r="N21" i="34"/>
  <c r="L21" i="34"/>
  <c r="J21" i="34"/>
  <c r="I21" i="34"/>
  <c r="F21" i="34"/>
  <c r="E21" i="34"/>
  <c r="D21" i="34"/>
  <c r="A21" i="34"/>
  <c r="AF20" i="34"/>
  <c r="AE20" i="34"/>
  <c r="AD20" i="34"/>
  <c r="Z20" i="34"/>
  <c r="R20" i="34"/>
  <c r="P20" i="34"/>
  <c r="O20" i="34"/>
  <c r="N20" i="34"/>
  <c r="L20" i="34"/>
  <c r="J20" i="34"/>
  <c r="H20" i="34"/>
  <c r="G20" i="34"/>
  <c r="E20" i="34"/>
  <c r="F20" i="34" s="1"/>
  <c r="D20" i="34"/>
  <c r="A20" i="34"/>
  <c r="AE19" i="34"/>
  <c r="Z19" i="34"/>
  <c r="AA19" i="34" s="1"/>
  <c r="R19" i="34"/>
  <c r="P19" i="34"/>
  <c r="O19" i="34"/>
  <c r="N19" i="34"/>
  <c r="L19" i="34"/>
  <c r="J19" i="34"/>
  <c r="E19" i="34"/>
  <c r="I19" i="34" s="1"/>
  <c r="D19" i="34"/>
  <c r="A19" i="34"/>
  <c r="AG18" i="34"/>
  <c r="AH18" i="34" s="1"/>
  <c r="AE18" i="34"/>
  <c r="AC18" i="34"/>
  <c r="Z18" i="34"/>
  <c r="AD18" i="34" s="1"/>
  <c r="R18" i="34"/>
  <c r="P18" i="34"/>
  <c r="O18" i="34"/>
  <c r="N18" i="34"/>
  <c r="L18" i="34"/>
  <c r="J18" i="34"/>
  <c r="E18" i="34"/>
  <c r="I18" i="34" s="1"/>
  <c r="D18" i="34"/>
  <c r="A18" i="34"/>
  <c r="AG17" i="34"/>
  <c r="AH17" i="34" s="1"/>
  <c r="AF17" i="34"/>
  <c r="AE17" i="34"/>
  <c r="AD17" i="34"/>
  <c r="AC17" i="34"/>
  <c r="Z17" i="34"/>
  <c r="R17" i="34"/>
  <c r="P17" i="34"/>
  <c r="O17" i="34"/>
  <c r="N17" i="34"/>
  <c r="L17" i="34"/>
  <c r="J17" i="34"/>
  <c r="H17" i="34"/>
  <c r="G17" i="34"/>
  <c r="E17" i="34"/>
  <c r="F17" i="34" s="1"/>
  <c r="D17" i="34"/>
  <c r="A17" i="34"/>
  <c r="AG16" i="34"/>
  <c r="AH16" i="34" s="1"/>
  <c r="AE16" i="34"/>
  <c r="AC16" i="34"/>
  <c r="Z16" i="34"/>
  <c r="AD16" i="34" s="1"/>
  <c r="R16" i="34"/>
  <c r="P16" i="34"/>
  <c r="O16" i="34"/>
  <c r="N16" i="34"/>
  <c r="L16" i="34"/>
  <c r="J16" i="34"/>
  <c r="E16" i="34"/>
  <c r="I16" i="34" s="1"/>
  <c r="D16" i="34"/>
  <c r="A16" i="34"/>
  <c r="AG15" i="34"/>
  <c r="AH15" i="34" s="1"/>
  <c r="AF15" i="34"/>
  <c r="AE15" i="34"/>
  <c r="AC15" i="34"/>
  <c r="Z15" i="34"/>
  <c r="R15" i="34"/>
  <c r="P15" i="34"/>
  <c r="O15" i="34"/>
  <c r="N15" i="34"/>
  <c r="L15" i="34"/>
  <c r="J15" i="34"/>
  <c r="H15" i="34"/>
  <c r="G15" i="34"/>
  <c r="F15" i="34"/>
  <c r="E15" i="34"/>
  <c r="I15" i="34" s="1"/>
  <c r="D15" i="34"/>
  <c r="A15" i="34"/>
  <c r="AE14" i="34"/>
  <c r="AD14" i="34"/>
  <c r="AC14" i="34"/>
  <c r="Z14" i="34"/>
  <c r="R14" i="34"/>
  <c r="P14" i="34"/>
  <c r="O14" i="34"/>
  <c r="N14" i="34"/>
  <c r="L14" i="34"/>
  <c r="J14" i="34"/>
  <c r="H14" i="34"/>
  <c r="G14" i="34"/>
  <c r="E14" i="34"/>
  <c r="F14" i="34" s="1"/>
  <c r="D14" i="34"/>
  <c r="A14" i="34"/>
  <c r="AF13" i="34"/>
  <c r="AE13" i="34"/>
  <c r="Z13" i="34"/>
  <c r="R13" i="34"/>
  <c r="P13" i="34"/>
  <c r="O13" i="34"/>
  <c r="N13" i="34"/>
  <c r="L13" i="34"/>
  <c r="J13" i="34"/>
  <c r="E13" i="34"/>
  <c r="D13" i="34"/>
  <c r="A13" i="34"/>
  <c r="AG12" i="34"/>
  <c r="AH12" i="34" s="1"/>
  <c r="AF12" i="34"/>
  <c r="AE12" i="34"/>
  <c r="AC12" i="34"/>
  <c r="Z12" i="34"/>
  <c r="AD12" i="34" s="1"/>
  <c r="R12" i="34"/>
  <c r="P12" i="34"/>
  <c r="O12" i="34"/>
  <c r="N12" i="34"/>
  <c r="L12" i="34"/>
  <c r="J12" i="34"/>
  <c r="E12" i="34"/>
  <c r="D12" i="34"/>
  <c r="A12" i="34"/>
  <c r="AG11" i="34"/>
  <c r="AH11" i="34" s="1"/>
  <c r="AE11" i="34"/>
  <c r="AC11" i="34"/>
  <c r="Z11" i="34"/>
  <c r="R11" i="34"/>
  <c r="P11" i="34"/>
  <c r="O11" i="34"/>
  <c r="N11" i="34"/>
  <c r="L11" i="34"/>
  <c r="J11" i="34"/>
  <c r="E11" i="34"/>
  <c r="D11" i="34"/>
  <c r="A11" i="34"/>
  <c r="AG10" i="34"/>
  <c r="AH10" i="34" s="1"/>
  <c r="AF10" i="34"/>
  <c r="AE10" i="34"/>
  <c r="AC10" i="34"/>
  <c r="Z10" i="34"/>
  <c r="R10" i="34"/>
  <c r="P10" i="34"/>
  <c r="O10" i="34"/>
  <c r="N10" i="34"/>
  <c r="L10" i="34"/>
  <c r="J10" i="34"/>
  <c r="H10" i="34"/>
  <c r="G10" i="34"/>
  <c r="F10" i="34"/>
  <c r="E10" i="34"/>
  <c r="I10" i="34" s="1"/>
  <c r="D10" i="34"/>
  <c r="A10" i="34"/>
  <c r="AF9" i="34"/>
  <c r="AE9" i="34"/>
  <c r="Z9" i="34"/>
  <c r="R9" i="34"/>
  <c r="P9" i="34"/>
  <c r="O9" i="34"/>
  <c r="N9" i="34"/>
  <c r="L9" i="34"/>
  <c r="J9" i="34"/>
  <c r="H9" i="34"/>
  <c r="G9" i="34"/>
  <c r="E9" i="34"/>
  <c r="F9" i="34" s="1"/>
  <c r="D9" i="34"/>
  <c r="A9" i="34"/>
  <c r="AF8" i="34"/>
  <c r="AE8" i="34"/>
  <c r="AD8" i="34"/>
  <c r="Z8" i="34"/>
  <c r="R8" i="34"/>
  <c r="P8" i="34"/>
  <c r="O8" i="34"/>
  <c r="N8" i="34"/>
  <c r="L8" i="34"/>
  <c r="J8" i="34"/>
  <c r="E8" i="34"/>
  <c r="H8" i="34" s="1"/>
  <c r="D8" i="34"/>
  <c r="A8" i="34"/>
  <c r="AG7" i="34"/>
  <c r="AH7" i="34" s="1"/>
  <c r="AF7" i="34"/>
  <c r="AE7" i="34"/>
  <c r="AC7" i="34"/>
  <c r="Z7" i="34"/>
  <c r="R7" i="34"/>
  <c r="P7" i="34"/>
  <c r="O7" i="34"/>
  <c r="N7" i="34"/>
  <c r="L7" i="34"/>
  <c r="J7" i="34"/>
  <c r="AR19" i="34" s="1"/>
  <c r="H7" i="34"/>
  <c r="G7" i="34"/>
  <c r="F7" i="34"/>
  <c r="E7" i="34"/>
  <c r="I7" i="34" s="1"/>
  <c r="D7" i="34"/>
  <c r="A7" i="34"/>
  <c r="AE6" i="34"/>
  <c r="Z6" i="34"/>
  <c r="R6" i="34"/>
  <c r="P6" i="34"/>
  <c r="O6" i="34"/>
  <c r="N6" i="34"/>
  <c r="L6" i="34"/>
  <c r="J6" i="34"/>
  <c r="I6" i="34"/>
  <c r="H6" i="34"/>
  <c r="E6" i="34"/>
  <c r="D6" i="34"/>
  <c r="A6" i="34"/>
  <c r="Y5" i="34"/>
  <c r="X5" i="34"/>
  <c r="AF16" i="34" s="1"/>
  <c r="W5" i="34"/>
  <c r="V5" i="34"/>
  <c r="AF19" i="34" s="1"/>
  <c r="U5" i="34"/>
  <c r="T5" i="34"/>
  <c r="AF18" i="34" s="1"/>
  <c r="S5" i="34"/>
  <c r="H12" i="34" l="1"/>
  <c r="G12" i="34"/>
  <c r="I12" i="34"/>
  <c r="F12" i="34"/>
  <c r="G13" i="34"/>
  <c r="F13" i="34"/>
  <c r="H13" i="34"/>
  <c r="I13" i="34"/>
  <c r="AB9" i="34"/>
  <c r="AA9" i="34"/>
  <c r="AG9" i="34"/>
  <c r="AH9" i="34" s="1"/>
  <c r="AC9" i="34"/>
  <c r="AD9" i="34"/>
  <c r="AA10" i="34"/>
  <c r="J61" i="34"/>
  <c r="AR18" i="34"/>
  <c r="Z57" i="34"/>
  <c r="Z56" i="34"/>
  <c r="AA54" i="34"/>
  <c r="AA52" i="34"/>
  <c r="AA50" i="34"/>
  <c r="AA48" i="34"/>
  <c r="AB55" i="34"/>
  <c r="AB53" i="34"/>
  <c r="AB51" i="34"/>
  <c r="AB49" i="34"/>
  <c r="AB47" i="34"/>
  <c r="AA49" i="34"/>
  <c r="AA44" i="34"/>
  <c r="AA42" i="34"/>
  <c r="AA40" i="34"/>
  <c r="AA38" i="34"/>
  <c r="AA36" i="34"/>
  <c r="AA34" i="34"/>
  <c r="AA32" i="34"/>
  <c r="AA47" i="34"/>
  <c r="AA53" i="34"/>
  <c r="AB34" i="34"/>
  <c r="AB30" i="34"/>
  <c r="AG6" i="34"/>
  <c r="AC6" i="34"/>
  <c r="AA51" i="34"/>
  <c r="AB44" i="34"/>
  <c r="AB36" i="34"/>
  <c r="AB27" i="34"/>
  <c r="AB25" i="34"/>
  <c r="AA46" i="34"/>
  <c r="AB42" i="34"/>
  <c r="AB38" i="34"/>
  <c r="AA30" i="34"/>
  <c r="AB6" i="34"/>
  <c r="AB32" i="34"/>
  <c r="AA25" i="34"/>
  <c r="AB18" i="34"/>
  <c r="AB16" i="34"/>
  <c r="AB15" i="34"/>
  <c r="AB12" i="34"/>
  <c r="AB11" i="34"/>
  <c r="AB7" i="34"/>
  <c r="AD6" i="34"/>
  <c r="AA6" i="34"/>
  <c r="AB40" i="34"/>
  <c r="AA29" i="34"/>
  <c r="AA27" i="34"/>
  <c r="AB23" i="34"/>
  <c r="AB21" i="34"/>
  <c r="AA18" i="34"/>
  <c r="AA16" i="34"/>
  <c r="AA12" i="34"/>
  <c r="AA55" i="34"/>
  <c r="AA35" i="34"/>
  <c r="AA23" i="34"/>
  <c r="AA21" i="34"/>
  <c r="AS18" i="34"/>
  <c r="AB10" i="34"/>
  <c r="AA13" i="34"/>
  <c r="F16" i="34"/>
  <c r="H19" i="34"/>
  <c r="H27" i="34"/>
  <c r="F27" i="34"/>
  <c r="G27" i="34"/>
  <c r="AB28" i="34"/>
  <c r="G33" i="34"/>
  <c r="F33" i="34"/>
  <c r="H33" i="34"/>
  <c r="I33" i="34"/>
  <c r="AA37" i="34"/>
  <c r="AF48" i="34"/>
  <c r="AF55" i="34"/>
  <c r="AF28" i="34"/>
  <c r="AF26" i="34"/>
  <c r="AF38" i="34"/>
  <c r="I11" i="34"/>
  <c r="H11" i="34"/>
  <c r="AA11" i="34"/>
  <c r="AF11" i="34"/>
  <c r="AA15" i="34"/>
  <c r="AB20" i="34"/>
  <c r="AA20" i="34"/>
  <c r="AB22" i="34"/>
  <c r="AA22" i="34"/>
  <c r="AB24" i="34"/>
  <c r="AA24" i="34"/>
  <c r="AG24" i="34"/>
  <c r="AH24" i="34" s="1"/>
  <c r="H25" i="34"/>
  <c r="F25" i="34"/>
  <c r="G25" i="34"/>
  <c r="I27" i="34"/>
  <c r="G37" i="34"/>
  <c r="F37" i="34"/>
  <c r="H37" i="34"/>
  <c r="I37" i="34"/>
  <c r="AG41" i="34"/>
  <c r="AH41" i="34" s="1"/>
  <c r="AC41" i="34"/>
  <c r="AB41" i="34"/>
  <c r="AA41" i="34"/>
  <c r="AD41" i="34"/>
  <c r="H16" i="34"/>
  <c r="G16" i="34"/>
  <c r="H18" i="34"/>
  <c r="G18" i="34"/>
  <c r="G19" i="34"/>
  <c r="F19" i="34"/>
  <c r="AA7" i="34"/>
  <c r="G8" i="34"/>
  <c r="F8" i="34"/>
  <c r="AG13" i="34"/>
  <c r="AH13" i="34" s="1"/>
  <c r="AC13" i="34"/>
  <c r="AB13" i="34"/>
  <c r="F18" i="34"/>
  <c r="AG19" i="34"/>
  <c r="AH19" i="34" s="1"/>
  <c r="AC19" i="34"/>
  <c r="AB19" i="34"/>
  <c r="H29" i="34"/>
  <c r="F29" i="34"/>
  <c r="G29" i="34"/>
  <c r="AF46" i="34"/>
  <c r="AF51" i="34"/>
  <c r="AF40" i="34"/>
  <c r="AF24" i="34"/>
  <c r="AF42" i="34"/>
  <c r="AT19" i="34"/>
  <c r="AG8" i="34"/>
  <c r="AH8" i="34" s="1"/>
  <c r="AC8" i="34"/>
  <c r="AB8" i="34"/>
  <c r="AF49" i="34"/>
  <c r="AF47" i="34"/>
  <c r="AF14" i="34"/>
  <c r="AF27" i="34"/>
  <c r="AF30" i="34"/>
  <c r="AF52" i="34"/>
  <c r="AF50" i="34"/>
  <c r="AF41" i="34"/>
  <c r="AF37" i="34"/>
  <c r="AF34" i="34"/>
  <c r="G6" i="34"/>
  <c r="F6" i="34"/>
  <c r="I8" i="34"/>
  <c r="AA8" i="34"/>
  <c r="G11" i="34"/>
  <c r="AD13" i="34"/>
  <c r="AB14" i="34"/>
  <c r="AA14" i="34"/>
  <c r="AG14" i="34"/>
  <c r="AH14" i="34" s="1"/>
  <c r="AB17" i="34"/>
  <c r="AA17" i="34"/>
  <c r="AD19" i="34"/>
  <c r="AC20" i="34"/>
  <c r="AG20" i="34"/>
  <c r="AH20" i="34" s="1"/>
  <c r="H21" i="34"/>
  <c r="G21" i="34"/>
  <c r="AC22" i="34"/>
  <c r="AG22" i="34"/>
  <c r="AH22" i="34" s="1"/>
  <c r="H23" i="34"/>
  <c r="G23" i="34"/>
  <c r="AC24" i="34"/>
  <c r="I25" i="34"/>
  <c r="AB26" i="34"/>
  <c r="AG31" i="34"/>
  <c r="AH31" i="34" s="1"/>
  <c r="AC31" i="34"/>
  <c r="AB31" i="34"/>
  <c r="AA31" i="34"/>
  <c r="AD31" i="34"/>
  <c r="AF44" i="34"/>
  <c r="AD45" i="34"/>
  <c r="AC45" i="34"/>
  <c r="AG45" i="34"/>
  <c r="AH45" i="34" s="1"/>
  <c r="AB45" i="34"/>
  <c r="AA45" i="34"/>
  <c r="AB48" i="34"/>
  <c r="AD24" i="34"/>
  <c r="AA33" i="34"/>
  <c r="H53" i="34"/>
  <c r="G53" i="34"/>
  <c r="F53" i="34"/>
  <c r="I53" i="34"/>
  <c r="AD7" i="34"/>
  <c r="I9" i="34"/>
  <c r="AD10" i="34"/>
  <c r="AD11" i="34"/>
  <c r="I14" i="34"/>
  <c r="AD15" i="34"/>
  <c r="I17" i="34"/>
  <c r="AT18" i="34"/>
  <c r="AS19" i="34"/>
  <c r="I20" i="34"/>
  <c r="I22" i="34"/>
  <c r="I24" i="34"/>
  <c r="I26" i="34"/>
  <c r="AA26" i="34"/>
  <c r="I28" i="34"/>
  <c r="AA28" i="34"/>
  <c r="G35" i="34"/>
  <c r="F35" i="34"/>
  <c r="AG39" i="34"/>
  <c r="AH39" i="34" s="1"/>
  <c r="AC39" i="34"/>
  <c r="AB39" i="34"/>
  <c r="AD26" i="34"/>
  <c r="AD28" i="34"/>
  <c r="AG33" i="34"/>
  <c r="AH33" i="34" s="1"/>
  <c r="AC33" i="34"/>
  <c r="AB33" i="34"/>
  <c r="AG37" i="34"/>
  <c r="AH37" i="34" s="1"/>
  <c r="AC37" i="34"/>
  <c r="AB37" i="34"/>
  <c r="G39" i="34"/>
  <c r="F39" i="34"/>
  <c r="AG43" i="34"/>
  <c r="AH43" i="34" s="1"/>
  <c r="AC43" i="34"/>
  <c r="AB43" i="34"/>
  <c r="AA43" i="34"/>
  <c r="AF43" i="34"/>
  <c r="AF31" i="34"/>
  <c r="AT12" i="34" s="1"/>
  <c r="AF6" i="34"/>
  <c r="AT8" i="34" s="1"/>
  <c r="AB29" i="34"/>
  <c r="G31" i="34"/>
  <c r="F31" i="34"/>
  <c r="AD33" i="34"/>
  <c r="H35" i="34"/>
  <c r="AG35" i="34"/>
  <c r="AH35" i="34" s="1"/>
  <c r="AC35" i="34"/>
  <c r="AB35" i="34"/>
  <c r="AD37" i="34"/>
  <c r="I39" i="34"/>
  <c r="AA39" i="34"/>
  <c r="G41" i="34"/>
  <c r="F41" i="34"/>
  <c r="I43" i="34"/>
  <c r="I45" i="34"/>
  <c r="H47" i="34"/>
  <c r="G47" i="34"/>
  <c r="F47" i="34"/>
  <c r="AB50" i="34"/>
  <c r="H32" i="34"/>
  <c r="H34" i="34"/>
  <c r="H36" i="34"/>
  <c r="H38" i="34"/>
  <c r="H40" i="34"/>
  <c r="H42" i="34"/>
  <c r="F43" i="34"/>
  <c r="H44" i="34"/>
  <c r="F45" i="34"/>
  <c r="G46" i="34"/>
  <c r="I47" i="34"/>
  <c r="H49" i="34"/>
  <c r="G49" i="34"/>
  <c r="F49" i="34"/>
  <c r="AB52" i="34"/>
  <c r="AB54" i="34"/>
  <c r="S58" i="34"/>
  <c r="S59" i="34"/>
  <c r="H46" i="34"/>
  <c r="AB46" i="34"/>
  <c r="H51" i="34"/>
  <c r="G51" i="34"/>
  <c r="F51" i="34"/>
  <c r="H55" i="34"/>
  <c r="G55" i="34"/>
  <c r="F55" i="34"/>
  <c r="W58" i="34"/>
  <c r="W59" i="34"/>
  <c r="AD46" i="34"/>
  <c r="H48" i="34"/>
  <c r="AD48" i="34"/>
  <c r="H50" i="34"/>
  <c r="AD50" i="34"/>
  <c r="H52" i="34"/>
  <c r="AD52" i="34"/>
  <c r="H54" i="34"/>
  <c r="AD54" i="34"/>
  <c r="T58" i="34"/>
  <c r="X58" i="34"/>
  <c r="T59" i="34"/>
  <c r="X59" i="34"/>
  <c r="I48" i="34"/>
  <c r="I50" i="34"/>
  <c r="I52" i="34"/>
  <c r="I54" i="34"/>
  <c r="AC55" i="34"/>
  <c r="AG55" i="34"/>
  <c r="AH55" i="34" s="1"/>
  <c r="U58" i="34"/>
  <c r="Y58" i="34"/>
  <c r="U59" i="34"/>
  <c r="Y59" i="34"/>
  <c r="V58" i="34"/>
  <c r="V59" i="34"/>
  <c r="AE54" i="3"/>
  <c r="Z54" i="3"/>
  <c r="AD54" i="3" s="1"/>
  <c r="R54" i="3"/>
  <c r="P54" i="3"/>
  <c r="O54" i="3"/>
  <c r="L54" i="3"/>
  <c r="J54" i="3"/>
  <c r="E54" i="3"/>
  <c r="I54" i="3" s="1"/>
  <c r="D54" i="3"/>
  <c r="A54" i="3"/>
  <c r="AF53" i="3"/>
  <c r="AE53" i="3"/>
  <c r="Z53" i="3"/>
  <c r="AG53" i="3" s="1"/>
  <c r="R53" i="3"/>
  <c r="P53" i="3"/>
  <c r="O53" i="3"/>
  <c r="L53" i="3"/>
  <c r="J53" i="3"/>
  <c r="E53" i="3"/>
  <c r="F53" i="3" s="1"/>
  <c r="D53" i="3"/>
  <c r="A53" i="3"/>
  <c r="AF52" i="3"/>
  <c r="AE52" i="3"/>
  <c r="Z52" i="3"/>
  <c r="AD52" i="3" s="1"/>
  <c r="R52" i="3"/>
  <c r="P52" i="3"/>
  <c r="O52" i="3"/>
  <c r="L52" i="3"/>
  <c r="J52" i="3"/>
  <c r="E52" i="3"/>
  <c r="D52" i="3"/>
  <c r="A52" i="3"/>
  <c r="AE51" i="3"/>
  <c r="Z51" i="3"/>
  <c r="AC51" i="3" s="1"/>
  <c r="R51" i="3"/>
  <c r="P51" i="3"/>
  <c r="O51" i="3"/>
  <c r="L51" i="3"/>
  <c r="J51" i="3"/>
  <c r="E51" i="3"/>
  <c r="F51" i="3" s="1"/>
  <c r="D51" i="3"/>
  <c r="A51" i="3"/>
  <c r="AE50" i="3"/>
  <c r="Z50" i="3"/>
  <c r="AD50" i="3" s="1"/>
  <c r="R50" i="3"/>
  <c r="P50" i="3"/>
  <c r="O50" i="3"/>
  <c r="L50" i="3"/>
  <c r="J50" i="3"/>
  <c r="E50" i="3"/>
  <c r="I50" i="3" s="1"/>
  <c r="D50" i="3"/>
  <c r="A50" i="3"/>
  <c r="AE49" i="3"/>
  <c r="Z49" i="3"/>
  <c r="AC49" i="3" s="1"/>
  <c r="R49" i="3"/>
  <c r="P49" i="3"/>
  <c r="O49" i="3"/>
  <c r="L49" i="3"/>
  <c r="J49" i="3"/>
  <c r="E49" i="3"/>
  <c r="F49" i="3" s="1"/>
  <c r="D49" i="3"/>
  <c r="A49" i="3"/>
  <c r="AE48" i="3"/>
  <c r="Z48" i="3"/>
  <c r="AD48" i="3" s="1"/>
  <c r="R48" i="3"/>
  <c r="P48" i="3"/>
  <c r="O48" i="3"/>
  <c r="L48" i="3"/>
  <c r="J48" i="3"/>
  <c r="E48" i="3"/>
  <c r="I48" i="3" s="1"/>
  <c r="D48" i="3"/>
  <c r="A48" i="3"/>
  <c r="AE47" i="3"/>
  <c r="Z47" i="3"/>
  <c r="AC47" i="3" s="1"/>
  <c r="R47" i="3"/>
  <c r="P47" i="3"/>
  <c r="O47" i="3"/>
  <c r="L47" i="3"/>
  <c r="J47" i="3"/>
  <c r="E47" i="3"/>
  <c r="F47" i="3" s="1"/>
  <c r="D47" i="3"/>
  <c r="A47" i="3"/>
  <c r="AE46" i="3"/>
  <c r="Z46" i="3"/>
  <c r="AD46" i="3" s="1"/>
  <c r="R46" i="3"/>
  <c r="P46" i="3"/>
  <c r="O46" i="3"/>
  <c r="L46" i="3"/>
  <c r="J46" i="3"/>
  <c r="E46" i="3"/>
  <c r="I46" i="3" s="1"/>
  <c r="D46" i="3"/>
  <c r="A46" i="3"/>
  <c r="AE45" i="3"/>
  <c r="Z45" i="3"/>
  <c r="AC45" i="3" s="1"/>
  <c r="R45" i="3"/>
  <c r="P45" i="3"/>
  <c r="O45" i="3"/>
  <c r="L45" i="3"/>
  <c r="J45" i="3"/>
  <c r="E45" i="3"/>
  <c r="D45" i="3"/>
  <c r="A45" i="3"/>
  <c r="AF44" i="3"/>
  <c r="AE44" i="3"/>
  <c r="Z44" i="3"/>
  <c r="AD44" i="3" s="1"/>
  <c r="R44" i="3"/>
  <c r="P44" i="3"/>
  <c r="O44" i="3"/>
  <c r="L44" i="3"/>
  <c r="J44" i="3"/>
  <c r="E44" i="3"/>
  <c r="D44" i="3"/>
  <c r="A44" i="3"/>
  <c r="AE43" i="3"/>
  <c r="Z43" i="3"/>
  <c r="AD43" i="3" s="1"/>
  <c r="R43" i="3"/>
  <c r="P43" i="3"/>
  <c r="O43" i="3"/>
  <c r="L43" i="3"/>
  <c r="J43" i="3"/>
  <c r="E43" i="3"/>
  <c r="I43" i="3" s="1"/>
  <c r="D43" i="3"/>
  <c r="A43" i="3"/>
  <c r="AE42" i="3"/>
  <c r="Z42" i="3"/>
  <c r="AD42" i="3" s="1"/>
  <c r="R42" i="3"/>
  <c r="P42" i="3"/>
  <c r="O42" i="3"/>
  <c r="L42" i="3"/>
  <c r="J42" i="3"/>
  <c r="E42" i="3"/>
  <c r="D42" i="3"/>
  <c r="A42" i="3"/>
  <c r="AE41" i="3"/>
  <c r="Z41" i="3"/>
  <c r="AD41" i="3" s="1"/>
  <c r="R41" i="3"/>
  <c r="P41" i="3"/>
  <c r="O41" i="3"/>
  <c r="L41" i="3"/>
  <c r="J41" i="3"/>
  <c r="E41" i="3"/>
  <c r="I41" i="3" s="1"/>
  <c r="D41" i="3"/>
  <c r="A41" i="3"/>
  <c r="AE40" i="3"/>
  <c r="Z40" i="3"/>
  <c r="AD40" i="3" s="1"/>
  <c r="R40" i="3"/>
  <c r="P40" i="3"/>
  <c r="O40" i="3"/>
  <c r="L40" i="3"/>
  <c r="J40" i="3"/>
  <c r="E40" i="3"/>
  <c r="D40" i="3"/>
  <c r="A40" i="3"/>
  <c r="AE39" i="3"/>
  <c r="Z39" i="3"/>
  <c r="AD39" i="3" s="1"/>
  <c r="R39" i="3"/>
  <c r="P39" i="3"/>
  <c r="O39" i="3"/>
  <c r="L39" i="3"/>
  <c r="J39" i="3"/>
  <c r="E39" i="3"/>
  <c r="I39" i="3" s="1"/>
  <c r="D39" i="3"/>
  <c r="A39" i="3"/>
  <c r="AF38" i="3"/>
  <c r="AE38" i="3"/>
  <c r="Z38" i="3"/>
  <c r="AD38" i="3" s="1"/>
  <c r="R38" i="3"/>
  <c r="P38" i="3"/>
  <c r="O38" i="3"/>
  <c r="L38" i="3"/>
  <c r="J38" i="3"/>
  <c r="E38" i="3"/>
  <c r="D38" i="3"/>
  <c r="A38" i="3"/>
  <c r="AE37" i="3"/>
  <c r="Z37" i="3"/>
  <c r="AD37" i="3" s="1"/>
  <c r="R37" i="3"/>
  <c r="P37" i="3"/>
  <c r="O37" i="3"/>
  <c r="L37" i="3"/>
  <c r="J37" i="3"/>
  <c r="E37" i="3"/>
  <c r="I37" i="3" s="1"/>
  <c r="D37" i="3"/>
  <c r="A37" i="3"/>
  <c r="AE36" i="3"/>
  <c r="Z36" i="3"/>
  <c r="AD36" i="3" s="1"/>
  <c r="R36" i="3"/>
  <c r="P36" i="3"/>
  <c r="O36" i="3"/>
  <c r="L36" i="3"/>
  <c r="J36" i="3"/>
  <c r="E36" i="3"/>
  <c r="D36" i="3"/>
  <c r="A36" i="3"/>
  <c r="AE35" i="3"/>
  <c r="Z35" i="3"/>
  <c r="AD35" i="3" s="1"/>
  <c r="R35" i="3"/>
  <c r="P35" i="3"/>
  <c r="O35" i="3"/>
  <c r="L35" i="3"/>
  <c r="J35" i="3"/>
  <c r="E35" i="3"/>
  <c r="I35" i="3" s="1"/>
  <c r="D35" i="3"/>
  <c r="A35" i="3"/>
  <c r="AF34" i="3"/>
  <c r="AE34" i="3"/>
  <c r="Z34" i="3"/>
  <c r="AD34" i="3" s="1"/>
  <c r="R34" i="3"/>
  <c r="P34" i="3"/>
  <c r="O34" i="3"/>
  <c r="L34" i="3"/>
  <c r="J34" i="3"/>
  <c r="E34" i="3"/>
  <c r="D34" i="3"/>
  <c r="A34" i="3"/>
  <c r="AE33" i="3"/>
  <c r="Z33" i="3"/>
  <c r="AD33" i="3" s="1"/>
  <c r="R33" i="3"/>
  <c r="P33" i="3"/>
  <c r="O33" i="3"/>
  <c r="L33" i="3"/>
  <c r="J33" i="3"/>
  <c r="E33" i="3"/>
  <c r="I33" i="3" s="1"/>
  <c r="D33" i="3"/>
  <c r="A33" i="3"/>
  <c r="AF32" i="3"/>
  <c r="AE32" i="3"/>
  <c r="Z32" i="3"/>
  <c r="AD32" i="3" s="1"/>
  <c r="R32" i="3"/>
  <c r="P32" i="3"/>
  <c r="O32" i="3"/>
  <c r="L32" i="3"/>
  <c r="J32" i="3"/>
  <c r="E32" i="3"/>
  <c r="I32" i="3" s="1"/>
  <c r="D32" i="3"/>
  <c r="A32" i="3"/>
  <c r="AF31" i="3"/>
  <c r="AE31" i="3"/>
  <c r="Z31" i="3"/>
  <c r="AD31" i="3" s="1"/>
  <c r="R31" i="3"/>
  <c r="P31" i="3"/>
  <c r="O31" i="3"/>
  <c r="L31" i="3"/>
  <c r="J31" i="3"/>
  <c r="E31" i="3"/>
  <c r="I31" i="3" s="1"/>
  <c r="D31" i="3"/>
  <c r="A31" i="3"/>
  <c r="AE30" i="3"/>
  <c r="Z30" i="3"/>
  <c r="AD30" i="3" s="1"/>
  <c r="R30" i="3"/>
  <c r="P30" i="3"/>
  <c r="O30" i="3"/>
  <c r="L30" i="3"/>
  <c r="J30" i="3"/>
  <c r="E30" i="3"/>
  <c r="D30" i="3"/>
  <c r="A30" i="3"/>
  <c r="AE29" i="3"/>
  <c r="Z29" i="3"/>
  <c r="AD29" i="3" s="1"/>
  <c r="R29" i="3"/>
  <c r="P29" i="3"/>
  <c r="O29" i="3"/>
  <c r="L29" i="3"/>
  <c r="J29" i="3"/>
  <c r="E29" i="3"/>
  <c r="I29" i="3" s="1"/>
  <c r="D29" i="3"/>
  <c r="A29" i="3"/>
  <c r="AF28" i="3"/>
  <c r="AE28" i="3"/>
  <c r="Z28" i="3"/>
  <c r="R28" i="3"/>
  <c r="P28" i="3"/>
  <c r="O28" i="3"/>
  <c r="L28" i="3"/>
  <c r="J28" i="3"/>
  <c r="E28" i="3"/>
  <c r="D28" i="3"/>
  <c r="A28" i="3"/>
  <c r="AG27" i="3"/>
  <c r="AE27" i="3"/>
  <c r="Z27" i="3"/>
  <c r="AD27" i="3" s="1"/>
  <c r="R27" i="3"/>
  <c r="P27" i="3"/>
  <c r="O27" i="3"/>
  <c r="L27" i="3"/>
  <c r="J27" i="3"/>
  <c r="E27" i="3"/>
  <c r="D27" i="3"/>
  <c r="A27" i="3"/>
  <c r="AE26" i="3"/>
  <c r="Z26" i="3"/>
  <c r="AC26" i="3" s="1"/>
  <c r="R26" i="3"/>
  <c r="P26" i="3"/>
  <c r="O26" i="3"/>
  <c r="L26" i="3"/>
  <c r="J26" i="3"/>
  <c r="E26" i="3"/>
  <c r="F26" i="3" s="1"/>
  <c r="D26" i="3"/>
  <c r="A26" i="3"/>
  <c r="AE25" i="3"/>
  <c r="Z25" i="3"/>
  <c r="AD25" i="3" s="1"/>
  <c r="R25" i="3"/>
  <c r="P25" i="3"/>
  <c r="O25" i="3"/>
  <c r="L25" i="3"/>
  <c r="J25" i="3"/>
  <c r="E25" i="3"/>
  <c r="D25" i="3"/>
  <c r="A25" i="3"/>
  <c r="AF24" i="3"/>
  <c r="AE24" i="3"/>
  <c r="Z24" i="3"/>
  <c r="AG24" i="3" s="1"/>
  <c r="R24" i="3"/>
  <c r="P24" i="3"/>
  <c r="O24" i="3"/>
  <c r="L24" i="3"/>
  <c r="J24" i="3"/>
  <c r="E24" i="3"/>
  <c r="F24" i="3" s="1"/>
  <c r="D24" i="3"/>
  <c r="A24" i="3"/>
  <c r="AE23" i="3"/>
  <c r="Z23" i="3"/>
  <c r="AD23" i="3" s="1"/>
  <c r="R23" i="3"/>
  <c r="P23" i="3"/>
  <c r="O23" i="3"/>
  <c r="L23" i="3"/>
  <c r="J23" i="3"/>
  <c r="E23" i="3"/>
  <c r="I23" i="3" s="1"/>
  <c r="D23" i="3"/>
  <c r="A23" i="3"/>
  <c r="AF22" i="3"/>
  <c r="AE22" i="3"/>
  <c r="Z22" i="3"/>
  <c r="AG22" i="3" s="1"/>
  <c r="R22" i="3"/>
  <c r="P22" i="3"/>
  <c r="O22" i="3"/>
  <c r="L22" i="3"/>
  <c r="J22" i="3"/>
  <c r="E22" i="3"/>
  <c r="F22" i="3" s="1"/>
  <c r="D22" i="3"/>
  <c r="A22" i="3"/>
  <c r="AF21" i="3"/>
  <c r="AE21" i="3"/>
  <c r="Z21" i="3"/>
  <c r="AD21" i="3" s="1"/>
  <c r="R21" i="3"/>
  <c r="P21" i="3"/>
  <c r="O21" i="3"/>
  <c r="L21" i="3"/>
  <c r="J21" i="3"/>
  <c r="E21" i="3"/>
  <c r="I21" i="3" s="1"/>
  <c r="D21" i="3"/>
  <c r="A21" i="3"/>
  <c r="AE20" i="3"/>
  <c r="Z20" i="3"/>
  <c r="AC20" i="3" s="1"/>
  <c r="R20" i="3"/>
  <c r="P20" i="3"/>
  <c r="O20" i="3"/>
  <c r="L20" i="3"/>
  <c r="J20" i="3"/>
  <c r="E20" i="3"/>
  <c r="F20" i="3" s="1"/>
  <c r="D20" i="3"/>
  <c r="A20" i="3"/>
  <c r="AF19" i="3"/>
  <c r="AE19" i="3"/>
  <c r="Z19" i="3"/>
  <c r="AD19" i="3" s="1"/>
  <c r="R19" i="3"/>
  <c r="P19" i="3"/>
  <c r="O19" i="3"/>
  <c r="L19" i="3"/>
  <c r="J19" i="3"/>
  <c r="E19" i="3"/>
  <c r="D19" i="3"/>
  <c r="A19" i="3"/>
  <c r="AE18" i="3"/>
  <c r="Z18" i="3"/>
  <c r="AG18" i="3" s="1"/>
  <c r="R18" i="3"/>
  <c r="P18" i="3"/>
  <c r="O18" i="3"/>
  <c r="L18" i="3"/>
  <c r="J18" i="3"/>
  <c r="E18" i="3"/>
  <c r="I18" i="3" s="1"/>
  <c r="D18" i="3"/>
  <c r="A18" i="3"/>
  <c r="AE17" i="3"/>
  <c r="Z17" i="3"/>
  <c r="AG17" i="3" s="1"/>
  <c r="R17" i="3"/>
  <c r="P17" i="3"/>
  <c r="O17" i="3"/>
  <c r="L17" i="3"/>
  <c r="J17" i="3"/>
  <c r="E17" i="3"/>
  <c r="F17" i="3" s="1"/>
  <c r="D17" i="3"/>
  <c r="A17" i="3"/>
  <c r="AF16" i="3"/>
  <c r="AE16" i="3"/>
  <c r="Z16" i="3"/>
  <c r="AD16" i="3" s="1"/>
  <c r="R16" i="3"/>
  <c r="P16" i="3"/>
  <c r="O16" i="3"/>
  <c r="L16" i="3"/>
  <c r="J16" i="3"/>
  <c r="E16" i="3"/>
  <c r="I16" i="3" s="1"/>
  <c r="D16" i="3"/>
  <c r="A16" i="3"/>
  <c r="AE15" i="3"/>
  <c r="Z15" i="3"/>
  <c r="AC15" i="3" s="1"/>
  <c r="R15" i="3"/>
  <c r="P15" i="3"/>
  <c r="O15" i="3"/>
  <c r="L15" i="3"/>
  <c r="J15" i="3"/>
  <c r="E15" i="3"/>
  <c r="F15" i="3" s="1"/>
  <c r="D15" i="3"/>
  <c r="A15" i="3"/>
  <c r="AF14" i="3"/>
  <c r="AE14" i="3"/>
  <c r="Z14" i="3"/>
  <c r="AD14" i="3" s="1"/>
  <c r="R14" i="3"/>
  <c r="P14" i="3"/>
  <c r="O14" i="3"/>
  <c r="L14" i="3"/>
  <c r="J14" i="3"/>
  <c r="E14" i="3"/>
  <c r="G14" i="3" s="1"/>
  <c r="D14" i="3"/>
  <c r="A14" i="3"/>
  <c r="AE13" i="3"/>
  <c r="Z13" i="3"/>
  <c r="AD13" i="3" s="1"/>
  <c r="R13" i="3"/>
  <c r="P13" i="3"/>
  <c r="O13" i="3"/>
  <c r="L13" i="3"/>
  <c r="J13" i="3"/>
  <c r="E13" i="3"/>
  <c r="I13" i="3" s="1"/>
  <c r="D13" i="3"/>
  <c r="A13" i="3"/>
  <c r="AF12" i="3"/>
  <c r="AE12" i="3"/>
  <c r="Z12" i="3"/>
  <c r="AC12" i="3" s="1"/>
  <c r="R12" i="3"/>
  <c r="P12" i="3"/>
  <c r="O12" i="3"/>
  <c r="L12" i="3"/>
  <c r="J12" i="3"/>
  <c r="E12" i="3"/>
  <c r="I12" i="3" s="1"/>
  <c r="D12" i="3"/>
  <c r="A12" i="3"/>
  <c r="AE11" i="3"/>
  <c r="Z11" i="3"/>
  <c r="AC11" i="3" s="1"/>
  <c r="R11" i="3"/>
  <c r="P11" i="3"/>
  <c r="O11" i="3"/>
  <c r="L11" i="3"/>
  <c r="J11" i="3"/>
  <c r="E11" i="3"/>
  <c r="F11" i="3" s="1"/>
  <c r="D11" i="3"/>
  <c r="A11" i="3"/>
  <c r="AE10" i="3"/>
  <c r="Z10" i="3"/>
  <c r="AD10" i="3" s="1"/>
  <c r="R10" i="3"/>
  <c r="P10" i="3"/>
  <c r="O10" i="3"/>
  <c r="L10" i="3"/>
  <c r="J10" i="3"/>
  <c r="E10" i="3"/>
  <c r="G10" i="3" s="1"/>
  <c r="D10" i="3"/>
  <c r="A10" i="3"/>
  <c r="AE9" i="3"/>
  <c r="Z9" i="3"/>
  <c r="AG9" i="3" s="1"/>
  <c r="R9" i="3"/>
  <c r="P9" i="3"/>
  <c r="O9" i="3"/>
  <c r="L9" i="3"/>
  <c r="J9" i="3"/>
  <c r="E9" i="3"/>
  <c r="I9" i="3" s="1"/>
  <c r="D9" i="3"/>
  <c r="A9" i="3"/>
  <c r="AF8" i="3"/>
  <c r="AE8" i="3"/>
  <c r="Z8" i="3"/>
  <c r="AD8" i="3" s="1"/>
  <c r="R8" i="3"/>
  <c r="P8" i="3"/>
  <c r="O8" i="3"/>
  <c r="L8" i="3"/>
  <c r="J8" i="3"/>
  <c r="E8" i="3"/>
  <c r="H8" i="3" s="1"/>
  <c r="D8" i="3"/>
  <c r="A8" i="3"/>
  <c r="AF7" i="3"/>
  <c r="AE7" i="3"/>
  <c r="Z7" i="3"/>
  <c r="R7" i="3"/>
  <c r="P7" i="3"/>
  <c r="O7" i="3"/>
  <c r="L7" i="3"/>
  <c r="J7" i="3"/>
  <c r="E7" i="3"/>
  <c r="I7" i="3" s="1"/>
  <c r="D7" i="3"/>
  <c r="A7" i="3"/>
  <c r="AF6" i="3"/>
  <c r="AE6" i="3"/>
  <c r="Z6" i="3"/>
  <c r="AG6" i="3" s="1"/>
  <c r="R6" i="3"/>
  <c r="P6" i="3"/>
  <c r="O6" i="3"/>
  <c r="L6" i="3"/>
  <c r="J6" i="3"/>
  <c r="E6" i="3"/>
  <c r="I6" i="3" s="1"/>
  <c r="D6" i="3"/>
  <c r="A6" i="3"/>
  <c r="AE5" i="3"/>
  <c r="Z5" i="3"/>
  <c r="R5" i="3"/>
  <c r="P5" i="3"/>
  <c r="O5" i="3"/>
  <c r="L5" i="3"/>
  <c r="J5" i="3"/>
  <c r="E5" i="3"/>
  <c r="I5" i="3" s="1"/>
  <c r="D5" i="3"/>
  <c r="A5" i="3"/>
  <c r="Y4" i="3"/>
  <c r="X4" i="3"/>
  <c r="AF10" i="3" s="1"/>
  <c r="W4" i="3"/>
  <c r="V4" i="3"/>
  <c r="U4" i="3"/>
  <c r="T4" i="3"/>
  <c r="S4" i="3"/>
  <c r="AS9" i="34" l="1"/>
  <c r="BK67" i="34"/>
  <c r="BG67" i="34"/>
  <c r="BC67" i="34"/>
  <c r="AY67" i="34"/>
  <c r="BK66" i="34"/>
  <c r="BG66" i="34"/>
  <c r="BC66" i="34"/>
  <c r="AY66" i="34"/>
  <c r="BJ65" i="34"/>
  <c r="BF65" i="34"/>
  <c r="BB65" i="34"/>
  <c r="AX65" i="34"/>
  <c r="BI64" i="34"/>
  <c r="BA64" i="34"/>
  <c r="AW64" i="34"/>
  <c r="BK49" i="34"/>
  <c r="BG49" i="34"/>
  <c r="BC49" i="34"/>
  <c r="AY49" i="34"/>
  <c r="BI48" i="34"/>
  <c r="BE48" i="34"/>
  <c r="BA48" i="34"/>
  <c r="AW48" i="34"/>
  <c r="BK47" i="34"/>
  <c r="BG47" i="34"/>
  <c r="BC47" i="34"/>
  <c r="AY47" i="34"/>
  <c r="BI46" i="34"/>
  <c r="BE46" i="34"/>
  <c r="BA46" i="34"/>
  <c r="AW46" i="34"/>
  <c r="BJ67" i="34"/>
  <c r="BF67" i="34"/>
  <c r="BB67" i="34"/>
  <c r="AX67" i="34"/>
  <c r="BJ66" i="34"/>
  <c r="BF66" i="34"/>
  <c r="BB66" i="34"/>
  <c r="AX66" i="34"/>
  <c r="BI65" i="34"/>
  <c r="BE65" i="34"/>
  <c r="BA65" i="34"/>
  <c r="AW65" i="34"/>
  <c r="BH64" i="34"/>
  <c r="AZ64" i="34"/>
  <c r="AV64" i="34"/>
  <c r="BJ49" i="34"/>
  <c r="BF49" i="34"/>
  <c r="BB49" i="34"/>
  <c r="AX49" i="34"/>
  <c r="BH48" i="34"/>
  <c r="BD48" i="34"/>
  <c r="AZ48" i="34"/>
  <c r="AV48" i="34"/>
  <c r="BJ47" i="34"/>
  <c r="BF47" i="34"/>
  <c r="BB47" i="34"/>
  <c r="AX47" i="34"/>
  <c r="BH46" i="34"/>
  <c r="BI67" i="34"/>
  <c r="BE67" i="34"/>
  <c r="BA67" i="34"/>
  <c r="AW67" i="34"/>
  <c r="BI66" i="34"/>
  <c r="BE66" i="34"/>
  <c r="BA66" i="34"/>
  <c r="AW66" i="34"/>
  <c r="BH65" i="34"/>
  <c r="BD65" i="34"/>
  <c r="AZ65" i="34"/>
  <c r="AV65" i="34"/>
  <c r="BK64" i="34"/>
  <c r="BG64" i="34"/>
  <c r="BC64" i="34"/>
  <c r="AY64" i="34"/>
  <c r="BI49" i="34"/>
  <c r="BE49" i="34"/>
  <c r="BA49" i="34"/>
  <c r="AW49" i="34"/>
  <c r="BK48" i="34"/>
  <c r="BG48" i="34"/>
  <c r="BC48" i="34"/>
  <c r="AY48" i="34"/>
  <c r="BI47" i="34"/>
  <c r="BE47" i="34"/>
  <c r="BA47" i="34"/>
  <c r="AW47" i="34"/>
  <c r="BK46" i="34"/>
  <c r="BG46" i="34"/>
  <c r="BC46" i="34"/>
  <c r="AY46" i="34"/>
  <c r="BH67" i="34"/>
  <c r="BH66" i="34"/>
  <c r="BG65" i="34"/>
  <c r="BB64" i="34"/>
  <c r="AV49" i="34"/>
  <c r="BJ48" i="34"/>
  <c r="AZ47" i="34"/>
  <c r="BB46" i="34"/>
  <c r="BB31" i="34"/>
  <c r="AX31" i="34"/>
  <c r="AZ30" i="34"/>
  <c r="BD67" i="34"/>
  <c r="BD66" i="34"/>
  <c r="BC65" i="34"/>
  <c r="AX64" i="34"/>
  <c r="BH49" i="34"/>
  <c r="BF48" i="34"/>
  <c r="AV47" i="34"/>
  <c r="BJ46" i="34"/>
  <c r="AZ46" i="34"/>
  <c r="BA31" i="34"/>
  <c r="AW31" i="34"/>
  <c r="BC30" i="34"/>
  <c r="AY30" i="34"/>
  <c r="BA29" i="34"/>
  <c r="AW29" i="34"/>
  <c r="AZ67" i="34"/>
  <c r="AZ66" i="34"/>
  <c r="AY65" i="34"/>
  <c r="BJ64" i="34"/>
  <c r="BD49" i="34"/>
  <c r="BB48" i="34"/>
  <c r="BH47" i="34"/>
  <c r="BF46" i="34"/>
  <c r="AX46" i="34"/>
  <c r="AV67" i="34"/>
  <c r="AZ49" i="34"/>
  <c r="BD46" i="34"/>
  <c r="AZ31" i="34"/>
  <c r="BA30" i="34"/>
  <c r="BB29" i="34"/>
  <c r="AV29" i="34"/>
  <c r="BA28" i="34"/>
  <c r="AW28" i="34"/>
  <c r="AW30" i="34"/>
  <c r="AY29" i="34"/>
  <c r="BC28" i="34"/>
  <c r="AY28" i="34"/>
  <c r="AV66" i="34"/>
  <c r="BK65" i="34"/>
  <c r="BF64" i="34"/>
  <c r="AV46" i="34"/>
  <c r="AY31" i="34"/>
  <c r="AX30" i="34"/>
  <c r="AZ29" i="34"/>
  <c r="AZ28" i="34"/>
  <c r="AV28" i="34"/>
  <c r="BD47" i="34"/>
  <c r="AV31" i="34"/>
  <c r="AX29" i="34"/>
  <c r="AX48" i="34"/>
  <c r="BB30" i="34"/>
  <c r="AX28" i="34"/>
  <c r="BC31" i="34"/>
  <c r="AV30" i="34"/>
  <c r="BB28" i="34"/>
  <c r="BC29" i="34"/>
  <c r="AH6" i="34"/>
  <c r="BE64" i="34" s="1"/>
  <c r="AT13" i="34"/>
  <c r="AS14" i="34"/>
  <c r="AT9" i="34"/>
  <c r="AS8" i="34"/>
  <c r="BC59" i="34"/>
  <c r="AY59" i="34"/>
  <c r="BC58" i="34"/>
  <c r="AY58" i="34"/>
  <c r="BC57" i="34"/>
  <c r="AY57" i="34"/>
  <c r="BC56" i="34"/>
  <c r="AY56" i="34"/>
  <c r="BC55" i="34"/>
  <c r="AY55" i="34"/>
  <c r="BA54" i="34"/>
  <c r="AW54" i="34"/>
  <c r="BC53" i="34"/>
  <c r="AY53" i="34"/>
  <c r="BB59" i="34"/>
  <c r="AX59" i="34"/>
  <c r="BB58" i="34"/>
  <c r="AX58" i="34"/>
  <c r="BB57" i="34"/>
  <c r="AX57" i="34"/>
  <c r="BB56" i="34"/>
  <c r="AX56" i="34"/>
  <c r="BB55" i="34"/>
  <c r="AX55" i="34"/>
  <c r="AZ54" i="34"/>
  <c r="AV54" i="34"/>
  <c r="BB53" i="34"/>
  <c r="AX53" i="34"/>
  <c r="BA59" i="34"/>
  <c r="AW59" i="34"/>
  <c r="BA58" i="34"/>
  <c r="AW58" i="34"/>
  <c r="BA57" i="34"/>
  <c r="AW57" i="34"/>
  <c r="BA56" i="34"/>
  <c r="AW56" i="34"/>
  <c r="BA55" i="34"/>
  <c r="AW55" i="34"/>
  <c r="BC54" i="34"/>
  <c r="AY54" i="34"/>
  <c r="BA53" i="34"/>
  <c r="AW53" i="34"/>
  <c r="AV56" i="34"/>
  <c r="AZ55" i="34"/>
  <c r="AX54" i="34"/>
  <c r="AZ53" i="34"/>
  <c r="BB41" i="34"/>
  <c r="AX41" i="34"/>
  <c r="AZ40" i="34"/>
  <c r="AV40" i="34"/>
  <c r="BB39" i="34"/>
  <c r="AX39" i="34"/>
  <c r="AZ38" i="34"/>
  <c r="AV38" i="34"/>
  <c r="BB37" i="34"/>
  <c r="AX37" i="34"/>
  <c r="AZ36" i="34"/>
  <c r="AV36" i="34"/>
  <c r="BB35" i="34"/>
  <c r="AX35" i="34"/>
  <c r="AV55" i="34"/>
  <c r="AV53" i="34"/>
  <c r="BA41" i="34"/>
  <c r="AW41" i="34"/>
  <c r="BC40" i="34"/>
  <c r="AY40" i="34"/>
  <c r="BA39" i="34"/>
  <c r="AW39" i="34"/>
  <c r="BC38" i="34"/>
  <c r="AY38" i="34"/>
  <c r="BA37" i="34"/>
  <c r="AW37" i="34"/>
  <c r="BC36" i="34"/>
  <c r="AY36" i="34"/>
  <c r="BA35" i="34"/>
  <c r="AW35" i="34"/>
  <c r="AZ59" i="34"/>
  <c r="AZ58" i="34"/>
  <c r="AZ57" i="34"/>
  <c r="AZ41" i="34"/>
  <c r="AV41" i="34"/>
  <c r="AV59" i="34"/>
  <c r="BA40" i="34"/>
  <c r="BC39" i="34"/>
  <c r="AW38" i="34"/>
  <c r="AY37" i="34"/>
  <c r="AX36" i="34"/>
  <c r="AZ35" i="34"/>
  <c r="BI24" i="34"/>
  <c r="BE24" i="34"/>
  <c r="BA24" i="34"/>
  <c r="AW24" i="34"/>
  <c r="BK23" i="34"/>
  <c r="BG23" i="34"/>
  <c r="BC23" i="34"/>
  <c r="AY23" i="34"/>
  <c r="BI22" i="34"/>
  <c r="BE22" i="34"/>
  <c r="BA22" i="34"/>
  <c r="AW22" i="34"/>
  <c r="BK21" i="34"/>
  <c r="BG21" i="34"/>
  <c r="BC21" i="34"/>
  <c r="AY21" i="34"/>
  <c r="BI20" i="34"/>
  <c r="BE20" i="34"/>
  <c r="BA20" i="34"/>
  <c r="AW20" i="34"/>
  <c r="BK19" i="34"/>
  <c r="BG19" i="34"/>
  <c r="BC19" i="34"/>
  <c r="AY19" i="34"/>
  <c r="BH18" i="34"/>
  <c r="BD18" i="34"/>
  <c r="AZ18" i="34"/>
  <c r="AV18" i="34"/>
  <c r="AR15" i="34"/>
  <c r="BB14" i="34"/>
  <c r="AX14" i="34"/>
  <c r="BC13" i="34"/>
  <c r="AY13" i="34"/>
  <c r="AZ12" i="34"/>
  <c r="AV12" i="34"/>
  <c r="BA11" i="34"/>
  <c r="AW11" i="34"/>
  <c r="AR11" i="34"/>
  <c r="BA10" i="34"/>
  <c r="AW10" i="34"/>
  <c r="AR10" i="34"/>
  <c r="BB9" i="34"/>
  <c r="AX9" i="34"/>
  <c r="BC8" i="34"/>
  <c r="AY8" i="34"/>
  <c r="AX8" i="34"/>
  <c r="AV57" i="34"/>
  <c r="BC41" i="34"/>
  <c r="BA38" i="34"/>
  <c r="BB36" i="34"/>
  <c r="AV58" i="34"/>
  <c r="AX40" i="34"/>
  <c r="AZ39" i="34"/>
  <c r="BB38" i="34"/>
  <c r="AV37" i="34"/>
  <c r="AW36" i="34"/>
  <c r="AY35" i="34"/>
  <c r="BH24" i="34"/>
  <c r="BD24" i="34"/>
  <c r="AZ24" i="34"/>
  <c r="AV24" i="34"/>
  <c r="BJ23" i="34"/>
  <c r="BF23" i="34"/>
  <c r="BB23" i="34"/>
  <c r="AX23" i="34"/>
  <c r="BH22" i="34"/>
  <c r="BD22" i="34"/>
  <c r="AZ22" i="34"/>
  <c r="AV22" i="34"/>
  <c r="BJ21" i="34"/>
  <c r="BF21" i="34"/>
  <c r="BB21" i="34"/>
  <c r="AX21" i="34"/>
  <c r="BH20" i="34"/>
  <c r="BD20" i="34"/>
  <c r="AZ20" i="34"/>
  <c r="AV20" i="34"/>
  <c r="BJ19" i="34"/>
  <c r="BF19" i="34"/>
  <c r="BB19" i="34"/>
  <c r="AX19" i="34"/>
  <c r="BK18" i="34"/>
  <c r="BG18" i="34"/>
  <c r="BC18" i="34"/>
  <c r="AY18" i="34"/>
  <c r="BA14" i="34"/>
  <c r="AW14" i="34"/>
  <c r="AR14" i="34"/>
  <c r="BB13" i="34"/>
  <c r="AX13" i="34"/>
  <c r="BC12" i="34"/>
  <c r="AY12" i="34"/>
  <c r="AZ11" i="34"/>
  <c r="AV11" i="34"/>
  <c r="AZ10" i="34"/>
  <c r="AV10" i="34"/>
  <c r="BA9" i="34"/>
  <c r="AW9" i="34"/>
  <c r="AR9" i="34"/>
  <c r="BB8" i="34"/>
  <c r="AZ56" i="34"/>
  <c r="AW40" i="34"/>
  <c r="AY39" i="34"/>
  <c r="BC37" i="34"/>
  <c r="AV35" i="34"/>
  <c r="AY41" i="34"/>
  <c r="BF24" i="34"/>
  <c r="AX24" i="34"/>
  <c r="BE23" i="34"/>
  <c r="AW23" i="34"/>
  <c r="AX38" i="34"/>
  <c r="AZ37" i="34"/>
  <c r="BA36" i="34"/>
  <c r="BK24" i="34"/>
  <c r="BC24" i="34"/>
  <c r="BD23" i="34"/>
  <c r="AV23" i="34"/>
  <c r="BJ22" i="34"/>
  <c r="BB22" i="34"/>
  <c r="BD21" i="34"/>
  <c r="AV21" i="34"/>
  <c r="BJ20" i="34"/>
  <c r="BB20" i="34"/>
  <c r="BD19" i="34"/>
  <c r="AV19" i="34"/>
  <c r="BF18" i="34"/>
  <c r="AX18" i="34"/>
  <c r="AY14" i="34"/>
  <c r="BA13" i="34"/>
  <c r="AR13" i="34"/>
  <c r="AX12" i="34"/>
  <c r="AY11" i="34"/>
  <c r="BC10" i="34"/>
  <c r="AT10" i="34"/>
  <c r="BC9" i="34"/>
  <c r="AZ8" i="34"/>
  <c r="AV39" i="34"/>
  <c r="AY24" i="34"/>
  <c r="AZ23" i="34"/>
  <c r="BF22" i="34"/>
  <c r="BH21" i="34"/>
  <c r="BF20" i="34"/>
  <c r="BH19" i="34"/>
  <c r="BB18" i="34"/>
  <c r="AT15" i="34"/>
  <c r="BC14" i="34"/>
  <c r="BB12" i="34"/>
  <c r="AT11" i="34"/>
  <c r="AY10" i="34"/>
  <c r="AV8" i="34"/>
  <c r="BK22" i="34"/>
  <c r="BC22" i="34"/>
  <c r="BE21" i="34"/>
  <c r="BK20" i="34"/>
  <c r="BC20" i="34"/>
  <c r="BE19" i="34"/>
  <c r="AW19" i="34"/>
  <c r="BI18" i="34"/>
  <c r="BA18" i="34"/>
  <c r="AS15" i="34"/>
  <c r="AZ14" i="34"/>
  <c r="BB40" i="34"/>
  <c r="BC35" i="34"/>
  <c r="BJ24" i="34"/>
  <c r="BB24" i="34"/>
  <c r="BI23" i="34"/>
  <c r="BA23" i="34"/>
  <c r="BG22" i="34"/>
  <c r="AY22" i="34"/>
  <c r="BI21" i="34"/>
  <c r="BA21" i="34"/>
  <c r="BG20" i="34"/>
  <c r="AY20" i="34"/>
  <c r="BI19" i="34"/>
  <c r="BA19" i="34"/>
  <c r="BE18" i="34"/>
  <c r="AW18" i="34"/>
  <c r="AV14" i="34"/>
  <c r="AZ13" i="34"/>
  <c r="AW12" i="34"/>
  <c r="AX11" i="34"/>
  <c r="BB10" i="34"/>
  <c r="AS10" i="34"/>
  <c r="AZ9" i="34"/>
  <c r="AW8" i="34"/>
  <c r="BB54" i="34"/>
  <c r="BG24" i="34"/>
  <c r="BH23" i="34"/>
  <c r="AX22" i="34"/>
  <c r="AZ21" i="34"/>
  <c r="AX20" i="34"/>
  <c r="AZ19" i="34"/>
  <c r="BJ18" i="34"/>
  <c r="AT14" i="34"/>
  <c r="AW13" i="34"/>
  <c r="AS12" i="34"/>
  <c r="BC11" i="34"/>
  <c r="AY9" i="34"/>
  <c r="AW21" i="34"/>
  <c r="AV13" i="34"/>
  <c r="AX10" i="34"/>
  <c r="BA12" i="34"/>
  <c r="BB11" i="34"/>
  <c r="BA8" i="34"/>
  <c r="AR12" i="34"/>
  <c r="AV9" i="34"/>
  <c r="AR8" i="34"/>
  <c r="AS11" i="34"/>
  <c r="AS13" i="34"/>
  <c r="Z60" i="34"/>
  <c r="Z59" i="34"/>
  <c r="Z58" i="34"/>
  <c r="AG13" i="3"/>
  <c r="H15" i="3"/>
  <c r="G17" i="3"/>
  <c r="G18" i="3"/>
  <c r="AG20" i="3"/>
  <c r="AG51" i="3"/>
  <c r="AG43" i="3"/>
  <c r="AG49" i="3"/>
  <c r="AH49" i="3" s="1"/>
  <c r="AT17" i="3"/>
  <c r="AG39" i="3"/>
  <c r="AC52" i="3"/>
  <c r="H22" i="3"/>
  <c r="AC22" i="3"/>
  <c r="AC24" i="3"/>
  <c r="F29" i="3"/>
  <c r="F31" i="3"/>
  <c r="G35" i="3"/>
  <c r="H6" i="3"/>
  <c r="G29" i="3"/>
  <c r="AG41" i="3"/>
  <c r="AH41" i="3" s="1"/>
  <c r="H7" i="3"/>
  <c r="AC8" i="3"/>
  <c r="H14" i="3"/>
  <c r="AC25" i="3"/>
  <c r="AC33" i="3"/>
  <c r="F5" i="3"/>
  <c r="AC21" i="3"/>
  <c r="AC27" i="3"/>
  <c r="AC39" i="3"/>
  <c r="H5" i="3"/>
  <c r="F6" i="3"/>
  <c r="G9" i="3"/>
  <c r="G11" i="3"/>
  <c r="AC13" i="3"/>
  <c r="G15" i="3"/>
  <c r="AC19" i="3"/>
  <c r="AG25" i="3"/>
  <c r="AH25" i="3" s="1"/>
  <c r="G26" i="3"/>
  <c r="AG33" i="3"/>
  <c r="F35" i="3"/>
  <c r="F37" i="3"/>
  <c r="G41" i="3"/>
  <c r="AC41" i="3"/>
  <c r="AC43" i="3"/>
  <c r="G53" i="3"/>
  <c r="AC53" i="3"/>
  <c r="AG16" i="3"/>
  <c r="AH16" i="3" s="1"/>
  <c r="AG31" i="3"/>
  <c r="AH31" i="3" s="1"/>
  <c r="G6" i="3"/>
  <c r="H9" i="3"/>
  <c r="F10" i="3"/>
  <c r="H11" i="3"/>
  <c r="F12" i="3"/>
  <c r="AG15" i="3"/>
  <c r="AH15" i="3" s="1"/>
  <c r="AC16" i="3"/>
  <c r="H17" i="3"/>
  <c r="AC17" i="3"/>
  <c r="H18" i="3"/>
  <c r="AC18" i="3"/>
  <c r="AG19" i="3"/>
  <c r="AH19" i="3" s="1"/>
  <c r="G20" i="3"/>
  <c r="AG23" i="3"/>
  <c r="AH23" i="3" s="1"/>
  <c r="G24" i="3"/>
  <c r="AG26" i="3"/>
  <c r="AH26" i="3" s="1"/>
  <c r="AG29" i="3"/>
  <c r="AH29" i="3" s="1"/>
  <c r="G31" i="3"/>
  <c r="AC31" i="3"/>
  <c r="F33" i="3"/>
  <c r="AC35" i="3"/>
  <c r="AG37" i="3"/>
  <c r="AH37" i="3" s="1"/>
  <c r="F39" i="3"/>
  <c r="F43" i="3"/>
  <c r="AG45" i="3"/>
  <c r="AH45" i="3" s="1"/>
  <c r="AC46" i="3"/>
  <c r="AG47" i="3"/>
  <c r="AH47" i="3" s="1"/>
  <c r="AC48" i="3"/>
  <c r="AC50" i="3"/>
  <c r="AA32" i="3"/>
  <c r="AG12" i="3"/>
  <c r="AH12" i="3" s="1"/>
  <c r="H20" i="3"/>
  <c r="H24" i="3"/>
  <c r="G33" i="3"/>
  <c r="G39" i="3"/>
  <c r="G43" i="3"/>
  <c r="H10" i="3"/>
  <c r="G12" i="3"/>
  <c r="AB5" i="3"/>
  <c r="F7" i="3"/>
  <c r="AA7" i="3"/>
  <c r="AG8" i="3"/>
  <c r="AH8" i="3" s="1"/>
  <c r="F9" i="3"/>
  <c r="I10" i="3"/>
  <c r="H12" i="3"/>
  <c r="F18" i="3"/>
  <c r="AG21" i="3"/>
  <c r="AH21" i="3" s="1"/>
  <c r="G22" i="3"/>
  <c r="AC23" i="3"/>
  <c r="H26" i="3"/>
  <c r="AC29" i="3"/>
  <c r="AG35" i="3"/>
  <c r="G37" i="3"/>
  <c r="AC37" i="3"/>
  <c r="F41" i="3"/>
  <c r="AG46" i="3"/>
  <c r="AH46" i="3" s="1"/>
  <c r="G47" i="3"/>
  <c r="AG48" i="3"/>
  <c r="AH48" i="3" s="1"/>
  <c r="G49" i="3"/>
  <c r="AG50" i="3"/>
  <c r="AH50" i="3" s="1"/>
  <c r="G51" i="3"/>
  <c r="AG52" i="3"/>
  <c r="AH52" i="3" s="1"/>
  <c r="AH6" i="3"/>
  <c r="AH17" i="3"/>
  <c r="AH18" i="3"/>
  <c r="AH35" i="3"/>
  <c r="AH9" i="3"/>
  <c r="AH13" i="3"/>
  <c r="AH20" i="3"/>
  <c r="AH33" i="3"/>
  <c r="AH39" i="3"/>
  <c r="AH43" i="3"/>
  <c r="AH24" i="3"/>
  <c r="AH51" i="3"/>
  <c r="AH27" i="3"/>
  <c r="AH53" i="3"/>
  <c r="AH22" i="3"/>
  <c r="AF42" i="3"/>
  <c r="AF30" i="3"/>
  <c r="AF5" i="3"/>
  <c r="AB7" i="3"/>
  <c r="AA13" i="3"/>
  <c r="AB17" i="3"/>
  <c r="H25" i="3"/>
  <c r="G25" i="3"/>
  <c r="F25" i="3"/>
  <c r="AB26" i="3"/>
  <c r="H30" i="3"/>
  <c r="G30" i="3"/>
  <c r="F30" i="3"/>
  <c r="I30" i="3"/>
  <c r="AA54" i="3"/>
  <c r="AF11" i="3"/>
  <c r="G5" i="3"/>
  <c r="AC5" i="3"/>
  <c r="AG5" i="3"/>
  <c r="AA6" i="3"/>
  <c r="G7" i="3"/>
  <c r="AC7" i="3"/>
  <c r="AG7" i="3"/>
  <c r="AH7" i="3" s="1"/>
  <c r="F8" i="3"/>
  <c r="AB8" i="3"/>
  <c r="AA9" i="3"/>
  <c r="AB10" i="3"/>
  <c r="AG14" i="3"/>
  <c r="AH14" i="3" s="1"/>
  <c r="AC14" i="3"/>
  <c r="AB14" i="3"/>
  <c r="AA14" i="3"/>
  <c r="AB15" i="3"/>
  <c r="AA18" i="3"/>
  <c r="AF18" i="3"/>
  <c r="H21" i="3"/>
  <c r="G21" i="3"/>
  <c r="F21" i="3"/>
  <c r="H23" i="3"/>
  <c r="G23" i="3"/>
  <c r="F23" i="3"/>
  <c r="AB24" i="3"/>
  <c r="I25" i="3"/>
  <c r="AA25" i="3"/>
  <c r="H34" i="3"/>
  <c r="G34" i="3"/>
  <c r="F34" i="3"/>
  <c r="I34" i="3"/>
  <c r="H42" i="3"/>
  <c r="G42" i="3"/>
  <c r="F42" i="3"/>
  <c r="I42" i="3"/>
  <c r="AD6" i="3"/>
  <c r="AA8" i="3"/>
  <c r="AD9" i="3"/>
  <c r="AB11" i="3"/>
  <c r="AA11" i="3"/>
  <c r="AG11" i="3"/>
  <c r="AH11" i="3" s="1"/>
  <c r="AA16" i="3"/>
  <c r="AF45" i="3"/>
  <c r="AF50" i="3"/>
  <c r="AF41" i="3"/>
  <c r="AF39" i="3"/>
  <c r="AF23" i="3"/>
  <c r="AA53" i="3"/>
  <c r="AA51" i="3"/>
  <c r="AA49" i="3"/>
  <c r="AA47" i="3"/>
  <c r="AB54" i="3"/>
  <c r="AB52" i="3"/>
  <c r="AB50" i="3"/>
  <c r="AB48" i="3"/>
  <c r="AB46" i="3"/>
  <c r="AA48" i="3"/>
  <c r="AA45" i="3"/>
  <c r="AB43" i="3"/>
  <c r="AB41" i="3"/>
  <c r="AB39" i="3"/>
  <c r="AB37" i="3"/>
  <c r="AB35" i="3"/>
  <c r="AB33" i="3"/>
  <c r="AB31" i="3"/>
  <c r="AB29" i="3"/>
  <c r="AA46" i="3"/>
  <c r="AA43" i="3"/>
  <c r="AA41" i="3"/>
  <c r="AA39" i="3"/>
  <c r="AA37" i="3"/>
  <c r="AA35" i="3"/>
  <c r="AA33" i="3"/>
  <c r="AA31" i="3"/>
  <c r="AA29" i="3"/>
  <c r="AA52" i="3"/>
  <c r="AA40" i="3"/>
  <c r="AA38" i="3"/>
  <c r="AA36" i="3"/>
  <c r="AA50" i="3"/>
  <c r="AA44" i="3"/>
  <c r="AA42" i="3"/>
  <c r="AA34" i="3"/>
  <c r="AA30" i="3"/>
  <c r="AB27" i="3"/>
  <c r="AB25" i="3"/>
  <c r="AB23" i="3"/>
  <c r="AB21" i="3"/>
  <c r="AB19" i="3"/>
  <c r="AB16" i="3"/>
  <c r="AB13" i="3"/>
  <c r="AB6" i="3"/>
  <c r="AD7" i="3"/>
  <c r="G8" i="3"/>
  <c r="AB9" i="3"/>
  <c r="AF9" i="3"/>
  <c r="AD11" i="3"/>
  <c r="AB18" i="3"/>
  <c r="H19" i="3"/>
  <c r="G19" i="3"/>
  <c r="F19" i="3"/>
  <c r="AA21" i="3"/>
  <c r="AB22" i="3"/>
  <c r="AA23" i="3"/>
  <c r="H27" i="3"/>
  <c r="G27" i="3"/>
  <c r="F27" i="3"/>
  <c r="AB47" i="3"/>
  <c r="AR18" i="3"/>
  <c r="AS17" i="3"/>
  <c r="AR17" i="3"/>
  <c r="AT18" i="3"/>
  <c r="I8" i="3"/>
  <c r="AA10" i="3"/>
  <c r="AB12" i="3"/>
  <c r="AF47" i="3"/>
  <c r="AF54" i="3"/>
  <c r="AF37" i="3"/>
  <c r="AF35" i="3"/>
  <c r="AF27" i="3"/>
  <c r="AF25" i="3"/>
  <c r="AD5" i="3"/>
  <c r="AF48" i="3"/>
  <c r="AF46" i="3"/>
  <c r="AF29" i="3"/>
  <c r="AF26" i="3"/>
  <c r="AF17" i="3"/>
  <c r="AF13" i="3"/>
  <c r="AF51" i="3"/>
  <c r="AF49" i="3"/>
  <c r="AF43" i="3"/>
  <c r="AF33" i="3"/>
  <c r="AF40" i="3"/>
  <c r="AF36" i="3"/>
  <c r="AF20" i="3"/>
  <c r="AF15" i="3"/>
  <c r="AA5" i="3"/>
  <c r="AC6" i="3"/>
  <c r="AC9" i="3"/>
  <c r="AG10" i="3"/>
  <c r="AH10" i="3" s="1"/>
  <c r="AC10" i="3"/>
  <c r="AA12" i="3"/>
  <c r="H13" i="3"/>
  <c r="G13" i="3"/>
  <c r="F13" i="3"/>
  <c r="H16" i="3"/>
  <c r="G16" i="3"/>
  <c r="F16" i="3"/>
  <c r="AS18" i="3"/>
  <c r="I19" i="3"/>
  <c r="AA19" i="3"/>
  <c r="AB20" i="3"/>
  <c r="I27" i="3"/>
  <c r="AA27" i="3"/>
  <c r="G28" i="3"/>
  <c r="F28" i="3"/>
  <c r="I28" i="3"/>
  <c r="H28" i="3"/>
  <c r="H44" i="3"/>
  <c r="G44" i="3"/>
  <c r="F44" i="3"/>
  <c r="I44" i="3"/>
  <c r="I14" i="3"/>
  <c r="AD15" i="3"/>
  <c r="AD17" i="3"/>
  <c r="AD20" i="3"/>
  <c r="AD22" i="3"/>
  <c r="AD24" i="3"/>
  <c r="AD26" i="3"/>
  <c r="AG28" i="3"/>
  <c r="AH28" i="3" s="1"/>
  <c r="AC28" i="3"/>
  <c r="AB28" i="3"/>
  <c r="H36" i="3"/>
  <c r="G36" i="3"/>
  <c r="F36" i="3"/>
  <c r="H38" i="3"/>
  <c r="G38" i="3"/>
  <c r="F38" i="3"/>
  <c r="H52" i="3"/>
  <c r="G52" i="3"/>
  <c r="F52" i="3"/>
  <c r="I52" i="3"/>
  <c r="I11" i="3"/>
  <c r="AD12" i="3"/>
  <c r="F14" i="3"/>
  <c r="I15" i="3"/>
  <c r="AA15" i="3"/>
  <c r="I17" i="3"/>
  <c r="AA17" i="3"/>
  <c r="AD18" i="3"/>
  <c r="I20" i="3"/>
  <c r="AA20" i="3"/>
  <c r="I22" i="3"/>
  <c r="AA22" i="3"/>
  <c r="I24" i="3"/>
  <c r="AA24" i="3"/>
  <c r="I26" i="3"/>
  <c r="AA26" i="3"/>
  <c r="AA28" i="3"/>
  <c r="I36" i="3"/>
  <c r="I38" i="3"/>
  <c r="H40" i="3"/>
  <c r="G40" i="3"/>
  <c r="F40" i="3"/>
  <c r="F45" i="3"/>
  <c r="I45" i="3"/>
  <c r="H45" i="3"/>
  <c r="G45" i="3"/>
  <c r="AD28" i="3"/>
  <c r="H32" i="3"/>
  <c r="G32" i="3"/>
  <c r="F32" i="3"/>
  <c r="I40" i="3"/>
  <c r="H29" i="3"/>
  <c r="AB30" i="3"/>
  <c r="H31" i="3"/>
  <c r="AB32" i="3"/>
  <c r="H33" i="3"/>
  <c r="AB34" i="3"/>
  <c r="H35" i="3"/>
  <c r="AB36" i="3"/>
  <c r="H37" i="3"/>
  <c r="AB38" i="3"/>
  <c r="H39" i="3"/>
  <c r="AB40" i="3"/>
  <c r="H41" i="3"/>
  <c r="AB42" i="3"/>
  <c r="H43" i="3"/>
  <c r="AB44" i="3"/>
  <c r="AG44" i="3"/>
  <c r="AH44" i="3" s="1"/>
  <c r="H46" i="3"/>
  <c r="G46" i="3"/>
  <c r="F46" i="3"/>
  <c r="AB49" i="3"/>
  <c r="AC30" i="3"/>
  <c r="AG30" i="3"/>
  <c r="AH30" i="3" s="1"/>
  <c r="AC32" i="3"/>
  <c r="AG32" i="3"/>
  <c r="AH32" i="3" s="1"/>
  <c r="AC34" i="3"/>
  <c r="AG34" i="3"/>
  <c r="AH34" i="3" s="1"/>
  <c r="AC36" i="3"/>
  <c r="AG36" i="3"/>
  <c r="AH36" i="3" s="1"/>
  <c r="AC38" i="3"/>
  <c r="AG38" i="3"/>
  <c r="AH38" i="3" s="1"/>
  <c r="AC40" i="3"/>
  <c r="AG40" i="3"/>
  <c r="AH40" i="3" s="1"/>
  <c r="AC42" i="3"/>
  <c r="AG42" i="3"/>
  <c r="AH42" i="3" s="1"/>
  <c r="AC44" i="3"/>
  <c r="AB45" i="3"/>
  <c r="H48" i="3"/>
  <c r="G48" i="3"/>
  <c r="F48" i="3"/>
  <c r="AB51" i="3"/>
  <c r="AB53" i="3"/>
  <c r="H50" i="3"/>
  <c r="G50" i="3"/>
  <c r="F50" i="3"/>
  <c r="H54" i="3"/>
  <c r="G54" i="3"/>
  <c r="F54" i="3"/>
  <c r="AD45" i="3"/>
  <c r="H47" i="3"/>
  <c r="AD47" i="3"/>
  <c r="H49" i="3"/>
  <c r="AD49" i="3"/>
  <c r="H51" i="3"/>
  <c r="AD51" i="3"/>
  <c r="H53" i="3"/>
  <c r="AD53" i="3"/>
  <c r="I47" i="3"/>
  <c r="I49" i="3"/>
  <c r="I51" i="3"/>
  <c r="I53" i="3"/>
  <c r="AC54" i="3"/>
  <c r="AG54" i="3"/>
  <c r="AH54" i="3" s="1"/>
  <c r="BD64" i="34" l="1"/>
  <c r="AT10" i="3"/>
  <c r="AS10" i="3"/>
  <c r="AT12" i="3"/>
  <c r="BK48" i="3"/>
  <c r="BG48" i="3"/>
  <c r="BC48" i="3"/>
  <c r="AY48" i="3"/>
  <c r="BI47" i="3"/>
  <c r="BE47" i="3"/>
  <c r="BA47" i="3"/>
  <c r="AW47" i="3"/>
  <c r="BK46" i="3"/>
  <c r="BG46" i="3"/>
  <c r="BC46" i="3"/>
  <c r="AY46" i="3"/>
  <c r="BI45" i="3"/>
  <c r="BE45" i="3"/>
  <c r="BA45" i="3"/>
  <c r="AW45" i="3"/>
  <c r="BJ48" i="3"/>
  <c r="BF48" i="3"/>
  <c r="BB48" i="3"/>
  <c r="AX48" i="3"/>
  <c r="BH47" i="3"/>
  <c r="BD47" i="3"/>
  <c r="AZ47" i="3"/>
  <c r="AV47" i="3"/>
  <c r="BJ46" i="3"/>
  <c r="BF46" i="3"/>
  <c r="BB46" i="3"/>
  <c r="AX46" i="3"/>
  <c r="BI48" i="3"/>
  <c r="BE48" i="3"/>
  <c r="BA48" i="3"/>
  <c r="AW48" i="3"/>
  <c r="BK47" i="3"/>
  <c r="BG47" i="3"/>
  <c r="BC47" i="3"/>
  <c r="AY47" i="3"/>
  <c r="BI46" i="3"/>
  <c r="BE46" i="3"/>
  <c r="BA46" i="3"/>
  <c r="AW46" i="3"/>
  <c r="BK45" i="3"/>
  <c r="BG45" i="3"/>
  <c r="BC45" i="3"/>
  <c r="AY45" i="3"/>
  <c r="AV48" i="3"/>
  <c r="BJ47" i="3"/>
  <c r="AZ46" i="3"/>
  <c r="BD45" i="3"/>
  <c r="AV45" i="3"/>
  <c r="BC30" i="3"/>
  <c r="AY30" i="3"/>
  <c r="BA29" i="3"/>
  <c r="AW29" i="3"/>
  <c r="BC28" i="3"/>
  <c r="AY28" i="3"/>
  <c r="BH48" i="3"/>
  <c r="BF47" i="3"/>
  <c r="AV46" i="3"/>
  <c r="BJ45" i="3"/>
  <c r="BB45" i="3"/>
  <c r="BB30" i="3"/>
  <c r="AX30" i="3"/>
  <c r="AZ29" i="3"/>
  <c r="AV29" i="3"/>
  <c r="BB28" i="3"/>
  <c r="AX28" i="3"/>
  <c r="BD48" i="3"/>
  <c r="BB47" i="3"/>
  <c r="BH46" i="3"/>
  <c r="BH45" i="3"/>
  <c r="AZ45" i="3"/>
  <c r="BA30" i="3"/>
  <c r="AW30" i="3"/>
  <c r="BC29" i="3"/>
  <c r="AY29" i="3"/>
  <c r="BA28" i="3"/>
  <c r="AW28" i="3"/>
  <c r="BC27" i="3"/>
  <c r="AY27" i="3"/>
  <c r="AZ48" i="3"/>
  <c r="AV30" i="3"/>
  <c r="AV28" i="3"/>
  <c r="AZ27" i="3"/>
  <c r="BF45" i="3"/>
  <c r="AX27" i="3"/>
  <c r="BD46" i="3"/>
  <c r="AX45" i="3"/>
  <c r="BB29" i="3"/>
  <c r="BB27" i="3"/>
  <c r="AW27" i="3"/>
  <c r="AV27" i="3"/>
  <c r="AH5" i="3"/>
  <c r="AX47" i="3"/>
  <c r="BA27" i="3"/>
  <c r="AZ30" i="3"/>
  <c r="AX29" i="3"/>
  <c r="AZ28" i="3"/>
  <c r="AT13" i="3"/>
  <c r="AT11" i="3"/>
  <c r="AS8" i="3"/>
  <c r="AS11" i="3"/>
  <c r="AS9" i="3"/>
  <c r="AS12" i="3"/>
  <c r="BC54" i="3"/>
  <c r="AY54" i="3"/>
  <c r="BA53" i="3"/>
  <c r="AW53" i="3"/>
  <c r="BC52" i="3"/>
  <c r="AY52" i="3"/>
  <c r="BB54" i="3"/>
  <c r="AX54" i="3"/>
  <c r="AZ53" i="3"/>
  <c r="AV53" i="3"/>
  <c r="BB52" i="3"/>
  <c r="AX52" i="3"/>
  <c r="BA54" i="3"/>
  <c r="AW54" i="3"/>
  <c r="BC53" i="3"/>
  <c r="AY53" i="3"/>
  <c r="BA52" i="3"/>
  <c r="AW52" i="3"/>
  <c r="AZ54" i="3"/>
  <c r="AX53" i="3"/>
  <c r="AZ52" i="3"/>
  <c r="BC40" i="3"/>
  <c r="AY40" i="3"/>
  <c r="BA39" i="3"/>
  <c r="AW39" i="3"/>
  <c r="BC38" i="3"/>
  <c r="AY38" i="3"/>
  <c r="BA37" i="3"/>
  <c r="AW37" i="3"/>
  <c r="BC36" i="3"/>
  <c r="AY36" i="3"/>
  <c r="BA35" i="3"/>
  <c r="AW35" i="3"/>
  <c r="BC34" i="3"/>
  <c r="AY34" i="3"/>
  <c r="AV54" i="3"/>
  <c r="AV52" i="3"/>
  <c r="BB40" i="3"/>
  <c r="AX40" i="3"/>
  <c r="AZ39" i="3"/>
  <c r="AV39" i="3"/>
  <c r="BB38" i="3"/>
  <c r="AX38" i="3"/>
  <c r="AZ37" i="3"/>
  <c r="AV37" i="3"/>
  <c r="BB36" i="3"/>
  <c r="AX36" i="3"/>
  <c r="AZ35" i="3"/>
  <c r="AV35" i="3"/>
  <c r="BB34" i="3"/>
  <c r="AX34" i="3"/>
  <c r="BA40" i="3"/>
  <c r="AW40" i="3"/>
  <c r="BC39" i="3"/>
  <c r="AY39" i="3"/>
  <c r="BA38" i="3"/>
  <c r="AW38" i="3"/>
  <c r="BC37" i="3"/>
  <c r="AY37" i="3"/>
  <c r="BA36" i="3"/>
  <c r="AW36" i="3"/>
  <c r="BC35" i="3"/>
  <c r="AY35" i="3"/>
  <c r="BA34" i="3"/>
  <c r="AW34" i="3"/>
  <c r="BB39" i="3"/>
  <c r="BK23" i="3"/>
  <c r="BG23" i="3"/>
  <c r="BC23" i="3"/>
  <c r="AY23" i="3"/>
  <c r="BI22" i="3"/>
  <c r="BE22" i="3"/>
  <c r="BA22" i="3"/>
  <c r="AW22" i="3"/>
  <c r="BK21" i="3"/>
  <c r="BG21" i="3"/>
  <c r="BC21" i="3"/>
  <c r="AY21" i="3"/>
  <c r="BI20" i="3"/>
  <c r="BE20" i="3"/>
  <c r="BA20" i="3"/>
  <c r="AW20" i="3"/>
  <c r="BK19" i="3"/>
  <c r="BG19" i="3"/>
  <c r="BC19" i="3"/>
  <c r="AY19" i="3"/>
  <c r="BI18" i="3"/>
  <c r="BE18" i="3"/>
  <c r="BA18" i="3"/>
  <c r="AW18" i="3"/>
  <c r="BJ17" i="3"/>
  <c r="BF17" i="3"/>
  <c r="BB17" i="3"/>
  <c r="AX17" i="3"/>
  <c r="AT14" i="3"/>
  <c r="AZ13" i="3"/>
  <c r="AV13" i="3"/>
  <c r="BA12" i="3"/>
  <c r="AW12" i="3"/>
  <c r="AR12" i="3"/>
  <c r="BB11" i="3"/>
  <c r="AX11" i="3"/>
  <c r="BC10" i="3"/>
  <c r="AY10" i="3"/>
  <c r="AZ9" i="3"/>
  <c r="AZ40" i="3"/>
  <c r="AX39" i="3"/>
  <c r="AZ38" i="3"/>
  <c r="BB37" i="3"/>
  <c r="BB35" i="3"/>
  <c r="BJ23" i="3"/>
  <c r="BF23" i="3"/>
  <c r="BB23" i="3"/>
  <c r="AX23" i="3"/>
  <c r="BH22" i="3"/>
  <c r="BD22" i="3"/>
  <c r="AZ22" i="3"/>
  <c r="AV22" i="3"/>
  <c r="BJ21" i="3"/>
  <c r="BF21" i="3"/>
  <c r="BB21" i="3"/>
  <c r="AX21" i="3"/>
  <c r="BH20" i="3"/>
  <c r="BD20" i="3"/>
  <c r="AZ20" i="3"/>
  <c r="AV20" i="3"/>
  <c r="BJ19" i="3"/>
  <c r="BF19" i="3"/>
  <c r="BB19" i="3"/>
  <c r="AX19" i="3"/>
  <c r="BH18" i="3"/>
  <c r="BD18" i="3"/>
  <c r="AZ18" i="3"/>
  <c r="AV18" i="3"/>
  <c r="BI17" i="3"/>
  <c r="BE17" i="3"/>
  <c r="BA17" i="3"/>
  <c r="AW17" i="3"/>
  <c r="AS14" i="3"/>
  <c r="BC13" i="3"/>
  <c r="AY13" i="3"/>
  <c r="AZ12" i="3"/>
  <c r="AV12" i="3"/>
  <c r="BA11" i="3"/>
  <c r="AW11" i="3"/>
  <c r="AR11" i="3"/>
  <c r="BB10" i="3"/>
  <c r="AV40" i="3"/>
  <c r="AV38" i="3"/>
  <c r="AX37" i="3"/>
  <c r="AZ36" i="3"/>
  <c r="AX35" i="3"/>
  <c r="AZ34" i="3"/>
  <c r="BI23" i="3"/>
  <c r="BE23" i="3"/>
  <c r="BA23" i="3"/>
  <c r="AW23" i="3"/>
  <c r="BK22" i="3"/>
  <c r="BG22" i="3"/>
  <c r="BC22" i="3"/>
  <c r="AY22" i="3"/>
  <c r="BI21" i="3"/>
  <c r="BE21" i="3"/>
  <c r="BA21" i="3"/>
  <c r="AW21" i="3"/>
  <c r="BK20" i="3"/>
  <c r="BG20" i="3"/>
  <c r="BC20" i="3"/>
  <c r="AY20" i="3"/>
  <c r="BI19" i="3"/>
  <c r="BE19" i="3"/>
  <c r="BA19" i="3"/>
  <c r="AW19" i="3"/>
  <c r="BK18" i="3"/>
  <c r="BG18" i="3"/>
  <c r="BC18" i="3"/>
  <c r="AY18" i="3"/>
  <c r="BH17" i="3"/>
  <c r="BD17" i="3"/>
  <c r="AZ17" i="3"/>
  <c r="AV17" i="3"/>
  <c r="AR14" i="3"/>
  <c r="BB13" i="3"/>
  <c r="AX13" i="3"/>
  <c r="BC12" i="3"/>
  <c r="AY12" i="3"/>
  <c r="AV34" i="3"/>
  <c r="AZ23" i="3"/>
  <c r="AX22" i="3"/>
  <c r="AV21" i="3"/>
  <c r="AX20" i="3"/>
  <c r="BH19" i="3"/>
  <c r="BJ18" i="3"/>
  <c r="BG17" i="3"/>
  <c r="AX12" i="3"/>
  <c r="AV11" i="3"/>
  <c r="AZ10" i="3"/>
  <c r="AY9" i="3"/>
  <c r="AZ8" i="3"/>
  <c r="AV8" i="3"/>
  <c r="BA7" i="3"/>
  <c r="AW7" i="3"/>
  <c r="AR7" i="3"/>
  <c r="BB53" i="3"/>
  <c r="BD23" i="3"/>
  <c r="BB20" i="3"/>
  <c r="BK17" i="3"/>
  <c r="AR13" i="3"/>
  <c r="AY11" i="3"/>
  <c r="AV9" i="3"/>
  <c r="AR8" i="3"/>
  <c r="AX7" i="3"/>
  <c r="AV36" i="3"/>
  <c r="AV23" i="3"/>
  <c r="BJ22" i="3"/>
  <c r="BH21" i="3"/>
  <c r="BJ20" i="3"/>
  <c r="BD19" i="3"/>
  <c r="BF18" i="3"/>
  <c r="BC17" i="3"/>
  <c r="BA13" i="3"/>
  <c r="BC11" i="3"/>
  <c r="AX10" i="3"/>
  <c r="AR10" i="3"/>
  <c r="BC9" i="3"/>
  <c r="AX9" i="3"/>
  <c r="BC8" i="3"/>
  <c r="AY8" i="3"/>
  <c r="AZ7" i="3"/>
  <c r="AV7" i="3"/>
  <c r="AZ21" i="3"/>
  <c r="AV19" i="3"/>
  <c r="BA10" i="3"/>
  <c r="BA8" i="3"/>
  <c r="BB7" i="3"/>
  <c r="BH23" i="3"/>
  <c r="BF22" i="3"/>
  <c r="BD21" i="3"/>
  <c r="BF20" i="3"/>
  <c r="AZ19" i="3"/>
  <c r="BB18" i="3"/>
  <c r="AY17" i="3"/>
  <c r="AW13" i="3"/>
  <c r="AZ11" i="3"/>
  <c r="AW10" i="3"/>
  <c r="BB9" i="3"/>
  <c r="AW9" i="3"/>
  <c r="AR9" i="3"/>
  <c r="BB8" i="3"/>
  <c r="AX8" i="3"/>
  <c r="BC7" i="3"/>
  <c r="AY7" i="3"/>
  <c r="BB22" i="3"/>
  <c r="AX18" i="3"/>
  <c r="BB12" i="3"/>
  <c r="AV10" i="3"/>
  <c r="BA9" i="3"/>
  <c r="AW8" i="3"/>
  <c r="AS7" i="3"/>
  <c r="AT8" i="3"/>
  <c r="AS13" i="3"/>
  <c r="AT9" i="3"/>
  <c r="AT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94EBA4-4D50-4780-AFE2-B58FC447DCB0}" keepAlive="1" name="쿼리 - Sheet2" description="통합 문서의 'Sheet2' 쿼리에 대한 연결입니다." type="5" refreshedVersion="6" background="1">
    <dbPr connection="Provider=Microsoft.Mashup.OleDb.1;Data Source=$Workbook$;Location=Sheet2;Extended Properties=&quot;&quot;" command="SELECT * FROM [Sheet2]"/>
  </connection>
  <connection id="2" xr16:uid="{45425F50-2D4A-46EE-B524-96D530FFF998}" keepAlive="1" name="쿼리 - Sheet2 (2)" description="통합 문서의 'Sheet2 (2)' 쿼리에 대한 연결입니다." type="5" refreshedVersion="6" background="1">
    <dbPr connection="Provider=Microsoft.Mashup.OleDb.1;Data Source=$Workbook$;Location=Sheet2 (2);Extended Properties=&quot;&quot;" command="SELECT * FROM [Sheet2 (2)]"/>
  </connection>
</connections>
</file>

<file path=xl/sharedStrings.xml><?xml version="1.0" encoding="utf-8"?>
<sst xmlns="http://schemas.openxmlformats.org/spreadsheetml/2006/main" count="755" uniqueCount="232">
  <si>
    <t>회원명</t>
    <phoneticPr fontId="1" type="noConversion"/>
  </si>
  <si>
    <t>가입년월일</t>
    <phoneticPr fontId="1" type="noConversion"/>
  </si>
  <si>
    <t>최근관람일</t>
    <phoneticPr fontId="1" type="noConversion"/>
  </si>
  <si>
    <t>양원석</t>
    <phoneticPr fontId="1" type="noConversion"/>
  </si>
  <si>
    <t>한수혜</t>
    <phoneticPr fontId="1" type="noConversion"/>
  </si>
  <si>
    <t>김승철</t>
    <phoneticPr fontId="1" type="noConversion"/>
  </si>
  <si>
    <t>이제환</t>
    <phoneticPr fontId="1" type="noConversion"/>
  </si>
  <si>
    <t>강주선</t>
    <phoneticPr fontId="1" type="noConversion"/>
  </si>
  <si>
    <t>곽승주</t>
    <phoneticPr fontId="1" type="noConversion"/>
  </si>
  <si>
    <t>김선수</t>
    <phoneticPr fontId="1" type="noConversion"/>
  </si>
  <si>
    <t>한화정</t>
    <phoneticPr fontId="1" type="noConversion"/>
  </si>
  <si>
    <t>양태욱</t>
    <phoneticPr fontId="1" type="noConversion"/>
  </si>
  <si>
    <t>연명진</t>
    <phoneticPr fontId="1" type="noConversion"/>
  </si>
  <si>
    <t>강웅전</t>
    <phoneticPr fontId="1" type="noConversion"/>
  </si>
  <si>
    <t>성혜빈</t>
    <phoneticPr fontId="1" type="noConversion"/>
  </si>
  <si>
    <t>강근우</t>
    <phoneticPr fontId="1" type="noConversion"/>
  </si>
  <si>
    <t>최현운</t>
    <phoneticPr fontId="1" type="noConversion"/>
  </si>
  <si>
    <t>장나영</t>
    <phoneticPr fontId="1" type="noConversion"/>
  </si>
  <si>
    <t>김준도</t>
    <phoneticPr fontId="1" type="noConversion"/>
  </si>
  <si>
    <t>최재환</t>
    <phoneticPr fontId="1" type="noConversion"/>
  </si>
  <si>
    <t>김기현</t>
    <phoneticPr fontId="1" type="noConversion"/>
  </si>
  <si>
    <t>박정이</t>
    <phoneticPr fontId="1" type="noConversion"/>
  </si>
  <si>
    <t>박도은</t>
    <phoneticPr fontId="1" type="noConversion"/>
  </si>
  <si>
    <t>박유현</t>
    <phoneticPr fontId="1" type="noConversion"/>
  </si>
  <si>
    <t>우예정</t>
    <phoneticPr fontId="1" type="noConversion"/>
  </si>
  <si>
    <t>김태평</t>
    <phoneticPr fontId="1" type="noConversion"/>
  </si>
  <si>
    <t>김선주</t>
    <phoneticPr fontId="1" type="noConversion"/>
  </si>
  <si>
    <t>장승환</t>
    <phoneticPr fontId="1" type="noConversion"/>
  </si>
  <si>
    <t>박준우</t>
    <phoneticPr fontId="1" type="noConversion"/>
  </si>
  <si>
    <t>강세연</t>
    <phoneticPr fontId="1" type="noConversion"/>
  </si>
  <si>
    <t>염진규</t>
    <phoneticPr fontId="1" type="noConversion"/>
  </si>
  <si>
    <t>이민준</t>
    <phoneticPr fontId="1" type="noConversion"/>
  </si>
  <si>
    <t>2000년 이후 가입자의 2019년 1월 이후 공연 예매 현황(예매 횟수 기준)</t>
    <phoneticPr fontId="1" type="noConversion"/>
  </si>
  <si>
    <t>주민등록번호</t>
    <phoneticPr fontId="1" type="noConversion"/>
  </si>
  <si>
    <t>서민규</t>
  </si>
  <si>
    <t>010-7362-9124</t>
  </si>
  <si>
    <t>강수연</t>
  </si>
  <si>
    <t>010-5742-3985</t>
  </si>
  <si>
    <t>김원태</t>
  </si>
  <si>
    <t>010-9654-7896</t>
  </si>
  <si>
    <t>이주영</t>
  </si>
  <si>
    <t>010-4123-6578</t>
  </si>
  <si>
    <t>송치환</t>
  </si>
  <si>
    <t>010-3214-5632</t>
  </si>
  <si>
    <t>박운호</t>
  </si>
  <si>
    <t>010-9658-7412</t>
  </si>
  <si>
    <t>남민정</t>
  </si>
  <si>
    <t>010-5412-5896</t>
  </si>
  <si>
    <t>장운후</t>
  </si>
  <si>
    <t>010-2133-4268</t>
  </si>
  <si>
    <t>배경진</t>
  </si>
  <si>
    <t>010-7436-8520</t>
  </si>
  <si>
    <t>최상규</t>
  </si>
  <si>
    <t>010-7025-9713</t>
  </si>
  <si>
    <t>이효선</t>
  </si>
  <si>
    <t>010-3388-4013</t>
  </si>
  <si>
    <t>임보은</t>
  </si>
  <si>
    <t>010-9223-4021</t>
  </si>
  <si>
    <t>편인아</t>
  </si>
  <si>
    <t>010-8264-5713</t>
  </si>
  <si>
    <t>최광석</t>
  </si>
  <si>
    <t>010-6148-3274</t>
  </si>
  <si>
    <t>김충현</t>
  </si>
  <si>
    <t>010-4523-6587</t>
  </si>
  <si>
    <t>우승원</t>
  </si>
  <si>
    <t>010-8012-4267</t>
  </si>
  <si>
    <t>김민하</t>
  </si>
  <si>
    <t>010-4586-6425</t>
  </si>
  <si>
    <t>권서준</t>
  </si>
  <si>
    <t>010-3102-9450</t>
  </si>
  <si>
    <t>김민석</t>
  </si>
  <si>
    <t>010-5842-8135</t>
  </si>
  <si>
    <t>김지아</t>
  </si>
  <si>
    <t>010-7982-1352</t>
  </si>
  <si>
    <t>장동현</t>
  </si>
  <si>
    <t>010-6011-7248</t>
  </si>
  <si>
    <t>합</t>
    <phoneticPr fontId="1" type="noConversion"/>
  </si>
  <si>
    <t>등수(EQ)</t>
    <phoneticPr fontId="1" type="noConversion"/>
  </si>
  <si>
    <t>등수(AVG)</t>
    <phoneticPr fontId="1" type="noConversion"/>
  </si>
  <si>
    <t>평균</t>
    <phoneticPr fontId="1" type="noConversion"/>
  </si>
  <si>
    <t>CL01</t>
    <phoneticPr fontId="1" type="noConversion"/>
  </si>
  <si>
    <t>CN02</t>
    <phoneticPr fontId="1" type="noConversion"/>
  </si>
  <si>
    <t>DC03</t>
    <phoneticPr fontId="1" type="noConversion"/>
  </si>
  <si>
    <t>FT04</t>
    <phoneticPr fontId="1" type="noConversion"/>
  </si>
  <si>
    <t>MU05</t>
    <phoneticPr fontId="1" type="noConversion"/>
  </si>
  <si>
    <t>MV06</t>
    <phoneticPr fontId="1" type="noConversion"/>
  </si>
  <si>
    <t>PL07</t>
    <phoneticPr fontId="1" type="noConversion"/>
  </si>
  <si>
    <t>클래식</t>
    <phoneticPr fontId="1" type="noConversion"/>
  </si>
  <si>
    <t>콘서트</t>
    <phoneticPr fontId="1" type="noConversion"/>
  </si>
  <si>
    <t>무용</t>
    <phoneticPr fontId="1" type="noConversion"/>
  </si>
  <si>
    <t>페스티벌</t>
    <phoneticPr fontId="1" type="noConversion"/>
  </si>
  <si>
    <t>뮤지컬</t>
    <phoneticPr fontId="1" type="noConversion"/>
  </si>
  <si>
    <t>영화</t>
    <phoneticPr fontId="1" type="noConversion"/>
  </si>
  <si>
    <t>연극</t>
    <phoneticPr fontId="1" type="noConversion"/>
  </si>
  <si>
    <t>성별</t>
    <phoneticPr fontId="1" type="noConversion"/>
  </si>
  <si>
    <t>회원코드</t>
    <phoneticPr fontId="1" type="noConversion"/>
  </si>
  <si>
    <t>마니아클럽
여부</t>
    <phoneticPr fontId="1" type="noConversion"/>
  </si>
  <si>
    <t>남</t>
    <phoneticPr fontId="1" type="noConversion"/>
  </si>
  <si>
    <t>여</t>
    <phoneticPr fontId="1" type="noConversion"/>
  </si>
  <si>
    <t>범위</t>
    <phoneticPr fontId="1" type="noConversion"/>
  </si>
  <si>
    <t>등급</t>
    <phoneticPr fontId="1" type="noConversion"/>
  </si>
  <si>
    <t>등급1</t>
    <phoneticPr fontId="1" type="noConversion"/>
  </si>
  <si>
    <t>D</t>
    <phoneticPr fontId="1" type="noConversion"/>
  </si>
  <si>
    <t>C</t>
    <phoneticPr fontId="1" type="noConversion"/>
  </si>
  <si>
    <t>B</t>
    <phoneticPr fontId="1" type="noConversion"/>
  </si>
  <si>
    <t>A</t>
    <phoneticPr fontId="1" type="noConversion"/>
  </si>
  <si>
    <t>영화
등급</t>
    <phoneticPr fontId="1" type="noConversion"/>
  </si>
  <si>
    <t>최대관심분야</t>
    <phoneticPr fontId="1" type="noConversion"/>
  </si>
  <si>
    <t>최대관심분야인원수</t>
    <phoneticPr fontId="1" type="noConversion"/>
  </si>
  <si>
    <t>분야</t>
    <phoneticPr fontId="1" type="noConversion"/>
  </si>
  <si>
    <t>인원수</t>
    <phoneticPr fontId="1" type="noConversion"/>
  </si>
  <si>
    <t>예매횟수</t>
    <phoneticPr fontId="1" type="noConversion"/>
  </si>
  <si>
    <t>-</t>
    <phoneticPr fontId="1" type="noConversion"/>
  </si>
  <si>
    <t>720816-1</t>
    <phoneticPr fontId="1" type="noConversion"/>
  </si>
  <si>
    <t>860510-2</t>
    <phoneticPr fontId="1" type="noConversion"/>
  </si>
  <si>
    <t>760423-1</t>
    <phoneticPr fontId="1" type="noConversion"/>
  </si>
  <si>
    <t>910910-1</t>
    <phoneticPr fontId="1" type="noConversion"/>
  </si>
  <si>
    <t>871205-2</t>
    <phoneticPr fontId="1" type="noConversion"/>
  </si>
  <si>
    <t>830619-2</t>
    <phoneticPr fontId="1" type="noConversion"/>
  </si>
  <si>
    <t>901106-1</t>
    <phoneticPr fontId="1" type="noConversion"/>
  </si>
  <si>
    <t>740711-2</t>
    <phoneticPr fontId="1" type="noConversion"/>
  </si>
  <si>
    <t>881010-1</t>
    <phoneticPr fontId="1" type="noConversion"/>
  </si>
  <si>
    <t>930425-1</t>
    <phoneticPr fontId="1" type="noConversion"/>
  </si>
  <si>
    <t>790223-1</t>
    <phoneticPr fontId="1" type="noConversion"/>
  </si>
  <si>
    <t>850118-2</t>
    <phoneticPr fontId="1" type="noConversion"/>
  </si>
  <si>
    <t>780922-1</t>
    <phoneticPr fontId="1" type="noConversion"/>
  </si>
  <si>
    <t>860723-1</t>
    <phoneticPr fontId="1" type="noConversion"/>
  </si>
  <si>
    <t>940404-2</t>
    <phoneticPr fontId="1" type="noConversion"/>
  </si>
  <si>
    <t>820113-1</t>
    <phoneticPr fontId="1" type="noConversion"/>
  </si>
  <si>
    <t>881117-1</t>
    <phoneticPr fontId="1" type="noConversion"/>
  </si>
  <si>
    <t>860406-2</t>
    <phoneticPr fontId="1" type="noConversion"/>
  </si>
  <si>
    <t>791230-2</t>
    <phoneticPr fontId="1" type="noConversion"/>
  </si>
  <si>
    <t>870228-2</t>
    <phoneticPr fontId="1" type="noConversion"/>
  </si>
  <si>
    <t>900926-1</t>
    <phoneticPr fontId="1" type="noConversion"/>
  </si>
  <si>
    <t>720826-2</t>
    <phoneticPr fontId="1" type="noConversion"/>
  </si>
  <si>
    <t>930730-1</t>
    <phoneticPr fontId="1" type="noConversion"/>
  </si>
  <si>
    <t>860103-2</t>
    <phoneticPr fontId="1" type="noConversion"/>
  </si>
  <si>
    <t>821129-1</t>
    <phoneticPr fontId="1" type="noConversion"/>
  </si>
  <si>
    <t>830620-1</t>
    <phoneticPr fontId="1" type="noConversion"/>
  </si>
  <si>
    <t>740817-2</t>
    <phoneticPr fontId="1" type="noConversion"/>
  </si>
  <si>
    <t>751031-1</t>
    <phoneticPr fontId="1" type="noConversion"/>
  </si>
  <si>
    <t>940903-1</t>
    <phoneticPr fontId="1" type="noConversion"/>
  </si>
  <si>
    <t>801226-1</t>
    <phoneticPr fontId="1" type="noConversion"/>
  </si>
  <si>
    <t>770519-2</t>
    <phoneticPr fontId="1" type="noConversion"/>
  </si>
  <si>
    <t>820406-1</t>
    <phoneticPr fontId="1" type="noConversion"/>
  </si>
  <si>
    <t>810907-2</t>
    <phoneticPr fontId="1" type="noConversion"/>
  </si>
  <si>
    <t>750113-1</t>
    <phoneticPr fontId="1" type="noConversion"/>
  </si>
  <si>
    <t>730614-1</t>
    <phoneticPr fontId="1" type="noConversion"/>
  </si>
  <si>
    <t>900702-2</t>
    <phoneticPr fontId="1" type="noConversion"/>
  </si>
  <si>
    <t>790909-1</t>
    <phoneticPr fontId="1" type="noConversion"/>
  </si>
  <si>
    <t>951111-2</t>
    <phoneticPr fontId="1" type="noConversion"/>
  </si>
  <si>
    <t>771018-1</t>
    <phoneticPr fontId="1" type="noConversion"/>
  </si>
  <si>
    <t>890403-2</t>
    <phoneticPr fontId="1" type="noConversion"/>
  </si>
  <si>
    <t>740502-2</t>
    <phoneticPr fontId="1" type="noConversion"/>
  </si>
  <si>
    <t>920324-2</t>
    <phoneticPr fontId="1" type="noConversion"/>
  </si>
  <si>
    <t>870629-1</t>
    <phoneticPr fontId="1" type="noConversion"/>
  </si>
  <si>
    <t>850201-1</t>
    <phoneticPr fontId="1" type="noConversion"/>
  </si>
  <si>
    <t>780129-1</t>
    <phoneticPr fontId="1" type="noConversion"/>
  </si>
  <si>
    <t>840720-2</t>
    <phoneticPr fontId="1" type="noConversion"/>
  </si>
  <si>
    <t>911203-1</t>
    <phoneticPr fontId="1" type="noConversion"/>
  </si>
  <si>
    <t>890917-1</t>
    <phoneticPr fontId="1" type="noConversion"/>
  </si>
  <si>
    <t>710615-2</t>
    <phoneticPr fontId="1" type="noConversion"/>
  </si>
  <si>
    <t>830321-1</t>
    <phoneticPr fontId="1" type="noConversion"/>
  </si>
  <si>
    <t>월</t>
    <phoneticPr fontId="1" type="noConversion"/>
  </si>
  <si>
    <t>일</t>
    <phoneticPr fontId="1" type="noConversion"/>
  </si>
  <si>
    <t>년수</t>
    <phoneticPr fontId="1" type="noConversion"/>
  </si>
  <si>
    <t>개월수</t>
    <phoneticPr fontId="1" type="noConversion"/>
  </si>
  <si>
    <t>일수</t>
    <phoneticPr fontId="1" type="noConversion"/>
  </si>
  <si>
    <t>가입기간</t>
    <phoneticPr fontId="1" type="noConversion"/>
  </si>
  <si>
    <t>최근
관람요일</t>
    <phoneticPr fontId="1" type="noConversion"/>
  </si>
  <si>
    <t>생년월일</t>
    <phoneticPr fontId="1" type="noConversion"/>
  </si>
  <si>
    <t>년도</t>
    <phoneticPr fontId="1" type="noConversion"/>
  </si>
  <si>
    <t>나이</t>
    <phoneticPr fontId="1" type="noConversion"/>
  </si>
  <si>
    <t>회원등급</t>
    <phoneticPr fontId="1" type="noConversion"/>
  </si>
  <si>
    <t>MANIA</t>
    <phoneticPr fontId="1" type="noConversion"/>
  </si>
  <si>
    <t>HOBBY</t>
    <phoneticPr fontId="1" type="noConversion"/>
  </si>
  <si>
    <t>ALMOST</t>
    <phoneticPr fontId="1" type="noConversion"/>
  </si>
  <si>
    <t>TRY</t>
    <phoneticPr fontId="1" type="noConversion"/>
  </si>
  <si>
    <t>혜택
포인트</t>
    <phoneticPr fontId="1" type="noConversion"/>
  </si>
  <si>
    <t>주민번호표시</t>
    <phoneticPr fontId="1" type="noConversion"/>
  </si>
  <si>
    <t>전화번호표시</t>
    <phoneticPr fontId="1" type="noConversion"/>
  </si>
  <si>
    <t>전화번호</t>
    <phoneticPr fontId="1" type="noConversion"/>
  </si>
  <si>
    <t>010-8533-4276</t>
  </si>
  <si>
    <t>010-9642-8513</t>
  </si>
  <si>
    <t>010-7105-8211</t>
  </si>
  <si>
    <t>010-3352-0147</t>
  </si>
  <si>
    <t>010-8129-4730</t>
  </si>
  <si>
    <t>010-2954-7816</t>
  </si>
  <si>
    <t>010-6245-8317</t>
  </si>
  <si>
    <t>010-7530-9510</t>
  </si>
  <si>
    <t>010-5011-7432</t>
  </si>
  <si>
    <t>010-6534-8139</t>
  </si>
  <si>
    <t>010-2174-3014</t>
  </si>
  <si>
    <t>010-4475-9910</t>
  </si>
  <si>
    <t>010-3265-8410</t>
  </si>
  <si>
    <t>010-2648-5317</t>
  </si>
  <si>
    <t>010-6499-8544</t>
  </si>
  <si>
    <t>010-8410-3978</t>
  </si>
  <si>
    <t>010-9887-2331</t>
  </si>
  <si>
    <t>010-2048-1311</t>
  </si>
  <si>
    <t>010-4672-8651</t>
  </si>
  <si>
    <t>010-9471-2384</t>
  </si>
  <si>
    <t>010-6877-2101</t>
  </si>
  <si>
    <t>010-3107-8499</t>
  </si>
  <si>
    <t>010-5619-7748</t>
  </si>
  <si>
    <t>010-7325-1643</t>
  </si>
  <si>
    <t>010-8122-5510</t>
  </si>
  <si>
    <t>010-9332-8193</t>
  </si>
  <si>
    <t>010-2458-7366</t>
  </si>
  <si>
    <t>010-4267-9132</t>
  </si>
  <si>
    <t>010-2360-9814</t>
    <phoneticPr fontId="1" type="noConversion"/>
  </si>
  <si>
    <t>가입기간(년수)</t>
    <phoneticPr fontId="1" type="noConversion"/>
  </si>
  <si>
    <t>최대</t>
    <phoneticPr fontId="1" type="noConversion"/>
  </si>
  <si>
    <t>최저</t>
    <phoneticPr fontId="1" type="noConversion"/>
  </si>
  <si>
    <t>6.</t>
    <phoneticPr fontId="1" type="noConversion"/>
  </si>
  <si>
    <t>5.</t>
    <phoneticPr fontId="1" type="noConversion"/>
  </si>
  <si>
    <t>4.</t>
    <phoneticPr fontId="1" type="noConversion"/>
  </si>
  <si>
    <t>3.</t>
    <phoneticPr fontId="1" type="noConversion"/>
  </si>
  <si>
    <t>2.</t>
    <phoneticPr fontId="1" type="noConversion"/>
  </si>
  <si>
    <t>1.</t>
    <phoneticPr fontId="1" type="noConversion"/>
  </si>
  <si>
    <t>예매분야</t>
    <phoneticPr fontId="1" type="noConversion"/>
  </si>
  <si>
    <t>총합</t>
    <phoneticPr fontId="1" type="noConversion"/>
  </si>
  <si>
    <t>평균 반올림</t>
    <phoneticPr fontId="1" type="noConversion"/>
  </si>
  <si>
    <t>평균 올림</t>
    <phoneticPr fontId="1" type="noConversion"/>
  </si>
  <si>
    <t>평균 내림</t>
    <phoneticPr fontId="1" type="noConversion"/>
  </si>
  <si>
    <t>회원수</t>
    <phoneticPr fontId="1" type="noConversion"/>
  </si>
  <si>
    <t>7.</t>
    <phoneticPr fontId="1" type="noConversion"/>
  </si>
  <si>
    <t>각 분야별로 예매한 인원수</t>
    <phoneticPr fontId="1" type="noConversion"/>
  </si>
  <si>
    <t>각 분야별로 예매하지 않은 인원수</t>
    <phoneticPr fontId="1" type="noConversion"/>
  </si>
  <si>
    <t>각 분야별 최대 예매 횟수</t>
    <phoneticPr fontId="1" type="noConversion"/>
  </si>
  <si>
    <t>각 분야별 최저 예매 횟수</t>
    <phoneticPr fontId="1" type="noConversion"/>
  </si>
  <si>
    <t>각 분야별 중간 예매 횟수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</si>
</sst>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color theme="5"/>
      <name val="맑은 고딕"/>
      <family val="3"/>
      <charset val="129"/>
      <scheme val="minor"/>
    </font>
    <font>
      <sz val="11"/>
      <color theme="7"/>
      <name val="맑은 고딕"/>
      <family val="3"/>
      <charset val="129"/>
      <scheme val="minor"/>
    </font>
    <font>
      <sz val="11"/>
      <color theme="9" tint="-0.249977111117893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sz val="11"/>
      <color rgb="FF7030A0"/>
      <name val="맑은 고딕"/>
      <family val="3"/>
      <charset val="129"/>
      <scheme val="minor"/>
    </font>
    <font>
      <sz val="11"/>
      <color rgb="FF002060"/>
      <name val="맑은 고딕"/>
      <family val="3"/>
      <charset val="129"/>
      <scheme val="minor"/>
    </font>
    <font>
      <sz val="11"/>
      <color theme="7" tint="0.39997558519241921"/>
      <name val="맑은 고딕"/>
      <family val="3"/>
      <charset val="129"/>
      <scheme val="minor"/>
    </font>
    <font>
      <sz val="11"/>
      <color rgb="FFE11957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DC9F1"/>
        <bgColor indexed="64"/>
      </patternFill>
    </fill>
    <fill>
      <patternFill patternType="solid">
        <fgColor rgb="FFFF919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0">
    <xf numFmtId="0" fontId="0" fillId="0" borderId="0" xfId="0">
      <alignment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49" fontId="4" fillId="2" borderId="7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center" vertical="center"/>
    </xf>
    <xf numFmtId="49" fontId="0" fillId="2" borderId="7" xfId="0" applyNumberForma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14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E11957"/>
      <color rgb="FFFF9191"/>
      <color rgb="FFDDC9F1"/>
      <color rgb="FFCCAEEA"/>
      <color rgb="FFCC99FF"/>
      <color rgb="FFC672F4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48177;&#50629;&#54664;&#45768;/&#45936;&#51060;&#53552;&#48516;&#49437;/2&#52264;_&#49688;&#51221;/&#51228;3&#48512;%20&#50641;&#49472;&#51012;%20&#51060;&#50857;&#54620;%20&#45936;&#51060;&#53552;&#48516;&#49437;/Chap10_&#54632;&#49688;&#47484;%20&#51060;&#50857;&#54620;%20&#45936;&#51060;&#53552;%20&#51665;&#44228;/Chap10_&#54632;&#49688;&#47484;%20&#51060;&#50857;&#54620;%20&#45936;&#51060;&#53552;%20&#51665;&#44228;_&#44208;&#44284;&#54028;&#51068;/&#50672;&#49845;10_01_&#44208;&#442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회원정보"/>
      <sheetName val="혜택포인트"/>
    </sheetNames>
    <sheetDataSet>
      <sheetData sheetId="0" refreshError="1"/>
      <sheetData sheetId="1">
        <row r="2">
          <cell r="B2">
            <v>0</v>
          </cell>
          <cell r="C2">
            <v>5</v>
          </cell>
          <cell r="D2">
            <v>10</v>
          </cell>
          <cell r="E2">
            <v>15</v>
          </cell>
          <cell r="F2">
            <v>20</v>
          </cell>
        </row>
        <row r="3">
          <cell r="A3" t="str">
            <v>MANIA</v>
          </cell>
          <cell r="B3">
            <v>0.2</v>
          </cell>
          <cell r="C3">
            <v>0.25</v>
          </cell>
          <cell r="D3">
            <v>0.3</v>
          </cell>
          <cell r="E3">
            <v>0.35</v>
          </cell>
          <cell r="F3">
            <v>0.4</v>
          </cell>
        </row>
        <row r="4">
          <cell r="A4" t="str">
            <v>HOBBY</v>
          </cell>
          <cell r="B4">
            <v>0.1</v>
          </cell>
          <cell r="C4">
            <v>0.15</v>
          </cell>
          <cell r="D4">
            <v>0.2</v>
          </cell>
          <cell r="E4">
            <v>0.25</v>
          </cell>
          <cell r="F4">
            <v>0.3</v>
          </cell>
        </row>
        <row r="5">
          <cell r="A5" t="str">
            <v>ALMOST</v>
          </cell>
          <cell r="B5">
            <v>0</v>
          </cell>
          <cell r="C5">
            <v>0.05</v>
          </cell>
          <cell r="D5">
            <v>0.1</v>
          </cell>
          <cell r="E5">
            <v>0.15</v>
          </cell>
          <cell r="F5">
            <v>0.2</v>
          </cell>
        </row>
        <row r="6">
          <cell r="A6" t="str">
            <v>TRY</v>
          </cell>
          <cell r="B6">
            <v>0</v>
          </cell>
          <cell r="C6">
            <v>0</v>
          </cell>
          <cell r="D6">
            <v>0.03</v>
          </cell>
          <cell r="E6">
            <v>7.0000000000000007E-2</v>
          </cell>
          <cell r="F6">
            <v>0.1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B7BEE-6C16-40D8-80B1-CAD916C63EA9}">
  <dimension ref="A1:BL54"/>
  <sheetViews>
    <sheetView tabSelected="1" workbookViewId="0">
      <pane xSplit="2" ySplit="4" topLeftCell="C5" activePane="bottomRight" state="frozen"/>
      <selection pane="topRight" activeCell="B1" sqref="B1"/>
      <selection pane="bottomLeft" activeCell="A5" sqref="A5"/>
      <selection pane="bottomRight" activeCell="N5" sqref="N5"/>
    </sheetView>
  </sheetViews>
  <sheetFormatPr defaultRowHeight="16.5" x14ac:dyDescent="0.3"/>
  <cols>
    <col min="1" max="1" width="10.625" style="2" customWidth="1"/>
    <col min="2" max="2" width="9" style="2" customWidth="1"/>
    <col min="3" max="3" width="12.75" style="2" customWidth="1"/>
    <col min="4" max="4" width="12.75" style="2" hidden="1" customWidth="1"/>
    <col min="5" max="5" width="10.75" style="2" hidden="1" customWidth="1"/>
    <col min="6" max="6" width="7.625" style="2" hidden="1" customWidth="1"/>
    <col min="7" max="10" width="5.625" style="2" hidden="1" customWidth="1"/>
    <col min="11" max="12" width="13.75" style="2" hidden="1" customWidth="1"/>
    <col min="13" max="13" width="10.75" style="2" customWidth="1"/>
    <col min="14" max="16" width="5.625" style="2" customWidth="1"/>
    <col min="17" max="17" width="10.75" style="2" customWidth="1"/>
    <col min="18" max="18" width="8.625" style="2" customWidth="1"/>
    <col min="19" max="25" width="7.625" style="2" customWidth="1"/>
    <col min="26" max="27" width="9" style="2" customWidth="1"/>
    <col min="28" max="28" width="9" style="2" hidden="1" customWidth="1"/>
    <col min="29" max="29" width="10.625" style="2" hidden="1" customWidth="1"/>
    <col min="30" max="31" width="5.625" style="2" hidden="1" customWidth="1"/>
    <col min="32" max="34" width="8.625" style="2" customWidth="1"/>
    <col min="35" max="35" width="4.125" style="2" customWidth="1"/>
    <col min="36" max="64" width="9" style="2" hidden="1" customWidth="1"/>
    <col min="65" max="16384" width="9" style="2"/>
  </cols>
  <sheetData>
    <row r="1" spans="1:63" ht="20.25" x14ac:dyDescent="0.3">
      <c r="B1" s="59" t="s">
        <v>32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</row>
    <row r="3" spans="1:63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60" t="s">
        <v>168</v>
      </c>
      <c r="O3" s="61"/>
      <c r="P3" s="62"/>
      <c r="Q3" s="3"/>
      <c r="R3" s="3"/>
      <c r="S3" s="25" t="s">
        <v>80</v>
      </c>
      <c r="T3" s="25" t="s">
        <v>81</v>
      </c>
      <c r="U3" s="25" t="s">
        <v>82</v>
      </c>
      <c r="V3" s="25" t="s">
        <v>83</v>
      </c>
      <c r="W3" s="25" t="s">
        <v>84</v>
      </c>
      <c r="X3" s="25" t="s">
        <v>85</v>
      </c>
      <c r="Y3" s="25" t="s">
        <v>86</v>
      </c>
      <c r="Z3" s="3"/>
      <c r="AA3" s="3"/>
      <c r="AB3" s="3"/>
      <c r="AC3" s="3"/>
      <c r="AD3" s="3"/>
      <c r="AE3" s="3"/>
      <c r="AF3" s="3"/>
      <c r="AG3" s="3"/>
      <c r="AH3" s="3"/>
    </row>
    <row r="4" spans="1:63" ht="30" customHeight="1" x14ac:dyDescent="0.3">
      <c r="A4" s="25" t="s">
        <v>95</v>
      </c>
      <c r="B4" s="25" t="s">
        <v>0</v>
      </c>
      <c r="C4" s="25" t="s">
        <v>33</v>
      </c>
      <c r="D4" s="25" t="s">
        <v>179</v>
      </c>
      <c r="E4" s="25" t="s">
        <v>170</v>
      </c>
      <c r="F4" s="25" t="s">
        <v>171</v>
      </c>
      <c r="G4" s="25" t="s">
        <v>163</v>
      </c>
      <c r="H4" s="25" t="s">
        <v>164</v>
      </c>
      <c r="I4" s="25" t="s">
        <v>172</v>
      </c>
      <c r="J4" s="25" t="s">
        <v>94</v>
      </c>
      <c r="K4" s="4" t="s">
        <v>181</v>
      </c>
      <c r="L4" s="4" t="s">
        <v>180</v>
      </c>
      <c r="M4" s="25" t="s">
        <v>1</v>
      </c>
      <c r="N4" s="29" t="s">
        <v>165</v>
      </c>
      <c r="O4" s="29" t="s">
        <v>166</v>
      </c>
      <c r="P4" s="29" t="s">
        <v>167</v>
      </c>
      <c r="Q4" s="25" t="s">
        <v>2</v>
      </c>
      <c r="R4" s="10" t="s">
        <v>169</v>
      </c>
      <c r="S4" s="25" t="str">
        <f t="shared" ref="S4:Y4" si="0">HLOOKUP(S3,$AJ$6:$AP$7,2,FALSE)</f>
        <v>클래식</v>
      </c>
      <c r="T4" s="25" t="str">
        <f t="shared" si="0"/>
        <v>콘서트</v>
      </c>
      <c r="U4" s="25" t="str">
        <f t="shared" si="0"/>
        <v>무용</v>
      </c>
      <c r="V4" s="25" t="str">
        <f t="shared" si="0"/>
        <v>페스티벌</v>
      </c>
      <c r="W4" s="25" t="str">
        <f t="shared" si="0"/>
        <v>뮤지컬</v>
      </c>
      <c r="X4" s="25" t="str">
        <f t="shared" si="0"/>
        <v>영화</v>
      </c>
      <c r="Y4" s="25" t="str">
        <f t="shared" si="0"/>
        <v>연극</v>
      </c>
      <c r="Z4" s="25" t="s">
        <v>76</v>
      </c>
      <c r="AA4" s="25" t="s">
        <v>77</v>
      </c>
      <c r="AB4" s="25" t="s">
        <v>78</v>
      </c>
      <c r="AC4" s="7" t="s">
        <v>96</v>
      </c>
      <c r="AD4" s="7" t="s">
        <v>101</v>
      </c>
      <c r="AE4" s="8" t="s">
        <v>106</v>
      </c>
      <c r="AF4" s="7" t="s">
        <v>107</v>
      </c>
      <c r="AG4" s="7" t="s">
        <v>173</v>
      </c>
      <c r="AH4" s="7" t="s">
        <v>178</v>
      </c>
    </row>
    <row r="5" spans="1:63" x14ac:dyDescent="0.3">
      <c r="A5" s="25" t="str">
        <f>MID(B5,2,1)&amp;"-"&amp;RIGHT(K5,4)</f>
        <v>원-9814</v>
      </c>
      <c r="B5" s="38" t="s">
        <v>3</v>
      </c>
      <c r="C5" s="25" t="s">
        <v>113</v>
      </c>
      <c r="D5" s="25" t="str">
        <f>C5&amp;REPT("*",6)</f>
        <v>720816-1******</v>
      </c>
      <c r="E5" s="1">
        <f>DATE(LEFT(C5,2),MID(C5,3,2),MID(C5,5,2))</f>
        <v>26527</v>
      </c>
      <c r="F5" s="25">
        <f>YEAR(E5)</f>
        <v>1972</v>
      </c>
      <c r="G5" s="25">
        <f>MONTH(E5)</f>
        <v>8</v>
      </c>
      <c r="H5" s="25">
        <f>DAY(E5)</f>
        <v>16</v>
      </c>
      <c r="I5" s="25">
        <f ca="1">DATEDIF(E5,TODAY(),"Y")</f>
        <v>47</v>
      </c>
      <c r="J5" s="25" t="str">
        <f>CHOOSE(MID(C5,FIND("-",C5)+1,1),"남","여")</f>
        <v>남</v>
      </c>
      <c r="K5" s="4" t="s">
        <v>210</v>
      </c>
      <c r="L5" s="29" t="str">
        <f>REPLACE(K5,FIND("-",K5)+1,FIND("-",K5,5)-FIND("-",K5)-1,REPT("*",FIND("-",K5,5)-FIND("-",K5)-1))</f>
        <v>010-****-9814</v>
      </c>
      <c r="M5" s="1">
        <v>42424</v>
      </c>
      <c r="N5" s="29">
        <v>3</v>
      </c>
      <c r="O5" s="29">
        <f t="shared" ref="O5:O36" ca="1" si="1">DATEDIF(M5,TODAY(),"YM")</f>
        <v>9</v>
      </c>
      <c r="P5" s="29">
        <f t="shared" ref="P5:P36" ca="1" si="2">DATEDIF(M5,TODAY(),"MD")</f>
        <v>1</v>
      </c>
      <c r="Q5" s="1">
        <v>43527</v>
      </c>
      <c r="R5" s="31" t="str">
        <f>CHOOSE(WEEKDAY(Q5),"일","월","화","수","목","금","토")</f>
        <v>일</v>
      </c>
      <c r="S5" s="25"/>
      <c r="T5" s="25">
        <v>23</v>
      </c>
      <c r="U5" s="25"/>
      <c r="V5" s="25">
        <v>15</v>
      </c>
      <c r="W5" s="25">
        <v>58</v>
      </c>
      <c r="X5" s="25">
        <v>27</v>
      </c>
      <c r="Y5" s="25">
        <v>79</v>
      </c>
      <c r="Z5" s="25">
        <f>S5+T5+U5+V5+W5+X5+Y5</f>
        <v>202</v>
      </c>
      <c r="AA5" s="25">
        <f>_xlfn.RANK.EQ(Z5,$Z$5:$Z$54,0)</f>
        <v>1</v>
      </c>
      <c r="AB5" s="25">
        <f>_xlfn.RANK.AVG(Z5,$Z$5:$Z$54,0)</f>
        <v>1</v>
      </c>
      <c r="AC5" s="25" t="b">
        <f>AND(Z5&gt;=100, OR(S5&gt;=50,T5&gt;=50,U5&gt;=50,V5&gt;=50,W5&gt;=50,X5&gt;=50,Y5&gt;=50))</f>
        <v>1</v>
      </c>
      <c r="AD5" s="25">
        <f>HLOOKUP(Z5,$AJ$12:$AO$13,2,TRUE)</f>
        <v>1</v>
      </c>
      <c r="AE5" s="9" t="str">
        <f>VLOOKUP(X5,$AJ$15:$AK$19,2,TRUE)</f>
        <v>D</v>
      </c>
      <c r="AF5" s="49" t="str">
        <f>IF(MAX(S5:Y5)=0,"-",IF(MAX(S5:Y5)=S5,$S$4,IF(MAX(S5:Y5)=T5,$T$4,IF(MAX(S5:Y5)=U5,$U$4,IF(MAX(S5:Y5)=V5,$V$4,IF(MAX(S5:Y5)=W5,$W$4,IF(MAX(S5:Y5)=X5,$X$4,$Y$4)))))))</f>
        <v>연극</v>
      </c>
      <c r="AG5" s="44" t="str">
        <f>IF(AND(Z5&gt;=100,OR(S5&gt;=50,T5&gt;=50,U5&gt;=50,V5&gt;=50,W5&gt;=50,X5&gt;=50,Y5&gt;=50)),"MANIA",IF(Z5&gt;=100,"HOBBY",IF(AND(Z5&gt;=50,Z5&lt;100),"ALMOST","TRY")))</f>
        <v>MANIA</v>
      </c>
      <c r="AH5" s="25">
        <f>INDEX(혜택포인트!$B$3:$F$6,MATCH(AG5,혜택포인트!$A$3:$A$6,0),MATCH(N5,혜택포인트!$B$2:$F$2,1))</f>
        <v>0.2</v>
      </c>
      <c r="AQ5" s="63" t="s">
        <v>108</v>
      </c>
      <c r="AR5" s="63"/>
      <c r="AS5" s="63" t="s">
        <v>111</v>
      </c>
      <c r="AT5" s="63"/>
      <c r="AU5" s="52" t="s">
        <v>219</v>
      </c>
      <c r="AV5" s="54" t="s">
        <v>174</v>
      </c>
      <c r="AW5" s="55"/>
      <c r="AX5" s="54" t="s">
        <v>175</v>
      </c>
      <c r="AY5" s="55"/>
      <c r="AZ5" s="54" t="s">
        <v>176</v>
      </c>
      <c r="BA5" s="55"/>
      <c r="BB5" s="54" t="s">
        <v>177</v>
      </c>
      <c r="BC5" s="55"/>
    </row>
    <row r="6" spans="1:63" x14ac:dyDescent="0.3">
      <c r="A6" s="25" t="str">
        <f t="shared" ref="A6:A54" si="3">MID(B6,2,1)&amp;"-"&amp;RIGHT(K6,4)</f>
        <v>수-4276</v>
      </c>
      <c r="B6" s="38" t="s">
        <v>4</v>
      </c>
      <c r="C6" s="25" t="s">
        <v>114</v>
      </c>
      <c r="D6" s="25" t="str">
        <f t="shared" ref="D6:D54" si="4">C6&amp;REPT("*",6)</f>
        <v>860510-2******</v>
      </c>
      <c r="E6" s="1">
        <f t="shared" ref="E6:E54" si="5">DATE(LEFT(C6,2),MID(C6,3,2),MID(C6,5,2))</f>
        <v>31542</v>
      </c>
      <c r="F6" s="25">
        <f t="shared" ref="F6:F54" si="6">YEAR(E6)</f>
        <v>1986</v>
      </c>
      <c r="G6" s="25">
        <f t="shared" ref="G6:G54" si="7">MONTH(E6)</f>
        <v>5</v>
      </c>
      <c r="H6" s="25">
        <f t="shared" ref="H6:H54" si="8">DAY(E6)</f>
        <v>10</v>
      </c>
      <c r="I6" s="25">
        <f t="shared" ref="I6:I54" ca="1" si="9">DATEDIF(E6,TODAY(),"Y")</f>
        <v>33</v>
      </c>
      <c r="J6" s="25" t="str">
        <f t="shared" ref="J6:J54" si="10">CHOOSE(MID(C6,FIND("-",C6)+1,1),"남","여")</f>
        <v>여</v>
      </c>
      <c r="K6" s="4" t="s">
        <v>182</v>
      </c>
      <c r="L6" s="29" t="str">
        <f t="shared" ref="L6:L54" si="11">REPLACE(K6,FIND("-",K6)+1,FIND("-",K6,5)-FIND("-",K6)-1,REPT("*",FIND("-",K6,5)-FIND("-",K6)-1))</f>
        <v>010-****-4276</v>
      </c>
      <c r="M6" s="1">
        <v>39513</v>
      </c>
      <c r="N6" s="29">
        <v>11</v>
      </c>
      <c r="O6" s="29">
        <f t="shared" ca="1" si="1"/>
        <v>8</v>
      </c>
      <c r="P6" s="29">
        <f t="shared" ca="1" si="2"/>
        <v>19</v>
      </c>
      <c r="Q6" s="1">
        <v>43094</v>
      </c>
      <c r="R6" s="32" t="str">
        <f t="shared" ref="R6:R54" si="12">CHOOSE(WEEKDAY(Q6),"일","월","화","수","목","금","토")</f>
        <v>월</v>
      </c>
      <c r="S6" s="25"/>
      <c r="T6" s="25"/>
      <c r="U6" s="25"/>
      <c r="V6" s="25"/>
      <c r="W6" s="25"/>
      <c r="X6" s="25"/>
      <c r="Y6" s="25"/>
      <c r="Z6" s="25">
        <f t="shared" ref="Z6:Z54" si="13">S6+T6+U6+V6+W6+X6+Y6</f>
        <v>0</v>
      </c>
      <c r="AA6" s="25">
        <f t="shared" ref="AA6:AA54" si="14">_xlfn.RANK.EQ(Z6,$Z$5:$Z$54,0)</f>
        <v>33</v>
      </c>
      <c r="AB6" s="25">
        <f t="shared" ref="AB6:AB54" si="15">_xlfn.RANK.AVG(Z6,$Z$5:$Z$54,0)</f>
        <v>41.5</v>
      </c>
      <c r="AC6" s="25" t="b">
        <f t="shared" ref="AC6:AC54" si="16">AND(Z6&gt;=100, OR(S6&gt;=50,T6&gt;=50,U6&gt;=50,V6&gt;=50,W6&gt;=50,X6&gt;=50,Y6&gt;=50))</f>
        <v>0</v>
      </c>
      <c r="AD6" s="25">
        <f t="shared" ref="AD6:AD54" si="17">HLOOKUP(Z6,$AJ$12:$AO$13,2,TRUE)</f>
        <v>5</v>
      </c>
      <c r="AE6" s="9" t="str">
        <f t="shared" ref="AE6:AE54" si="18">VLOOKUP(X6,$AJ$15:$AK$19,2,TRUE)</f>
        <v>D</v>
      </c>
      <c r="AF6" s="41" t="str">
        <f t="shared" ref="AF6:AF54" si="19">IF(MAX(S6:Y6)=0,"-",IF(MAX(S6:Y6)=S6,$S$4,IF(MAX(S6:Y6)=T6,$T$4,IF(MAX(S6:Y6)=U6,$U$4,IF(MAX(S6:Y6)=V6,$V$4,IF(MAX(S6:Y6)=W6,$W$4,IF(MAX(S6:Y6)=X6,$X$4,$Y$4)))))))</f>
        <v>-</v>
      </c>
      <c r="AG6" s="42" t="str">
        <f t="shared" ref="AG6:AG54" si="20">IF(AND(Z6&gt;=100,OR(S6&gt;=50,T6&gt;=50,U6&gt;=50,V6&gt;=50,W6&gt;=50,X6&gt;=50,Y6&gt;=50)),"MANIA",IF(Z6&gt;=100,"HOBBY",IF(AND(Z6&gt;=50,Z6&lt;100),"ALMOST","TRY")))</f>
        <v>TRY</v>
      </c>
      <c r="AH6" s="25">
        <f>INDEX(혜택포인트!$B$3:$F$6,MATCH(AG6,혜택포인트!$A$3:$A$6,0),MATCH(N6,혜택포인트!$B$2:$F$2,1))</f>
        <v>0.03</v>
      </c>
      <c r="AJ6" s="25" t="s">
        <v>80</v>
      </c>
      <c r="AK6" s="25" t="s">
        <v>81</v>
      </c>
      <c r="AL6" s="25" t="s">
        <v>82</v>
      </c>
      <c r="AM6" s="25" t="s">
        <v>83</v>
      </c>
      <c r="AN6" s="25" t="s">
        <v>84</v>
      </c>
      <c r="AO6" s="25" t="s">
        <v>85</v>
      </c>
      <c r="AP6" s="9" t="s">
        <v>86</v>
      </c>
      <c r="AQ6" s="28" t="s">
        <v>109</v>
      </c>
      <c r="AR6" s="28" t="s">
        <v>110</v>
      </c>
      <c r="AS6" s="28" t="s">
        <v>76</v>
      </c>
      <c r="AT6" s="28" t="s">
        <v>79</v>
      </c>
      <c r="AU6" s="58"/>
      <c r="AV6" s="30" t="s">
        <v>97</v>
      </c>
      <c r="AW6" s="30" t="s">
        <v>98</v>
      </c>
      <c r="AX6" s="30" t="s">
        <v>97</v>
      </c>
      <c r="AY6" s="30" t="s">
        <v>98</v>
      </c>
      <c r="AZ6" s="30" t="s">
        <v>97</v>
      </c>
      <c r="BA6" s="30" t="s">
        <v>98</v>
      </c>
      <c r="BB6" s="30" t="s">
        <v>97</v>
      </c>
      <c r="BC6" s="30" t="s">
        <v>98</v>
      </c>
    </row>
    <row r="7" spans="1:63" x14ac:dyDescent="0.3">
      <c r="A7" s="25" t="str">
        <f t="shared" si="3"/>
        <v>승-8513</v>
      </c>
      <c r="B7" s="38" t="s">
        <v>5</v>
      </c>
      <c r="C7" s="25" t="s">
        <v>115</v>
      </c>
      <c r="D7" s="25" t="str">
        <f t="shared" si="4"/>
        <v>760423-1******</v>
      </c>
      <c r="E7" s="1">
        <f t="shared" si="5"/>
        <v>27873</v>
      </c>
      <c r="F7" s="25">
        <f t="shared" si="6"/>
        <v>1976</v>
      </c>
      <c r="G7" s="25">
        <f t="shared" si="7"/>
        <v>4</v>
      </c>
      <c r="H7" s="25">
        <f t="shared" si="8"/>
        <v>23</v>
      </c>
      <c r="I7" s="25">
        <f t="shared" ca="1" si="9"/>
        <v>43</v>
      </c>
      <c r="J7" s="25" t="str">
        <f t="shared" si="10"/>
        <v>남</v>
      </c>
      <c r="K7" s="4" t="s">
        <v>183</v>
      </c>
      <c r="L7" s="29" t="str">
        <f t="shared" si="11"/>
        <v>010-****-8513</v>
      </c>
      <c r="M7" s="1">
        <v>37216</v>
      </c>
      <c r="N7" s="29">
        <v>18</v>
      </c>
      <c r="O7" s="29">
        <f t="shared" ca="1" si="1"/>
        <v>0</v>
      </c>
      <c r="P7" s="29">
        <f t="shared" ca="1" si="2"/>
        <v>4</v>
      </c>
      <c r="Q7" s="1">
        <v>40836</v>
      </c>
      <c r="R7" s="35" t="str">
        <f t="shared" si="12"/>
        <v>목</v>
      </c>
      <c r="S7" s="25"/>
      <c r="T7" s="25"/>
      <c r="U7" s="25"/>
      <c r="V7" s="25"/>
      <c r="W7" s="25"/>
      <c r="X7" s="25"/>
      <c r="Y7" s="25"/>
      <c r="Z7" s="25">
        <f t="shared" si="13"/>
        <v>0</v>
      </c>
      <c r="AA7" s="25">
        <f t="shared" si="14"/>
        <v>33</v>
      </c>
      <c r="AB7" s="25">
        <f t="shared" si="15"/>
        <v>41.5</v>
      </c>
      <c r="AC7" s="25" t="b">
        <f t="shared" si="16"/>
        <v>0</v>
      </c>
      <c r="AD7" s="25">
        <f t="shared" si="17"/>
        <v>5</v>
      </c>
      <c r="AE7" s="9" t="str">
        <f t="shared" si="18"/>
        <v>D</v>
      </c>
      <c r="AF7" s="41" t="str">
        <f t="shared" si="19"/>
        <v>-</v>
      </c>
      <c r="AG7" s="42" t="str">
        <f t="shared" si="20"/>
        <v>TRY</v>
      </c>
      <c r="AH7" s="25">
        <f>INDEX(혜택포인트!$B$3:$F$6,MATCH(AG7,혜택포인트!$A$3:$A$6,0),MATCH(N7,혜택포인트!$B$2:$F$2,1))</f>
        <v>7.0000000000000007E-2</v>
      </c>
      <c r="AJ7" s="28" t="s">
        <v>87</v>
      </c>
      <c r="AK7" s="28" t="s">
        <v>88</v>
      </c>
      <c r="AL7" s="28" t="s">
        <v>89</v>
      </c>
      <c r="AM7" s="28" t="s">
        <v>90</v>
      </c>
      <c r="AN7" s="28" t="s">
        <v>91</v>
      </c>
      <c r="AO7" s="28" t="s">
        <v>92</v>
      </c>
      <c r="AP7" s="26" t="s">
        <v>93</v>
      </c>
      <c r="AQ7" s="28" t="s">
        <v>87</v>
      </c>
      <c r="AR7" s="28">
        <f>COUNTIF($AF$5:$AF$54,"="&amp;$AQ7)</f>
        <v>6</v>
      </c>
      <c r="AS7" s="28">
        <f>SUMIF($AF$5:$AF$54,"="&amp;S$4,S$5:S$54)</f>
        <v>320</v>
      </c>
      <c r="AT7" s="28">
        <f>ROUND(AVERAGEIF($AF$5:$AF$54,"="&amp;S$4,S$5:S$54),2)</f>
        <v>53.33</v>
      </c>
      <c r="AU7" s="30" t="s">
        <v>87</v>
      </c>
      <c r="AV7" s="30">
        <f>COUNTIFS($AF$5:$AF$54,"="&amp;$AU7, $AG$5:$AG$54,"="&amp;$AV$5,$J$5:$J$54, "="&amp;AV$6)</f>
        <v>1</v>
      </c>
      <c r="AW7" s="30">
        <f>COUNTIFS($AF$5:$AF$54,"="&amp;$AU7, $AG$5:$AG$54,"="&amp;$AV$5,$J$5:$J$54, "="&amp;AW$6)</f>
        <v>0</v>
      </c>
      <c r="AX7" s="30">
        <f>COUNTIFS($AF$5:$AF$54,"="&amp;$AU7, $AG$5:$AG$54,"="&amp;$AX$5,$J$5:$J$54, "="&amp;AX$6)</f>
        <v>0</v>
      </c>
      <c r="AY7" s="30">
        <f>COUNTIFS($AF$5:$AF$54,"="&amp;$AU7, $AG$5:$AG$54,"="&amp;$AX$5,$J$5:$J$54, "="&amp;AY$6)</f>
        <v>1</v>
      </c>
      <c r="AZ7" s="30">
        <f>COUNTIFS($AF$5:$AF$54,"="&amp;$AU7, $AG$5:$AG$54,"="&amp;$AZ$5,$J$5:$J$54, "="&amp;AZ$6)</f>
        <v>0</v>
      </c>
      <c r="BA7" s="30">
        <f>COUNTIFS($AF$5:$AF$54,"="&amp;$AU7, $AG$5:$AG$54,"="&amp;$AZ$5,$J$5:$J$54, "="&amp;BA$6)</f>
        <v>3</v>
      </c>
      <c r="BB7" s="30">
        <f>COUNTIFS($AF$5:$AF$54,"="&amp;$AU7, $AG$5:$AG$54,"="&amp;$BB$5,$J$5:$J$54, "="&amp;BB$6)</f>
        <v>1</v>
      </c>
      <c r="BC7" s="30">
        <f>COUNTIFS($AF$5:$AF$54,"="&amp;$AU7, $AG$5:$AG$54,"="&amp;$BB$5,$J$5:$J$54, "="&amp;BC$6)</f>
        <v>0</v>
      </c>
    </row>
    <row r="8" spans="1:63" x14ac:dyDescent="0.3">
      <c r="A8" s="25" t="str">
        <f t="shared" si="3"/>
        <v>제-8211</v>
      </c>
      <c r="B8" s="38" t="s">
        <v>6</v>
      </c>
      <c r="C8" s="25" t="s">
        <v>116</v>
      </c>
      <c r="D8" s="25" t="str">
        <f t="shared" si="4"/>
        <v>910910-1******</v>
      </c>
      <c r="E8" s="1">
        <f t="shared" si="5"/>
        <v>33491</v>
      </c>
      <c r="F8" s="25">
        <f t="shared" si="6"/>
        <v>1991</v>
      </c>
      <c r="G8" s="25">
        <f t="shared" si="7"/>
        <v>9</v>
      </c>
      <c r="H8" s="25">
        <f t="shared" si="8"/>
        <v>10</v>
      </c>
      <c r="I8" s="25">
        <f t="shared" ca="1" si="9"/>
        <v>28</v>
      </c>
      <c r="J8" s="25" t="str">
        <f t="shared" si="10"/>
        <v>남</v>
      </c>
      <c r="K8" s="4" t="s">
        <v>184</v>
      </c>
      <c r="L8" s="29" t="str">
        <f t="shared" si="11"/>
        <v>010-****-8211</v>
      </c>
      <c r="M8" s="1">
        <v>42081</v>
      </c>
      <c r="N8" s="29">
        <v>4</v>
      </c>
      <c r="O8" s="29">
        <f t="shared" ca="1" si="1"/>
        <v>8</v>
      </c>
      <c r="P8" s="29">
        <f t="shared" ca="1" si="2"/>
        <v>7</v>
      </c>
      <c r="Q8" s="1">
        <v>43459</v>
      </c>
      <c r="R8" s="33" t="str">
        <f t="shared" si="12"/>
        <v>화</v>
      </c>
      <c r="S8" s="25"/>
      <c r="T8" s="25"/>
      <c r="U8" s="25"/>
      <c r="V8" s="25"/>
      <c r="W8" s="25"/>
      <c r="X8" s="25"/>
      <c r="Y8" s="25"/>
      <c r="Z8" s="25">
        <f t="shared" si="13"/>
        <v>0</v>
      </c>
      <c r="AA8" s="25">
        <f t="shared" si="14"/>
        <v>33</v>
      </c>
      <c r="AB8" s="25">
        <f t="shared" si="15"/>
        <v>41.5</v>
      </c>
      <c r="AC8" s="25" t="b">
        <f t="shared" si="16"/>
        <v>0</v>
      </c>
      <c r="AD8" s="25">
        <f t="shared" si="17"/>
        <v>5</v>
      </c>
      <c r="AE8" s="9" t="str">
        <f t="shared" si="18"/>
        <v>D</v>
      </c>
      <c r="AF8" s="41" t="str">
        <f t="shared" si="19"/>
        <v>-</v>
      </c>
      <c r="AG8" s="42" t="str">
        <f t="shared" si="20"/>
        <v>TRY</v>
      </c>
      <c r="AH8" s="25">
        <f>INDEX(혜택포인트!$B$3:$F$6,MATCH(AG8,혜택포인트!$A$3:$A$6,0),MATCH(N8,혜택포인트!$B$2:$F$2,1))</f>
        <v>0</v>
      </c>
      <c r="AQ8" s="28" t="s">
        <v>88</v>
      </c>
      <c r="AR8" s="28">
        <f t="shared" ref="AR8:AR14" si="21">COUNTIF($AF$5:$AF$54,"="&amp;$AQ8)</f>
        <v>6</v>
      </c>
      <c r="AS8" s="28">
        <f>SUMIF($AF$5:$AF$54,"="&amp;T$4,T$5:T$54)</f>
        <v>253</v>
      </c>
      <c r="AT8" s="28">
        <f>ROUND(AVERAGEIF($AF$5:$AF$54,"="&amp;T$4,T$5:T$54),2)</f>
        <v>42.17</v>
      </c>
      <c r="AU8" s="30" t="s">
        <v>88</v>
      </c>
      <c r="AV8" s="30">
        <f t="shared" ref="AV8:AW13" si="22">COUNTIFS($AF$5:$AF$54,"="&amp;$AU8, $AG$5:$AG$54,"="&amp;$AV$5,$J$5:$J$54, "="&amp;AV$6)</f>
        <v>0</v>
      </c>
      <c r="AW8" s="30">
        <f t="shared" si="22"/>
        <v>0</v>
      </c>
      <c r="AX8" s="30">
        <f t="shared" ref="AX8:AY13" si="23">COUNTIFS($AF$5:$AF$54,"="&amp;$AU8, $AG$5:$AG$54,"="&amp;$AX$5,$J$5:$J$54, "="&amp;AX$6)</f>
        <v>1</v>
      </c>
      <c r="AY8" s="30">
        <f t="shared" si="23"/>
        <v>0</v>
      </c>
      <c r="AZ8" s="30">
        <f t="shared" ref="AZ8:BA13" si="24">COUNTIFS($AF$5:$AF$54,"="&amp;$AU8, $AG$5:$AG$54,"="&amp;$AZ$5,$J$5:$J$54, "="&amp;AZ$6)</f>
        <v>2</v>
      </c>
      <c r="BA8" s="30">
        <f t="shared" si="24"/>
        <v>0</v>
      </c>
      <c r="BB8" s="30">
        <f t="shared" ref="BB8:BC13" si="25">COUNTIFS($AF$5:$AF$54,"="&amp;$AU8, $AG$5:$AG$54,"="&amp;$BB$5,$J$5:$J$54, "="&amp;BB$6)</f>
        <v>1</v>
      </c>
      <c r="BC8" s="30">
        <f t="shared" si="25"/>
        <v>2</v>
      </c>
    </row>
    <row r="9" spans="1:63" x14ac:dyDescent="0.3">
      <c r="A9" s="25" t="str">
        <f t="shared" si="3"/>
        <v>주-0147</v>
      </c>
      <c r="B9" s="38" t="s">
        <v>7</v>
      </c>
      <c r="C9" s="25" t="s">
        <v>117</v>
      </c>
      <c r="D9" s="25" t="str">
        <f t="shared" si="4"/>
        <v>871205-2******</v>
      </c>
      <c r="E9" s="1">
        <f t="shared" si="5"/>
        <v>32116</v>
      </c>
      <c r="F9" s="25">
        <f t="shared" si="6"/>
        <v>1987</v>
      </c>
      <c r="G9" s="25">
        <f t="shared" si="7"/>
        <v>12</v>
      </c>
      <c r="H9" s="25">
        <f t="shared" si="8"/>
        <v>5</v>
      </c>
      <c r="I9" s="25">
        <f t="shared" ca="1" si="9"/>
        <v>31</v>
      </c>
      <c r="J9" s="25" t="str">
        <f t="shared" si="10"/>
        <v>여</v>
      </c>
      <c r="K9" s="4" t="s">
        <v>185</v>
      </c>
      <c r="L9" s="29" t="str">
        <f t="shared" si="11"/>
        <v>010-****-0147</v>
      </c>
      <c r="M9" s="1">
        <v>41509</v>
      </c>
      <c r="N9" s="29">
        <v>6</v>
      </c>
      <c r="O9" s="29">
        <f t="shared" ca="1" si="1"/>
        <v>3</v>
      </c>
      <c r="P9" s="29">
        <f t="shared" ca="1" si="2"/>
        <v>2</v>
      </c>
      <c r="Q9" s="1">
        <v>43653</v>
      </c>
      <c r="R9" s="31" t="str">
        <f t="shared" si="12"/>
        <v>일</v>
      </c>
      <c r="S9" s="25">
        <v>65</v>
      </c>
      <c r="T9" s="25"/>
      <c r="U9" s="25"/>
      <c r="V9" s="25"/>
      <c r="W9" s="25"/>
      <c r="X9" s="25"/>
      <c r="Y9" s="25"/>
      <c r="Z9" s="25">
        <f t="shared" si="13"/>
        <v>65</v>
      </c>
      <c r="AA9" s="25">
        <f t="shared" si="14"/>
        <v>16</v>
      </c>
      <c r="AB9" s="25">
        <f t="shared" si="15"/>
        <v>16.5</v>
      </c>
      <c r="AC9" s="25" t="b">
        <f t="shared" si="16"/>
        <v>0</v>
      </c>
      <c r="AD9" s="25">
        <f t="shared" si="17"/>
        <v>4</v>
      </c>
      <c r="AE9" s="9" t="str">
        <f t="shared" si="18"/>
        <v>D</v>
      </c>
      <c r="AF9" s="46" t="str">
        <f t="shared" si="19"/>
        <v>클래식</v>
      </c>
      <c r="AG9" s="47" t="str">
        <f t="shared" si="20"/>
        <v>ALMOST</v>
      </c>
      <c r="AH9" s="25">
        <f>INDEX(혜택포인트!$B$3:$F$6,MATCH(AG9,혜택포인트!$A$3:$A$6,0),MATCH(N9,혜택포인트!$B$2:$F$2,1))</f>
        <v>0.05</v>
      </c>
      <c r="AJ9" s="28">
        <v>1</v>
      </c>
      <c r="AK9" s="28" t="s">
        <v>97</v>
      </c>
      <c r="AQ9" s="28" t="s">
        <v>89</v>
      </c>
      <c r="AR9" s="28">
        <f t="shared" si="21"/>
        <v>0</v>
      </c>
      <c r="AS9" s="28">
        <f>SUMIF($AF$5:$AF$54,"="&amp;U$4,U$5:U$54)</f>
        <v>0</v>
      </c>
      <c r="AT9" s="28" t="e">
        <f>ROUND(AVERAGEIF($AF$5:$AF$54,"="&amp;U$4,U$5:U$54),2)</f>
        <v>#DIV/0!</v>
      </c>
      <c r="AU9" s="30" t="s">
        <v>89</v>
      </c>
      <c r="AV9" s="30">
        <f t="shared" si="22"/>
        <v>0</v>
      </c>
      <c r="AW9" s="30">
        <f t="shared" si="22"/>
        <v>0</v>
      </c>
      <c r="AX9" s="30">
        <f t="shared" si="23"/>
        <v>0</v>
      </c>
      <c r="AY9" s="30">
        <f t="shared" si="23"/>
        <v>0</v>
      </c>
      <c r="AZ9" s="30">
        <f t="shared" si="24"/>
        <v>0</v>
      </c>
      <c r="BA9" s="30">
        <f t="shared" si="24"/>
        <v>0</v>
      </c>
      <c r="BB9" s="30">
        <f t="shared" si="25"/>
        <v>0</v>
      </c>
      <c r="BC9" s="30">
        <f t="shared" si="25"/>
        <v>0</v>
      </c>
    </row>
    <row r="10" spans="1:63" x14ac:dyDescent="0.3">
      <c r="A10" s="25" t="str">
        <f t="shared" si="3"/>
        <v>승-4730</v>
      </c>
      <c r="B10" s="38" t="s">
        <v>8</v>
      </c>
      <c r="C10" s="25" t="s">
        <v>118</v>
      </c>
      <c r="D10" s="25" t="str">
        <f t="shared" si="4"/>
        <v>830619-2******</v>
      </c>
      <c r="E10" s="1">
        <f t="shared" si="5"/>
        <v>30486</v>
      </c>
      <c r="F10" s="25">
        <f t="shared" si="6"/>
        <v>1983</v>
      </c>
      <c r="G10" s="25">
        <f t="shared" si="7"/>
        <v>6</v>
      </c>
      <c r="H10" s="25">
        <f t="shared" si="8"/>
        <v>19</v>
      </c>
      <c r="I10" s="25">
        <f t="shared" ca="1" si="9"/>
        <v>36</v>
      </c>
      <c r="J10" s="25" t="str">
        <f t="shared" si="10"/>
        <v>여</v>
      </c>
      <c r="K10" s="4" t="s">
        <v>186</v>
      </c>
      <c r="L10" s="29" t="str">
        <f t="shared" si="11"/>
        <v>010-****-4730</v>
      </c>
      <c r="M10" s="1">
        <v>43570</v>
      </c>
      <c r="N10" s="29">
        <v>0</v>
      </c>
      <c r="O10" s="29">
        <f t="shared" ca="1" si="1"/>
        <v>7</v>
      </c>
      <c r="P10" s="29">
        <f t="shared" ca="1" si="2"/>
        <v>10</v>
      </c>
      <c r="Q10" s="1">
        <v>43693</v>
      </c>
      <c r="R10" s="37" t="str">
        <f t="shared" si="12"/>
        <v>금</v>
      </c>
      <c r="S10" s="25"/>
      <c r="T10" s="25"/>
      <c r="U10" s="25"/>
      <c r="V10" s="25"/>
      <c r="W10" s="25"/>
      <c r="X10" s="25">
        <v>104</v>
      </c>
      <c r="Y10" s="25"/>
      <c r="Z10" s="25">
        <f t="shared" si="13"/>
        <v>104</v>
      </c>
      <c r="AA10" s="25">
        <f t="shared" si="14"/>
        <v>10</v>
      </c>
      <c r="AB10" s="25">
        <f t="shared" si="15"/>
        <v>10</v>
      </c>
      <c r="AC10" s="25" t="b">
        <f t="shared" si="16"/>
        <v>1</v>
      </c>
      <c r="AD10" s="25">
        <f t="shared" si="17"/>
        <v>3</v>
      </c>
      <c r="AE10" s="9" t="str">
        <f t="shared" si="18"/>
        <v>B</v>
      </c>
      <c r="AF10" s="45" t="str">
        <f t="shared" si="19"/>
        <v>영화</v>
      </c>
      <c r="AG10" s="44" t="str">
        <f t="shared" si="20"/>
        <v>MANIA</v>
      </c>
      <c r="AH10" s="25">
        <f>INDEX(혜택포인트!$B$3:$F$6,MATCH(AG10,혜택포인트!$A$3:$A$6,0),MATCH(N10,혜택포인트!$B$2:$F$2,1))</f>
        <v>0.2</v>
      </c>
      <c r="AJ10" s="28">
        <v>2</v>
      </c>
      <c r="AK10" s="28" t="s">
        <v>98</v>
      </c>
      <c r="AQ10" s="28" t="s">
        <v>90</v>
      </c>
      <c r="AR10" s="28">
        <f t="shared" si="21"/>
        <v>2</v>
      </c>
      <c r="AS10" s="28">
        <f>SUMIF($AF$5:$AF$54,"="&amp;V$4,V$5:V$54)</f>
        <v>56</v>
      </c>
      <c r="AT10" s="28">
        <f>ROUND(AVERAGEIF($AF$5:$AF$54,"="&amp;V$4,V$5:V$54),2)</f>
        <v>28</v>
      </c>
      <c r="AU10" s="30" t="s">
        <v>90</v>
      </c>
      <c r="AV10" s="30">
        <f t="shared" si="22"/>
        <v>0</v>
      </c>
      <c r="AW10" s="30">
        <f t="shared" si="22"/>
        <v>0</v>
      </c>
      <c r="AX10" s="30">
        <f t="shared" si="23"/>
        <v>1</v>
      </c>
      <c r="AY10" s="30">
        <f t="shared" si="23"/>
        <v>0</v>
      </c>
      <c r="AZ10" s="30">
        <f t="shared" si="24"/>
        <v>0</v>
      </c>
      <c r="BA10" s="30">
        <f t="shared" si="24"/>
        <v>0</v>
      </c>
      <c r="BB10" s="30">
        <f t="shared" si="25"/>
        <v>1</v>
      </c>
      <c r="BC10" s="30">
        <f t="shared" si="25"/>
        <v>0</v>
      </c>
    </row>
    <row r="11" spans="1:63" x14ac:dyDescent="0.3">
      <c r="A11" s="25" t="str">
        <f t="shared" si="3"/>
        <v>선-7816</v>
      </c>
      <c r="B11" s="38" t="s">
        <v>9</v>
      </c>
      <c r="C11" s="25" t="s">
        <v>119</v>
      </c>
      <c r="D11" s="25" t="str">
        <f t="shared" si="4"/>
        <v>901106-1******</v>
      </c>
      <c r="E11" s="1">
        <f t="shared" si="5"/>
        <v>33183</v>
      </c>
      <c r="F11" s="25">
        <f t="shared" si="6"/>
        <v>1990</v>
      </c>
      <c r="G11" s="25">
        <f t="shared" si="7"/>
        <v>11</v>
      </c>
      <c r="H11" s="25">
        <f t="shared" si="8"/>
        <v>6</v>
      </c>
      <c r="I11" s="25">
        <f t="shared" ca="1" si="9"/>
        <v>29</v>
      </c>
      <c r="J11" s="25" t="str">
        <f t="shared" si="10"/>
        <v>남</v>
      </c>
      <c r="K11" s="4" t="s">
        <v>187</v>
      </c>
      <c r="L11" s="29" t="str">
        <f t="shared" si="11"/>
        <v>010-****-7816</v>
      </c>
      <c r="M11" s="1">
        <v>42560</v>
      </c>
      <c r="N11" s="29">
        <v>3</v>
      </c>
      <c r="O11" s="29">
        <f t="shared" ca="1" si="1"/>
        <v>4</v>
      </c>
      <c r="P11" s="29">
        <f t="shared" ca="1" si="2"/>
        <v>16</v>
      </c>
      <c r="Q11" s="1">
        <v>43719</v>
      </c>
      <c r="R11" s="34" t="str">
        <f t="shared" si="12"/>
        <v>수</v>
      </c>
      <c r="S11" s="25"/>
      <c r="T11" s="25"/>
      <c r="U11" s="25"/>
      <c r="V11" s="25">
        <v>16</v>
      </c>
      <c r="W11" s="25"/>
      <c r="X11" s="25">
        <v>15</v>
      </c>
      <c r="Y11" s="25"/>
      <c r="Z11" s="25">
        <f t="shared" si="13"/>
        <v>31</v>
      </c>
      <c r="AA11" s="25">
        <f t="shared" si="14"/>
        <v>23</v>
      </c>
      <c r="AB11" s="25">
        <f t="shared" si="15"/>
        <v>23</v>
      </c>
      <c r="AC11" s="25" t="b">
        <f t="shared" si="16"/>
        <v>0</v>
      </c>
      <c r="AD11" s="25">
        <f t="shared" si="17"/>
        <v>5</v>
      </c>
      <c r="AE11" s="9" t="str">
        <f t="shared" si="18"/>
        <v>D</v>
      </c>
      <c r="AF11" s="48" t="str">
        <f t="shared" si="19"/>
        <v>페스티벌</v>
      </c>
      <c r="AG11" s="42" t="str">
        <f t="shared" si="20"/>
        <v>TRY</v>
      </c>
      <c r="AH11" s="25">
        <f>INDEX(혜택포인트!$B$3:$F$6,MATCH(AG11,혜택포인트!$A$3:$A$6,0),MATCH(N11,혜택포인트!$B$2:$F$2,1))</f>
        <v>0</v>
      </c>
      <c r="AQ11" s="28" t="s">
        <v>91</v>
      </c>
      <c r="AR11" s="28">
        <f t="shared" si="21"/>
        <v>6</v>
      </c>
      <c r="AS11" s="28">
        <f>SUMIF($AF$5:$AF$54,"="&amp;W$4,W$5:W$54)</f>
        <v>184</v>
      </c>
      <c r="AT11" s="28">
        <f>ROUND(AVERAGEIF($AF$5:$AF$54,"="&amp;W$4,W$5:W$54),2)</f>
        <v>30.67</v>
      </c>
      <c r="AU11" s="30" t="s">
        <v>91</v>
      </c>
      <c r="AV11" s="30">
        <f t="shared" si="22"/>
        <v>1</v>
      </c>
      <c r="AW11" s="30">
        <f t="shared" si="22"/>
        <v>1</v>
      </c>
      <c r="AX11" s="30">
        <f t="shared" si="23"/>
        <v>0</v>
      </c>
      <c r="AY11" s="30">
        <f t="shared" si="23"/>
        <v>0</v>
      </c>
      <c r="AZ11" s="30">
        <f t="shared" si="24"/>
        <v>0</v>
      </c>
      <c r="BA11" s="30">
        <f t="shared" si="24"/>
        <v>0</v>
      </c>
      <c r="BB11" s="30">
        <f t="shared" si="25"/>
        <v>3</v>
      </c>
      <c r="BC11" s="30">
        <f t="shared" si="25"/>
        <v>1</v>
      </c>
    </row>
    <row r="12" spans="1:63" x14ac:dyDescent="0.3">
      <c r="A12" s="25" t="str">
        <f t="shared" si="3"/>
        <v>화-8317</v>
      </c>
      <c r="B12" s="38" t="s">
        <v>10</v>
      </c>
      <c r="C12" s="25" t="s">
        <v>120</v>
      </c>
      <c r="D12" s="25" t="str">
        <f t="shared" si="4"/>
        <v>740711-2******</v>
      </c>
      <c r="E12" s="1">
        <f t="shared" si="5"/>
        <v>27221</v>
      </c>
      <c r="F12" s="25">
        <f t="shared" si="6"/>
        <v>1974</v>
      </c>
      <c r="G12" s="25">
        <f t="shared" si="7"/>
        <v>7</v>
      </c>
      <c r="H12" s="25">
        <f t="shared" si="8"/>
        <v>11</v>
      </c>
      <c r="I12" s="25">
        <f t="shared" ca="1" si="9"/>
        <v>45</v>
      </c>
      <c r="J12" s="25" t="str">
        <f t="shared" si="10"/>
        <v>여</v>
      </c>
      <c r="K12" s="4" t="s">
        <v>188</v>
      </c>
      <c r="L12" s="29" t="str">
        <f t="shared" si="11"/>
        <v>010-****-8317</v>
      </c>
      <c r="M12" s="1">
        <v>36622</v>
      </c>
      <c r="N12" s="67">
        <v>19</v>
      </c>
      <c r="O12" s="29">
        <f t="shared" ca="1" si="1"/>
        <v>7</v>
      </c>
      <c r="P12" s="29">
        <f t="shared" ca="1" si="2"/>
        <v>19</v>
      </c>
      <c r="Q12" s="1">
        <v>43460</v>
      </c>
      <c r="R12" s="34" t="str">
        <f t="shared" si="12"/>
        <v>수</v>
      </c>
      <c r="S12" s="25"/>
      <c r="T12" s="25"/>
      <c r="U12" s="25"/>
      <c r="V12" s="25"/>
      <c r="W12" s="25"/>
      <c r="X12" s="25"/>
      <c r="Y12" s="25"/>
      <c r="Z12" s="25">
        <f t="shared" si="13"/>
        <v>0</v>
      </c>
      <c r="AA12" s="25">
        <f t="shared" si="14"/>
        <v>33</v>
      </c>
      <c r="AB12" s="25">
        <f t="shared" si="15"/>
        <v>41.5</v>
      </c>
      <c r="AC12" s="25" t="b">
        <f t="shared" si="16"/>
        <v>0</v>
      </c>
      <c r="AD12" s="25">
        <f t="shared" si="17"/>
        <v>5</v>
      </c>
      <c r="AE12" s="9" t="str">
        <f t="shared" si="18"/>
        <v>D</v>
      </c>
      <c r="AF12" s="41" t="str">
        <f t="shared" si="19"/>
        <v>-</v>
      </c>
      <c r="AG12" s="42" t="str">
        <f t="shared" si="20"/>
        <v>TRY</v>
      </c>
      <c r="AH12" s="25">
        <f>INDEX(혜택포인트!$B$3:$F$6,MATCH(AG12,혜택포인트!$A$3:$A$6,0),MATCH(N12,혜택포인트!$B$2:$F$2,1))</f>
        <v>7.0000000000000007E-2</v>
      </c>
      <c r="AJ12" s="28" t="s">
        <v>99</v>
      </c>
      <c r="AK12" s="28">
        <v>0</v>
      </c>
      <c r="AL12" s="28">
        <v>50</v>
      </c>
      <c r="AM12" s="28">
        <v>100</v>
      </c>
      <c r="AN12" s="28">
        <v>150</v>
      </c>
      <c r="AO12" s="28">
        <v>200</v>
      </c>
      <c r="AQ12" s="28" t="s">
        <v>92</v>
      </c>
      <c r="AR12" s="28">
        <f t="shared" si="21"/>
        <v>9</v>
      </c>
      <c r="AS12" s="28">
        <f>SUMIF($AF$5:$AF$54,"="&amp;X$4,X$5:X$54)</f>
        <v>677</v>
      </c>
      <c r="AT12" s="28">
        <f>ROUND(AVERAGEIF($AF$5:$AF$54,"="&amp;X$4,X$5:X$54),2)</f>
        <v>75.22</v>
      </c>
      <c r="AU12" s="30" t="s">
        <v>92</v>
      </c>
      <c r="AV12" s="30">
        <f t="shared" si="22"/>
        <v>3</v>
      </c>
      <c r="AW12" s="30">
        <f t="shared" si="22"/>
        <v>2</v>
      </c>
      <c r="AX12" s="30">
        <f t="shared" si="23"/>
        <v>0</v>
      </c>
      <c r="AY12" s="30">
        <f t="shared" si="23"/>
        <v>0</v>
      </c>
      <c r="AZ12" s="30">
        <f t="shared" si="24"/>
        <v>2</v>
      </c>
      <c r="BA12" s="30">
        <f t="shared" si="24"/>
        <v>0</v>
      </c>
      <c r="BB12" s="30">
        <f t="shared" si="25"/>
        <v>2</v>
      </c>
      <c r="BC12" s="30">
        <f t="shared" si="25"/>
        <v>0</v>
      </c>
    </row>
    <row r="13" spans="1:63" x14ac:dyDescent="0.3">
      <c r="A13" s="25" t="str">
        <f t="shared" si="3"/>
        <v>태-9510</v>
      </c>
      <c r="B13" s="38" t="s">
        <v>11</v>
      </c>
      <c r="C13" s="25" t="s">
        <v>121</v>
      </c>
      <c r="D13" s="25" t="str">
        <f t="shared" si="4"/>
        <v>881010-1******</v>
      </c>
      <c r="E13" s="1">
        <f t="shared" si="5"/>
        <v>32426</v>
      </c>
      <c r="F13" s="25">
        <f t="shared" si="6"/>
        <v>1988</v>
      </c>
      <c r="G13" s="25">
        <f t="shared" si="7"/>
        <v>10</v>
      </c>
      <c r="H13" s="25">
        <f t="shared" si="8"/>
        <v>10</v>
      </c>
      <c r="I13" s="25">
        <f t="shared" ca="1" si="9"/>
        <v>31</v>
      </c>
      <c r="J13" s="25" t="str">
        <f t="shared" si="10"/>
        <v>남</v>
      </c>
      <c r="K13" s="4" t="s">
        <v>189</v>
      </c>
      <c r="L13" s="29" t="str">
        <f t="shared" si="11"/>
        <v>010-****-9510</v>
      </c>
      <c r="M13" s="1">
        <v>40849</v>
      </c>
      <c r="N13" s="67">
        <v>8</v>
      </c>
      <c r="O13" s="29">
        <f t="shared" ca="1" si="1"/>
        <v>0</v>
      </c>
      <c r="P13" s="29">
        <f t="shared" ca="1" si="2"/>
        <v>23</v>
      </c>
      <c r="Q13" s="1">
        <v>43471</v>
      </c>
      <c r="R13" s="31" t="str">
        <f t="shared" si="12"/>
        <v>일</v>
      </c>
      <c r="S13" s="25"/>
      <c r="T13" s="25">
        <v>91</v>
      </c>
      <c r="U13" s="25"/>
      <c r="V13" s="25"/>
      <c r="W13" s="25"/>
      <c r="X13" s="25">
        <v>1</v>
      </c>
      <c r="Y13" s="25"/>
      <c r="Z13" s="25">
        <f t="shared" si="13"/>
        <v>92</v>
      </c>
      <c r="AA13" s="25">
        <f t="shared" si="14"/>
        <v>13</v>
      </c>
      <c r="AB13" s="25">
        <f t="shared" si="15"/>
        <v>13</v>
      </c>
      <c r="AC13" s="25" t="b">
        <f t="shared" si="16"/>
        <v>0</v>
      </c>
      <c r="AD13" s="25">
        <f t="shared" si="17"/>
        <v>4</v>
      </c>
      <c r="AE13" s="9" t="str">
        <f t="shared" si="18"/>
        <v>D</v>
      </c>
      <c r="AF13" s="39" t="str">
        <f t="shared" si="19"/>
        <v>콘서트</v>
      </c>
      <c r="AG13" s="47" t="str">
        <f t="shared" si="20"/>
        <v>ALMOST</v>
      </c>
      <c r="AH13" s="25">
        <f>INDEX(혜택포인트!$B$3:$F$6,MATCH(AG13,혜택포인트!$A$3:$A$6,0),MATCH(N13,혜택포인트!$B$2:$F$2,1))</f>
        <v>0.05</v>
      </c>
      <c r="AJ13" s="28" t="s">
        <v>100</v>
      </c>
      <c r="AK13" s="28">
        <v>5</v>
      </c>
      <c r="AL13" s="28">
        <v>4</v>
      </c>
      <c r="AM13" s="28">
        <v>3</v>
      </c>
      <c r="AN13" s="28">
        <v>2</v>
      </c>
      <c r="AO13" s="28">
        <v>1</v>
      </c>
      <c r="AQ13" s="28" t="s">
        <v>93</v>
      </c>
      <c r="AR13" s="28">
        <f t="shared" si="21"/>
        <v>3</v>
      </c>
      <c r="AS13" s="28">
        <f>SUMIF($AF$5:$AF$54,"="&amp;Y$4,Y$5:Y$54)</f>
        <v>103</v>
      </c>
      <c r="AT13" s="28">
        <f>ROUND(AVERAGEIF($AF$5:$AF$54,"="&amp;Y$4,Y$5:Y$54),2)</f>
        <v>34.33</v>
      </c>
      <c r="AU13" s="30" t="s">
        <v>93</v>
      </c>
      <c r="AV13" s="30">
        <f t="shared" si="22"/>
        <v>1</v>
      </c>
      <c r="AW13" s="30">
        <f t="shared" si="22"/>
        <v>0</v>
      </c>
      <c r="AX13" s="30">
        <f t="shared" si="23"/>
        <v>0</v>
      </c>
      <c r="AY13" s="30">
        <f t="shared" si="23"/>
        <v>0</v>
      </c>
      <c r="AZ13" s="30">
        <f t="shared" si="24"/>
        <v>0</v>
      </c>
      <c r="BA13" s="30">
        <f t="shared" si="24"/>
        <v>0</v>
      </c>
      <c r="BB13" s="30">
        <f t="shared" si="25"/>
        <v>1</v>
      </c>
      <c r="BC13" s="30">
        <f t="shared" si="25"/>
        <v>1</v>
      </c>
    </row>
    <row r="14" spans="1:63" x14ac:dyDescent="0.3">
      <c r="A14" s="25" t="str">
        <f t="shared" si="3"/>
        <v>명-7432</v>
      </c>
      <c r="B14" s="38" t="s">
        <v>12</v>
      </c>
      <c r="C14" s="25" t="s">
        <v>122</v>
      </c>
      <c r="D14" s="25" t="str">
        <f t="shared" si="4"/>
        <v>930425-1******</v>
      </c>
      <c r="E14" s="1">
        <f t="shared" si="5"/>
        <v>34084</v>
      </c>
      <c r="F14" s="25">
        <f t="shared" si="6"/>
        <v>1993</v>
      </c>
      <c r="G14" s="25">
        <f t="shared" si="7"/>
        <v>4</v>
      </c>
      <c r="H14" s="25">
        <f t="shared" si="8"/>
        <v>25</v>
      </c>
      <c r="I14" s="25">
        <f t="shared" ca="1" si="9"/>
        <v>26</v>
      </c>
      <c r="J14" s="25" t="str">
        <f t="shared" si="10"/>
        <v>남</v>
      </c>
      <c r="K14" s="4" t="s">
        <v>190</v>
      </c>
      <c r="L14" s="29" t="str">
        <f t="shared" si="11"/>
        <v>010-****-7432</v>
      </c>
      <c r="M14" s="1">
        <v>43184</v>
      </c>
      <c r="N14" s="67">
        <v>1</v>
      </c>
      <c r="O14" s="29">
        <f t="shared" ca="1" si="1"/>
        <v>8</v>
      </c>
      <c r="P14" s="29">
        <f t="shared" ca="1" si="2"/>
        <v>0</v>
      </c>
      <c r="Q14" s="1">
        <v>42805</v>
      </c>
      <c r="R14" s="36" t="str">
        <f t="shared" si="12"/>
        <v>토</v>
      </c>
      <c r="S14" s="25"/>
      <c r="T14" s="25"/>
      <c r="U14" s="25"/>
      <c r="V14" s="25"/>
      <c r="W14" s="25"/>
      <c r="X14" s="25"/>
      <c r="Y14" s="25"/>
      <c r="Z14" s="25">
        <f t="shared" si="13"/>
        <v>0</v>
      </c>
      <c r="AA14" s="25">
        <f t="shared" si="14"/>
        <v>33</v>
      </c>
      <c r="AB14" s="25">
        <f t="shared" si="15"/>
        <v>41.5</v>
      </c>
      <c r="AC14" s="25" t="b">
        <f t="shared" si="16"/>
        <v>0</v>
      </c>
      <c r="AD14" s="25">
        <f t="shared" si="17"/>
        <v>5</v>
      </c>
      <c r="AE14" s="9" t="str">
        <f t="shared" si="18"/>
        <v>D</v>
      </c>
      <c r="AF14" s="41" t="str">
        <f t="shared" si="19"/>
        <v>-</v>
      </c>
      <c r="AG14" s="42" t="str">
        <f t="shared" si="20"/>
        <v>TRY</v>
      </c>
      <c r="AH14" s="25">
        <f>INDEX(혜택포인트!$B$3:$F$6,MATCH(AG14,혜택포인트!$A$3:$A$6,0),MATCH(N14,혜택포인트!$B$2:$F$2,1))</f>
        <v>0</v>
      </c>
      <c r="AQ14" s="28" t="s">
        <v>112</v>
      </c>
      <c r="AR14" s="28">
        <f t="shared" si="21"/>
        <v>18</v>
      </c>
      <c r="AS14" s="28">
        <f>SUMIF($AF$5:$AF$54,"="&amp;AQ$14,Z$5:Z$54)</f>
        <v>0</v>
      </c>
      <c r="AT14" s="26" t="e">
        <f>ROUND(AVERAGEIF($AF$5:$AF$54,"="&amp;Z$4,Z$5:Z$54),2)</f>
        <v>#DIV/0!</v>
      </c>
    </row>
    <row r="15" spans="1:63" x14ac:dyDescent="0.3">
      <c r="A15" s="25" t="str">
        <f t="shared" si="3"/>
        <v>웅-8139</v>
      </c>
      <c r="B15" s="38" t="s">
        <v>13</v>
      </c>
      <c r="C15" s="25" t="s">
        <v>123</v>
      </c>
      <c r="D15" s="25" t="str">
        <f t="shared" si="4"/>
        <v>790223-1******</v>
      </c>
      <c r="E15" s="1">
        <f t="shared" si="5"/>
        <v>28909</v>
      </c>
      <c r="F15" s="25">
        <f t="shared" si="6"/>
        <v>1979</v>
      </c>
      <c r="G15" s="25">
        <f t="shared" si="7"/>
        <v>2</v>
      </c>
      <c r="H15" s="25">
        <f t="shared" si="8"/>
        <v>23</v>
      </c>
      <c r="I15" s="25">
        <f t="shared" ca="1" si="9"/>
        <v>40</v>
      </c>
      <c r="J15" s="25" t="str">
        <f t="shared" si="10"/>
        <v>남</v>
      </c>
      <c r="K15" s="4" t="s">
        <v>191</v>
      </c>
      <c r="L15" s="29" t="str">
        <f t="shared" si="11"/>
        <v>010-****-8139</v>
      </c>
      <c r="M15" s="1">
        <v>41955</v>
      </c>
      <c r="N15" s="67">
        <v>5</v>
      </c>
      <c r="O15" s="29">
        <f t="shared" ca="1" si="1"/>
        <v>0</v>
      </c>
      <c r="P15" s="29">
        <f t="shared" ca="1" si="2"/>
        <v>13</v>
      </c>
      <c r="Q15" s="1">
        <v>43622</v>
      </c>
      <c r="R15" s="35" t="str">
        <f t="shared" si="12"/>
        <v>목</v>
      </c>
      <c r="S15" s="25"/>
      <c r="T15" s="25"/>
      <c r="U15" s="25"/>
      <c r="V15" s="25"/>
      <c r="W15" s="25"/>
      <c r="X15" s="25">
        <v>163</v>
      </c>
      <c r="Y15" s="25">
        <v>3</v>
      </c>
      <c r="Z15" s="25">
        <f t="shared" si="13"/>
        <v>166</v>
      </c>
      <c r="AA15" s="25">
        <f t="shared" si="14"/>
        <v>3</v>
      </c>
      <c r="AB15" s="25">
        <f t="shared" si="15"/>
        <v>3</v>
      </c>
      <c r="AC15" s="25" t="b">
        <f t="shared" si="16"/>
        <v>1</v>
      </c>
      <c r="AD15" s="25">
        <f t="shared" si="17"/>
        <v>2</v>
      </c>
      <c r="AE15" s="9" t="str">
        <f t="shared" si="18"/>
        <v>A</v>
      </c>
      <c r="AF15" s="45" t="str">
        <f t="shared" si="19"/>
        <v>영화</v>
      </c>
      <c r="AG15" s="44" t="str">
        <f t="shared" si="20"/>
        <v>MANIA</v>
      </c>
      <c r="AH15" s="25">
        <f>INDEX(혜택포인트!$B$3:$F$6,MATCH(AG15,혜택포인트!$A$3:$A$6,0),MATCH(N15,혜택포인트!$B$2:$F$2,1))</f>
        <v>0.25</v>
      </c>
      <c r="AJ15" s="28" t="s">
        <v>99</v>
      </c>
      <c r="AK15" s="28" t="s">
        <v>100</v>
      </c>
      <c r="AU15" s="52" t="s">
        <v>218</v>
      </c>
      <c r="AV15" s="54">
        <v>20</v>
      </c>
      <c r="AW15" s="56"/>
      <c r="AX15" s="56"/>
      <c r="AY15" s="55"/>
      <c r="AZ15" s="54">
        <v>30</v>
      </c>
      <c r="BA15" s="56"/>
      <c r="BB15" s="56"/>
      <c r="BC15" s="55"/>
      <c r="BD15" s="54">
        <v>40</v>
      </c>
      <c r="BE15" s="56"/>
      <c r="BF15" s="56"/>
      <c r="BG15" s="55"/>
      <c r="BH15" s="54">
        <v>50</v>
      </c>
      <c r="BI15" s="56"/>
      <c r="BJ15" s="56"/>
      <c r="BK15" s="55"/>
    </row>
    <row r="16" spans="1:63" x14ac:dyDescent="0.3">
      <c r="A16" s="25" t="str">
        <f t="shared" si="3"/>
        <v>혜-3014</v>
      </c>
      <c r="B16" s="38" t="s">
        <v>14</v>
      </c>
      <c r="C16" s="25" t="s">
        <v>124</v>
      </c>
      <c r="D16" s="25" t="str">
        <f t="shared" si="4"/>
        <v>850118-2******</v>
      </c>
      <c r="E16" s="1">
        <f t="shared" si="5"/>
        <v>31065</v>
      </c>
      <c r="F16" s="25">
        <f t="shared" si="6"/>
        <v>1985</v>
      </c>
      <c r="G16" s="25">
        <f t="shared" si="7"/>
        <v>1</v>
      </c>
      <c r="H16" s="25">
        <f t="shared" si="8"/>
        <v>18</v>
      </c>
      <c r="I16" s="25">
        <f t="shared" ca="1" si="9"/>
        <v>34</v>
      </c>
      <c r="J16" s="25" t="str">
        <f t="shared" si="10"/>
        <v>여</v>
      </c>
      <c r="K16" s="4" t="s">
        <v>192</v>
      </c>
      <c r="L16" s="29" t="str">
        <f t="shared" si="11"/>
        <v>010-****-3014</v>
      </c>
      <c r="M16" s="1">
        <v>40089</v>
      </c>
      <c r="N16" s="67">
        <v>10</v>
      </c>
      <c r="O16" s="29">
        <f t="shared" ca="1" si="1"/>
        <v>1</v>
      </c>
      <c r="P16" s="29">
        <f t="shared" ca="1" si="2"/>
        <v>22</v>
      </c>
      <c r="Q16" s="1">
        <v>43376</v>
      </c>
      <c r="R16" s="34" t="str">
        <f t="shared" si="12"/>
        <v>수</v>
      </c>
      <c r="S16" s="25"/>
      <c r="T16" s="25"/>
      <c r="U16" s="25"/>
      <c r="V16" s="25"/>
      <c r="W16" s="25"/>
      <c r="X16" s="25"/>
      <c r="Y16" s="25"/>
      <c r="Z16" s="25">
        <f t="shared" si="13"/>
        <v>0</v>
      </c>
      <c r="AA16" s="25">
        <f t="shared" si="14"/>
        <v>33</v>
      </c>
      <c r="AB16" s="25">
        <f t="shared" si="15"/>
        <v>41.5</v>
      </c>
      <c r="AC16" s="25" t="b">
        <f t="shared" si="16"/>
        <v>0</v>
      </c>
      <c r="AD16" s="25">
        <f t="shared" si="17"/>
        <v>5</v>
      </c>
      <c r="AE16" s="9" t="str">
        <f t="shared" si="18"/>
        <v>D</v>
      </c>
      <c r="AF16" s="41" t="str">
        <f t="shared" si="19"/>
        <v>-</v>
      </c>
      <c r="AG16" s="42" t="str">
        <f t="shared" si="20"/>
        <v>TRY</v>
      </c>
      <c r="AH16" s="25">
        <f>INDEX(혜택포인트!$B$3:$F$6,MATCH(AG16,혜택포인트!$A$3:$A$6,0),MATCH(N16,혜택포인트!$B$2:$F$2,1))</f>
        <v>0.03</v>
      </c>
      <c r="AJ16" s="28">
        <v>0</v>
      </c>
      <c r="AK16" s="28" t="s">
        <v>102</v>
      </c>
      <c r="AQ16" s="28" t="s">
        <v>94</v>
      </c>
      <c r="AR16" s="28" t="s">
        <v>110</v>
      </c>
      <c r="AS16" s="28" t="s">
        <v>76</v>
      </c>
      <c r="AT16" s="26" t="s">
        <v>79</v>
      </c>
      <c r="AU16" s="53"/>
      <c r="AV16" s="30" t="s">
        <v>174</v>
      </c>
      <c r="AW16" s="30" t="s">
        <v>175</v>
      </c>
      <c r="AX16" s="30" t="s">
        <v>176</v>
      </c>
      <c r="AY16" s="30" t="s">
        <v>177</v>
      </c>
      <c r="AZ16" s="30" t="s">
        <v>174</v>
      </c>
      <c r="BA16" s="30" t="s">
        <v>175</v>
      </c>
      <c r="BB16" s="30" t="s">
        <v>176</v>
      </c>
      <c r="BC16" s="30" t="s">
        <v>177</v>
      </c>
      <c r="BD16" s="30" t="s">
        <v>174</v>
      </c>
      <c r="BE16" s="30" t="s">
        <v>175</v>
      </c>
      <c r="BF16" s="30" t="s">
        <v>176</v>
      </c>
      <c r="BG16" s="30" t="s">
        <v>177</v>
      </c>
      <c r="BH16" s="30" t="s">
        <v>174</v>
      </c>
      <c r="BI16" s="30" t="s">
        <v>175</v>
      </c>
      <c r="BJ16" s="30" t="s">
        <v>176</v>
      </c>
      <c r="BK16" s="30" t="s">
        <v>177</v>
      </c>
    </row>
    <row r="17" spans="1:63" x14ac:dyDescent="0.3">
      <c r="A17" s="25" t="str">
        <f t="shared" si="3"/>
        <v>근-9910</v>
      </c>
      <c r="B17" s="38" t="s">
        <v>15</v>
      </c>
      <c r="C17" s="25" t="s">
        <v>125</v>
      </c>
      <c r="D17" s="25" t="str">
        <f t="shared" si="4"/>
        <v>780922-1******</v>
      </c>
      <c r="E17" s="1">
        <f t="shared" si="5"/>
        <v>28755</v>
      </c>
      <c r="F17" s="25">
        <f t="shared" si="6"/>
        <v>1978</v>
      </c>
      <c r="G17" s="25">
        <f t="shared" si="7"/>
        <v>9</v>
      </c>
      <c r="H17" s="25">
        <f t="shared" si="8"/>
        <v>22</v>
      </c>
      <c r="I17" s="25">
        <f t="shared" ca="1" si="9"/>
        <v>41</v>
      </c>
      <c r="J17" s="25" t="str">
        <f t="shared" si="10"/>
        <v>남</v>
      </c>
      <c r="K17" s="4" t="s">
        <v>193</v>
      </c>
      <c r="L17" s="29" t="str">
        <f t="shared" si="11"/>
        <v>010-****-9910</v>
      </c>
      <c r="M17" s="1">
        <v>39668</v>
      </c>
      <c r="N17" s="67">
        <v>11</v>
      </c>
      <c r="O17" s="29">
        <f t="shared" ca="1" si="1"/>
        <v>3</v>
      </c>
      <c r="P17" s="29">
        <f t="shared" ca="1" si="2"/>
        <v>17</v>
      </c>
      <c r="Q17" s="1">
        <v>43498</v>
      </c>
      <c r="R17" s="36" t="str">
        <f t="shared" si="12"/>
        <v>토</v>
      </c>
      <c r="S17" s="25">
        <v>41</v>
      </c>
      <c r="T17" s="25">
        <v>46</v>
      </c>
      <c r="U17" s="25">
        <v>42</v>
      </c>
      <c r="V17" s="25"/>
      <c r="W17" s="25"/>
      <c r="X17" s="25"/>
      <c r="Y17" s="25"/>
      <c r="Z17" s="25">
        <f t="shared" si="13"/>
        <v>129</v>
      </c>
      <c r="AA17" s="25">
        <f t="shared" si="14"/>
        <v>5</v>
      </c>
      <c r="AB17" s="25">
        <f t="shared" si="15"/>
        <v>5</v>
      </c>
      <c r="AC17" s="25" t="b">
        <f t="shared" si="16"/>
        <v>0</v>
      </c>
      <c r="AD17" s="25">
        <f t="shared" si="17"/>
        <v>3</v>
      </c>
      <c r="AE17" s="9" t="str">
        <f t="shared" si="18"/>
        <v>D</v>
      </c>
      <c r="AF17" s="39" t="str">
        <f t="shared" si="19"/>
        <v>콘서트</v>
      </c>
      <c r="AG17" s="40" t="str">
        <f t="shared" si="20"/>
        <v>HOBBY</v>
      </c>
      <c r="AH17" s="25">
        <f>INDEX(혜택포인트!$B$3:$F$6,MATCH(AG17,혜택포인트!$A$3:$A$6,0),MATCH(N17,혜택포인트!$B$2:$F$2,1))</f>
        <v>0.2</v>
      </c>
      <c r="AJ17" s="28">
        <v>50</v>
      </c>
      <c r="AK17" s="28" t="s">
        <v>103</v>
      </c>
      <c r="AQ17" s="28" t="s">
        <v>97</v>
      </c>
      <c r="AR17" s="28">
        <f>COUNTIF($J$5:$J$54, "="&amp;$AQ$17)</f>
        <v>29</v>
      </c>
      <c r="AS17" s="28">
        <f>SUMIF($J$5:$J$54,"="&amp;$AQ$17,$Z$5:$Z$54)</f>
        <v>1557</v>
      </c>
      <c r="AT17" s="26">
        <f>ROUND(AVERAGEIF($J$5:$J$54,"="&amp;$AQ$17,$Z$5:$Z$54),2)</f>
        <v>53.69</v>
      </c>
      <c r="AU17" s="30" t="s">
        <v>87</v>
      </c>
      <c r="AV17" s="30">
        <f t="shared" ref="AV17:AY23" ca="1" si="26">COUNTIFS($AF$5:$AF$54,"="&amp;$AU17, $AG$5:$AG$54,"="&amp;AV$16,$I$5:$I$54,"&gt;="&amp;$AV$15,$I$5:$I$54,"&lt;"&amp;$AZ$15)</f>
        <v>0</v>
      </c>
      <c r="AW17" s="30">
        <f t="shared" ca="1" si="26"/>
        <v>0</v>
      </c>
      <c r="AX17" s="30">
        <f t="shared" ca="1" si="26"/>
        <v>0</v>
      </c>
      <c r="AY17" s="30">
        <f t="shared" ca="1" si="26"/>
        <v>0</v>
      </c>
      <c r="AZ17" s="30">
        <f t="shared" ref="AZ17:BC23" ca="1" si="27">COUNTIFS($AF$5:$AF$54,"="&amp;$AU17, $AG$5:$AG$54,"="&amp;AZ$16,$I$5:$I$54,"&gt;="&amp;$AZ$15,$I$5:$I$54,"&lt;"&amp;$BD$15)</f>
        <v>0</v>
      </c>
      <c r="BA17" s="30">
        <f t="shared" ca="1" si="27"/>
        <v>0</v>
      </c>
      <c r="BB17" s="30">
        <f t="shared" ca="1" si="27"/>
        <v>3</v>
      </c>
      <c r="BC17" s="30">
        <f t="shared" ca="1" si="27"/>
        <v>0</v>
      </c>
      <c r="BD17" s="30">
        <f t="shared" ref="BD17:BG23" ca="1" si="28">COUNTIFS($AF$5:$AF$54,"="&amp;$AU17, $AG$5:$AG$54,"="&amp;BD$16,$I$5:$I$54,"&gt;="&amp;$BD$15,$I$5:$I$54,"&lt;"&amp;$BH$15)</f>
        <v>1</v>
      </c>
      <c r="BE17" s="30">
        <f t="shared" ca="1" si="28"/>
        <v>1</v>
      </c>
      <c r="BF17" s="30">
        <f t="shared" ca="1" si="28"/>
        <v>0</v>
      </c>
      <c r="BG17" s="30">
        <f t="shared" ca="1" si="28"/>
        <v>1</v>
      </c>
      <c r="BH17" s="30">
        <f t="shared" ref="BH17:BK23" ca="1" si="29">COUNTIFS($AF$5:$AF$54,"="&amp;$AU17, $AG$5:$AG$54,"="&amp;BH$16,$I$5:$I$54,"&gt;="&amp;$BH$15)</f>
        <v>0</v>
      </c>
      <c r="BI17" s="30">
        <f t="shared" ca="1" si="29"/>
        <v>0</v>
      </c>
      <c r="BJ17" s="30">
        <f t="shared" ca="1" si="29"/>
        <v>0</v>
      </c>
      <c r="BK17" s="30">
        <f t="shared" ca="1" si="29"/>
        <v>0</v>
      </c>
    </row>
    <row r="18" spans="1:63" x14ac:dyDescent="0.3">
      <c r="A18" s="25" t="str">
        <f t="shared" si="3"/>
        <v>현-8410</v>
      </c>
      <c r="B18" s="38" t="s">
        <v>16</v>
      </c>
      <c r="C18" s="25" t="s">
        <v>126</v>
      </c>
      <c r="D18" s="25" t="str">
        <f t="shared" si="4"/>
        <v>860723-1******</v>
      </c>
      <c r="E18" s="1">
        <f t="shared" si="5"/>
        <v>31616</v>
      </c>
      <c r="F18" s="25">
        <f t="shared" si="6"/>
        <v>1986</v>
      </c>
      <c r="G18" s="25">
        <f t="shared" si="7"/>
        <v>7</v>
      </c>
      <c r="H18" s="25">
        <f t="shared" si="8"/>
        <v>23</v>
      </c>
      <c r="I18" s="25">
        <f t="shared" ca="1" si="9"/>
        <v>33</v>
      </c>
      <c r="J18" s="25" t="str">
        <f t="shared" si="10"/>
        <v>남</v>
      </c>
      <c r="K18" s="4" t="s">
        <v>194</v>
      </c>
      <c r="L18" s="29" t="str">
        <f t="shared" si="11"/>
        <v>010-****-8410</v>
      </c>
      <c r="M18" s="1">
        <v>40361</v>
      </c>
      <c r="N18" s="67">
        <v>9</v>
      </c>
      <c r="O18" s="29">
        <f t="shared" ca="1" si="1"/>
        <v>4</v>
      </c>
      <c r="P18" s="29">
        <f t="shared" ca="1" si="2"/>
        <v>23</v>
      </c>
      <c r="Q18" s="1">
        <v>43748</v>
      </c>
      <c r="R18" s="35" t="str">
        <f t="shared" si="12"/>
        <v>목</v>
      </c>
      <c r="S18" s="25"/>
      <c r="T18" s="25">
        <v>35</v>
      </c>
      <c r="U18" s="25"/>
      <c r="V18" s="25">
        <v>40</v>
      </c>
      <c r="W18" s="25"/>
      <c r="X18" s="25">
        <v>25</v>
      </c>
      <c r="Y18" s="25"/>
      <c r="Z18" s="25">
        <f t="shared" si="13"/>
        <v>100</v>
      </c>
      <c r="AA18" s="25">
        <f t="shared" si="14"/>
        <v>11</v>
      </c>
      <c r="AB18" s="25">
        <f t="shared" si="15"/>
        <v>11.5</v>
      </c>
      <c r="AC18" s="25" t="b">
        <f t="shared" si="16"/>
        <v>0</v>
      </c>
      <c r="AD18" s="25">
        <f t="shared" si="17"/>
        <v>3</v>
      </c>
      <c r="AE18" s="9" t="str">
        <f t="shared" si="18"/>
        <v>D</v>
      </c>
      <c r="AF18" s="48" t="str">
        <f t="shared" si="19"/>
        <v>페스티벌</v>
      </c>
      <c r="AG18" s="40" t="str">
        <f t="shared" si="20"/>
        <v>HOBBY</v>
      </c>
      <c r="AH18" s="25">
        <f>INDEX(혜택포인트!$B$3:$F$6,MATCH(AG18,혜택포인트!$A$3:$A$6,0),MATCH(N18,혜택포인트!$B$2:$F$2,1))</f>
        <v>0.15</v>
      </c>
      <c r="AJ18" s="28">
        <v>100</v>
      </c>
      <c r="AK18" s="28" t="s">
        <v>104</v>
      </c>
      <c r="AQ18" s="28" t="s">
        <v>98</v>
      </c>
      <c r="AR18" s="28">
        <f>COUNTIF($J$5:$J$54, "="&amp;$AQ$18)</f>
        <v>21</v>
      </c>
      <c r="AS18" s="28">
        <f>SUMIF($J$5:$J$54,"="&amp;$AQ$18,$Z$5:$Z$54)</f>
        <v>808</v>
      </c>
      <c r="AT18" s="26">
        <f>ROUND(AVERAGEIF($J$5:$J$54,"="&amp;$AQ$18,$Z$5:$Z$54),2)</f>
        <v>38.479999999999997</v>
      </c>
      <c r="AU18" s="30" t="s">
        <v>88</v>
      </c>
      <c r="AV18" s="30">
        <f t="shared" si="26"/>
        <v>0</v>
      </c>
      <c r="AW18" s="30">
        <f t="shared" ca="1" si="26"/>
        <v>0</v>
      </c>
      <c r="AX18" s="30">
        <f t="shared" ca="1" si="26"/>
        <v>0</v>
      </c>
      <c r="AY18" s="30">
        <f t="shared" ca="1" si="26"/>
        <v>1</v>
      </c>
      <c r="AZ18" s="30">
        <f t="shared" si="27"/>
        <v>0</v>
      </c>
      <c r="BA18" s="30">
        <f t="shared" ca="1" si="27"/>
        <v>0</v>
      </c>
      <c r="BB18" s="30">
        <f t="shared" ca="1" si="27"/>
        <v>2</v>
      </c>
      <c r="BC18" s="30">
        <f t="shared" ca="1" si="27"/>
        <v>1</v>
      </c>
      <c r="BD18" s="30">
        <f t="shared" si="28"/>
        <v>0</v>
      </c>
      <c r="BE18" s="30">
        <f t="shared" ca="1" si="28"/>
        <v>1</v>
      </c>
      <c r="BF18" s="30">
        <f t="shared" ca="1" si="28"/>
        <v>0</v>
      </c>
      <c r="BG18" s="30">
        <f t="shared" ca="1" si="28"/>
        <v>1</v>
      </c>
      <c r="BH18" s="30">
        <f t="shared" si="29"/>
        <v>0</v>
      </c>
      <c r="BI18" s="30">
        <f t="shared" ca="1" si="29"/>
        <v>0</v>
      </c>
      <c r="BJ18" s="30">
        <f t="shared" ca="1" si="29"/>
        <v>0</v>
      </c>
      <c r="BK18" s="30">
        <f t="shared" ca="1" si="29"/>
        <v>0</v>
      </c>
    </row>
    <row r="19" spans="1:63" x14ac:dyDescent="0.3">
      <c r="A19" s="25" t="str">
        <f t="shared" si="3"/>
        <v>나-5317</v>
      </c>
      <c r="B19" s="38" t="s">
        <v>17</v>
      </c>
      <c r="C19" s="25" t="s">
        <v>127</v>
      </c>
      <c r="D19" s="25" t="str">
        <f t="shared" si="4"/>
        <v>940404-2******</v>
      </c>
      <c r="E19" s="1">
        <f t="shared" si="5"/>
        <v>34428</v>
      </c>
      <c r="F19" s="25">
        <f t="shared" si="6"/>
        <v>1994</v>
      </c>
      <c r="G19" s="25">
        <f t="shared" si="7"/>
        <v>4</v>
      </c>
      <c r="H19" s="25">
        <f t="shared" si="8"/>
        <v>4</v>
      </c>
      <c r="I19" s="25">
        <f t="shared" ca="1" si="9"/>
        <v>25</v>
      </c>
      <c r="J19" s="25" t="str">
        <f t="shared" si="10"/>
        <v>여</v>
      </c>
      <c r="K19" s="4" t="s">
        <v>195</v>
      </c>
      <c r="L19" s="29" t="str">
        <f t="shared" si="11"/>
        <v>010-****-5317</v>
      </c>
      <c r="M19" s="1">
        <v>43475</v>
      </c>
      <c r="N19" s="67">
        <v>0</v>
      </c>
      <c r="O19" s="29">
        <f t="shared" ca="1" si="1"/>
        <v>10</v>
      </c>
      <c r="P19" s="29">
        <f t="shared" ca="1" si="2"/>
        <v>15</v>
      </c>
      <c r="Q19" s="1">
        <v>43249</v>
      </c>
      <c r="R19" s="33" t="str">
        <f t="shared" si="12"/>
        <v>화</v>
      </c>
      <c r="S19" s="25"/>
      <c r="T19" s="25"/>
      <c r="U19" s="25"/>
      <c r="V19" s="25"/>
      <c r="W19" s="25"/>
      <c r="X19" s="25"/>
      <c r="Y19" s="25"/>
      <c r="Z19" s="25">
        <f t="shared" si="13"/>
        <v>0</v>
      </c>
      <c r="AA19" s="25">
        <f t="shared" si="14"/>
        <v>33</v>
      </c>
      <c r="AB19" s="25">
        <f t="shared" si="15"/>
        <v>41.5</v>
      </c>
      <c r="AC19" s="25" t="b">
        <f t="shared" si="16"/>
        <v>0</v>
      </c>
      <c r="AD19" s="25">
        <f t="shared" si="17"/>
        <v>5</v>
      </c>
      <c r="AE19" s="9" t="str">
        <f t="shared" si="18"/>
        <v>D</v>
      </c>
      <c r="AF19" s="41" t="str">
        <f t="shared" si="19"/>
        <v>-</v>
      </c>
      <c r="AG19" s="42" t="str">
        <f t="shared" si="20"/>
        <v>TRY</v>
      </c>
      <c r="AH19" s="25">
        <f>INDEX(혜택포인트!$B$3:$F$6,MATCH(AG19,혜택포인트!$A$3:$A$6,0),MATCH(N19,혜택포인트!$B$2:$F$2,1))</f>
        <v>0</v>
      </c>
      <c r="AJ19" s="28">
        <v>150</v>
      </c>
      <c r="AK19" s="28" t="s">
        <v>105</v>
      </c>
      <c r="AU19" s="30" t="s">
        <v>89</v>
      </c>
      <c r="AV19" s="30">
        <f t="shared" si="26"/>
        <v>0</v>
      </c>
      <c r="AW19" s="30">
        <f t="shared" si="26"/>
        <v>0</v>
      </c>
      <c r="AX19" s="30">
        <f t="shared" si="26"/>
        <v>0</v>
      </c>
      <c r="AY19" s="30">
        <f t="shared" si="26"/>
        <v>0</v>
      </c>
      <c r="AZ19" s="30">
        <f t="shared" si="27"/>
        <v>0</v>
      </c>
      <c r="BA19" s="30">
        <f t="shared" si="27"/>
        <v>0</v>
      </c>
      <c r="BB19" s="30">
        <f t="shared" si="27"/>
        <v>0</v>
      </c>
      <c r="BC19" s="30">
        <f t="shared" si="27"/>
        <v>0</v>
      </c>
      <c r="BD19" s="30">
        <f t="shared" si="28"/>
        <v>0</v>
      </c>
      <c r="BE19" s="30">
        <f t="shared" si="28"/>
        <v>0</v>
      </c>
      <c r="BF19" s="30">
        <f t="shared" si="28"/>
        <v>0</v>
      </c>
      <c r="BG19" s="30">
        <f t="shared" si="28"/>
        <v>0</v>
      </c>
      <c r="BH19" s="30">
        <f t="shared" si="29"/>
        <v>0</v>
      </c>
      <c r="BI19" s="30">
        <f t="shared" si="29"/>
        <v>0</v>
      </c>
      <c r="BJ19" s="30">
        <f t="shared" si="29"/>
        <v>0</v>
      </c>
      <c r="BK19" s="30">
        <f t="shared" si="29"/>
        <v>0</v>
      </c>
    </row>
    <row r="20" spans="1:63" x14ac:dyDescent="0.3">
      <c r="A20" s="25" t="str">
        <f t="shared" si="3"/>
        <v>준-8544</v>
      </c>
      <c r="B20" s="38" t="s">
        <v>18</v>
      </c>
      <c r="C20" s="25" t="s">
        <v>128</v>
      </c>
      <c r="D20" s="25" t="str">
        <f t="shared" si="4"/>
        <v>820113-1******</v>
      </c>
      <c r="E20" s="1">
        <f t="shared" si="5"/>
        <v>29964</v>
      </c>
      <c r="F20" s="25">
        <f t="shared" si="6"/>
        <v>1982</v>
      </c>
      <c r="G20" s="25">
        <f t="shared" si="7"/>
        <v>1</v>
      </c>
      <c r="H20" s="25">
        <f t="shared" si="8"/>
        <v>13</v>
      </c>
      <c r="I20" s="25">
        <f t="shared" ca="1" si="9"/>
        <v>37</v>
      </c>
      <c r="J20" s="25" t="str">
        <f t="shared" si="10"/>
        <v>남</v>
      </c>
      <c r="K20" s="4" t="s">
        <v>196</v>
      </c>
      <c r="L20" s="29" t="str">
        <f t="shared" si="11"/>
        <v>010-****-8544</v>
      </c>
      <c r="M20" s="1">
        <v>41627</v>
      </c>
      <c r="N20" s="67">
        <v>5</v>
      </c>
      <c r="O20" s="29">
        <f t="shared" ca="1" si="1"/>
        <v>11</v>
      </c>
      <c r="P20" s="29">
        <f t="shared" ca="1" si="2"/>
        <v>6</v>
      </c>
      <c r="Q20" s="1">
        <v>43735</v>
      </c>
      <c r="R20" s="37" t="str">
        <f t="shared" si="12"/>
        <v>금</v>
      </c>
      <c r="S20" s="25">
        <v>3</v>
      </c>
      <c r="T20" s="25">
        <v>7</v>
      </c>
      <c r="U20" s="25">
        <v>1</v>
      </c>
      <c r="V20" s="25">
        <v>1</v>
      </c>
      <c r="W20" s="25">
        <v>2</v>
      </c>
      <c r="X20" s="25">
        <v>32</v>
      </c>
      <c r="Y20" s="25">
        <v>7</v>
      </c>
      <c r="Z20" s="25">
        <f t="shared" si="13"/>
        <v>53</v>
      </c>
      <c r="AA20" s="25">
        <f t="shared" si="14"/>
        <v>18</v>
      </c>
      <c r="AB20" s="25">
        <f t="shared" si="15"/>
        <v>18</v>
      </c>
      <c r="AC20" s="25" t="b">
        <f t="shared" si="16"/>
        <v>0</v>
      </c>
      <c r="AD20" s="25">
        <f t="shared" si="17"/>
        <v>4</v>
      </c>
      <c r="AE20" s="9" t="str">
        <f t="shared" si="18"/>
        <v>D</v>
      </c>
      <c r="AF20" s="45" t="str">
        <f t="shared" si="19"/>
        <v>영화</v>
      </c>
      <c r="AG20" s="47" t="str">
        <f t="shared" si="20"/>
        <v>ALMOST</v>
      </c>
      <c r="AH20" s="25">
        <f>INDEX(혜택포인트!$B$3:$F$6,MATCH(AG20,혜택포인트!$A$3:$A$6,0),MATCH(N20,혜택포인트!$B$2:$F$2,1))</f>
        <v>0.05</v>
      </c>
      <c r="AU20" s="30" t="s">
        <v>90</v>
      </c>
      <c r="AV20" s="30">
        <f t="shared" si="26"/>
        <v>0</v>
      </c>
      <c r="AW20" s="30">
        <f t="shared" ca="1" si="26"/>
        <v>0</v>
      </c>
      <c r="AX20" s="30">
        <f t="shared" si="26"/>
        <v>0</v>
      </c>
      <c r="AY20" s="30">
        <f t="shared" ca="1" si="26"/>
        <v>1</v>
      </c>
      <c r="AZ20" s="30">
        <f t="shared" si="27"/>
        <v>0</v>
      </c>
      <c r="BA20" s="30">
        <f t="shared" ca="1" si="27"/>
        <v>1</v>
      </c>
      <c r="BB20" s="30">
        <f t="shared" si="27"/>
        <v>0</v>
      </c>
      <c r="BC20" s="30">
        <f t="shared" ca="1" si="27"/>
        <v>0</v>
      </c>
      <c r="BD20" s="30">
        <f t="shared" si="28"/>
        <v>0</v>
      </c>
      <c r="BE20" s="30">
        <f t="shared" ca="1" si="28"/>
        <v>0</v>
      </c>
      <c r="BF20" s="30">
        <f t="shared" si="28"/>
        <v>0</v>
      </c>
      <c r="BG20" s="30">
        <f t="shared" ca="1" si="28"/>
        <v>0</v>
      </c>
      <c r="BH20" s="30">
        <f t="shared" si="29"/>
        <v>0</v>
      </c>
      <c r="BI20" s="30">
        <f t="shared" ca="1" si="29"/>
        <v>0</v>
      </c>
      <c r="BJ20" s="30">
        <f t="shared" si="29"/>
        <v>0</v>
      </c>
      <c r="BK20" s="30">
        <f t="shared" ca="1" si="29"/>
        <v>0</v>
      </c>
    </row>
    <row r="21" spans="1:63" x14ac:dyDescent="0.3">
      <c r="A21" s="25" t="str">
        <f t="shared" si="3"/>
        <v>재-3978</v>
      </c>
      <c r="B21" s="38" t="s">
        <v>19</v>
      </c>
      <c r="C21" s="25" t="s">
        <v>129</v>
      </c>
      <c r="D21" s="25" t="str">
        <f t="shared" si="4"/>
        <v>881117-1******</v>
      </c>
      <c r="E21" s="1">
        <f t="shared" si="5"/>
        <v>32464</v>
      </c>
      <c r="F21" s="25">
        <f t="shared" si="6"/>
        <v>1988</v>
      </c>
      <c r="G21" s="25">
        <f t="shared" si="7"/>
        <v>11</v>
      </c>
      <c r="H21" s="25">
        <f t="shared" si="8"/>
        <v>17</v>
      </c>
      <c r="I21" s="25">
        <f t="shared" ca="1" si="9"/>
        <v>31</v>
      </c>
      <c r="J21" s="25" t="str">
        <f t="shared" si="10"/>
        <v>남</v>
      </c>
      <c r="K21" s="4" t="s">
        <v>197</v>
      </c>
      <c r="L21" s="29" t="str">
        <f t="shared" si="11"/>
        <v>010-****-3978</v>
      </c>
      <c r="M21" s="1">
        <v>40309</v>
      </c>
      <c r="N21" s="67">
        <v>9</v>
      </c>
      <c r="O21" s="29">
        <f t="shared" ca="1" si="1"/>
        <v>6</v>
      </c>
      <c r="P21" s="29">
        <f t="shared" ca="1" si="2"/>
        <v>14</v>
      </c>
      <c r="Q21" s="1">
        <v>42903</v>
      </c>
      <c r="R21" s="36" t="str">
        <f t="shared" si="12"/>
        <v>토</v>
      </c>
      <c r="S21" s="25"/>
      <c r="T21" s="25"/>
      <c r="U21" s="25"/>
      <c r="V21" s="25"/>
      <c r="W21" s="25"/>
      <c r="X21" s="25"/>
      <c r="Y21" s="25"/>
      <c r="Z21" s="25">
        <f t="shared" si="13"/>
        <v>0</v>
      </c>
      <c r="AA21" s="25">
        <f t="shared" si="14"/>
        <v>33</v>
      </c>
      <c r="AB21" s="25">
        <f t="shared" si="15"/>
        <v>41.5</v>
      </c>
      <c r="AC21" s="25" t="b">
        <f t="shared" si="16"/>
        <v>0</v>
      </c>
      <c r="AD21" s="25">
        <f t="shared" si="17"/>
        <v>5</v>
      </c>
      <c r="AE21" s="9" t="str">
        <f t="shared" si="18"/>
        <v>D</v>
      </c>
      <c r="AF21" s="41" t="str">
        <f t="shared" si="19"/>
        <v>-</v>
      </c>
      <c r="AG21" s="42" t="str">
        <f t="shared" si="20"/>
        <v>TRY</v>
      </c>
      <c r="AH21" s="25">
        <f>INDEX(혜택포인트!$B$3:$F$6,MATCH(AG21,혜택포인트!$A$3:$A$6,0),MATCH(N21,혜택포인트!$B$2:$F$2,1))</f>
        <v>0</v>
      </c>
      <c r="AU21" s="30" t="s">
        <v>91</v>
      </c>
      <c r="AV21" s="30">
        <f t="shared" ca="1" si="26"/>
        <v>0</v>
      </c>
      <c r="AW21" s="30">
        <f t="shared" si="26"/>
        <v>0</v>
      </c>
      <c r="AX21" s="30">
        <f t="shared" si="26"/>
        <v>0</v>
      </c>
      <c r="AY21" s="30">
        <f t="shared" ca="1" si="26"/>
        <v>2</v>
      </c>
      <c r="AZ21" s="30">
        <f t="shared" ca="1" si="27"/>
        <v>1</v>
      </c>
      <c r="BA21" s="30">
        <f t="shared" si="27"/>
        <v>0</v>
      </c>
      <c r="BB21" s="30">
        <f t="shared" si="27"/>
        <v>0</v>
      </c>
      <c r="BC21" s="30">
        <f t="shared" ca="1" si="27"/>
        <v>2</v>
      </c>
      <c r="BD21" s="30">
        <f t="shared" ca="1" si="28"/>
        <v>1</v>
      </c>
      <c r="BE21" s="30">
        <f t="shared" si="28"/>
        <v>0</v>
      </c>
      <c r="BF21" s="30">
        <f t="shared" si="28"/>
        <v>0</v>
      </c>
      <c r="BG21" s="30">
        <f t="shared" ca="1" si="28"/>
        <v>0</v>
      </c>
      <c r="BH21" s="30">
        <f t="shared" ca="1" si="29"/>
        <v>0</v>
      </c>
      <c r="BI21" s="30">
        <f t="shared" si="29"/>
        <v>0</v>
      </c>
      <c r="BJ21" s="30">
        <f t="shared" si="29"/>
        <v>0</v>
      </c>
      <c r="BK21" s="30">
        <f t="shared" ca="1" si="29"/>
        <v>0</v>
      </c>
    </row>
    <row r="22" spans="1:63" x14ac:dyDescent="0.3">
      <c r="A22" s="25" t="str">
        <f t="shared" si="3"/>
        <v>기-2331</v>
      </c>
      <c r="B22" s="38" t="s">
        <v>20</v>
      </c>
      <c r="C22" s="25" t="s">
        <v>130</v>
      </c>
      <c r="D22" s="25" t="str">
        <f t="shared" si="4"/>
        <v>860406-2******</v>
      </c>
      <c r="E22" s="1">
        <f t="shared" si="5"/>
        <v>31508</v>
      </c>
      <c r="F22" s="25">
        <f t="shared" si="6"/>
        <v>1986</v>
      </c>
      <c r="G22" s="25">
        <f t="shared" si="7"/>
        <v>4</v>
      </c>
      <c r="H22" s="25">
        <f t="shared" si="8"/>
        <v>6</v>
      </c>
      <c r="I22" s="25">
        <f t="shared" ca="1" si="9"/>
        <v>33</v>
      </c>
      <c r="J22" s="25" t="str">
        <f t="shared" si="10"/>
        <v>여</v>
      </c>
      <c r="K22" s="4" t="s">
        <v>198</v>
      </c>
      <c r="L22" s="29" t="str">
        <f t="shared" si="11"/>
        <v>010-****-2331</v>
      </c>
      <c r="M22" s="1">
        <v>40997</v>
      </c>
      <c r="N22" s="67">
        <v>7</v>
      </c>
      <c r="O22" s="29">
        <f t="shared" ca="1" si="1"/>
        <v>7</v>
      </c>
      <c r="P22" s="29">
        <f t="shared" ca="1" si="2"/>
        <v>27</v>
      </c>
      <c r="Q22" s="1">
        <v>42453</v>
      </c>
      <c r="R22" s="35" t="str">
        <f t="shared" si="12"/>
        <v>목</v>
      </c>
      <c r="S22" s="25"/>
      <c r="T22" s="25"/>
      <c r="U22" s="25"/>
      <c r="V22" s="25"/>
      <c r="W22" s="25"/>
      <c r="X22" s="25"/>
      <c r="Y22" s="25"/>
      <c r="Z22" s="25">
        <f t="shared" si="13"/>
        <v>0</v>
      </c>
      <c r="AA22" s="25">
        <f t="shared" si="14"/>
        <v>33</v>
      </c>
      <c r="AB22" s="25">
        <f t="shared" si="15"/>
        <v>41.5</v>
      </c>
      <c r="AC22" s="25" t="b">
        <f t="shared" si="16"/>
        <v>0</v>
      </c>
      <c r="AD22" s="25">
        <f t="shared" si="17"/>
        <v>5</v>
      </c>
      <c r="AE22" s="9" t="str">
        <f t="shared" si="18"/>
        <v>D</v>
      </c>
      <c r="AF22" s="41" t="str">
        <f t="shared" si="19"/>
        <v>-</v>
      </c>
      <c r="AG22" s="42" t="str">
        <f t="shared" si="20"/>
        <v>TRY</v>
      </c>
      <c r="AH22" s="25">
        <f>INDEX(혜택포인트!$B$3:$F$6,MATCH(AG22,혜택포인트!$A$3:$A$6,0),MATCH(N22,혜택포인트!$B$2:$F$2,1))</f>
        <v>0</v>
      </c>
      <c r="AU22" s="30" t="s">
        <v>92</v>
      </c>
      <c r="AV22" s="30">
        <f t="shared" ca="1" si="26"/>
        <v>1</v>
      </c>
      <c r="AW22" s="30">
        <f t="shared" si="26"/>
        <v>0</v>
      </c>
      <c r="AX22" s="30">
        <f t="shared" ca="1" si="26"/>
        <v>1</v>
      </c>
      <c r="AY22" s="30">
        <f t="shared" ca="1" si="26"/>
        <v>1</v>
      </c>
      <c r="AZ22" s="30">
        <f t="shared" ca="1" si="27"/>
        <v>2</v>
      </c>
      <c r="BA22" s="30">
        <f t="shared" si="27"/>
        <v>0</v>
      </c>
      <c r="BB22" s="30">
        <f t="shared" ca="1" si="27"/>
        <v>1</v>
      </c>
      <c r="BC22" s="30">
        <f t="shared" ca="1" si="27"/>
        <v>0</v>
      </c>
      <c r="BD22" s="30">
        <f t="shared" ca="1" si="28"/>
        <v>2</v>
      </c>
      <c r="BE22" s="30">
        <f t="shared" si="28"/>
        <v>0</v>
      </c>
      <c r="BF22" s="30">
        <f t="shared" ca="1" si="28"/>
        <v>0</v>
      </c>
      <c r="BG22" s="30">
        <f t="shared" ca="1" si="28"/>
        <v>1</v>
      </c>
      <c r="BH22" s="30">
        <f t="shared" ca="1" si="29"/>
        <v>0</v>
      </c>
      <c r="BI22" s="30">
        <f t="shared" si="29"/>
        <v>0</v>
      </c>
      <c r="BJ22" s="30">
        <f t="shared" ca="1" si="29"/>
        <v>0</v>
      </c>
      <c r="BK22" s="30">
        <f t="shared" ca="1" si="29"/>
        <v>0</v>
      </c>
    </row>
    <row r="23" spans="1:63" x14ac:dyDescent="0.3">
      <c r="A23" s="25" t="str">
        <f t="shared" si="3"/>
        <v>정-1311</v>
      </c>
      <c r="B23" s="38" t="s">
        <v>21</v>
      </c>
      <c r="C23" s="25" t="s">
        <v>131</v>
      </c>
      <c r="D23" s="25" t="str">
        <f t="shared" si="4"/>
        <v>791230-2******</v>
      </c>
      <c r="E23" s="1">
        <f t="shared" si="5"/>
        <v>29219</v>
      </c>
      <c r="F23" s="25">
        <f t="shared" si="6"/>
        <v>1979</v>
      </c>
      <c r="G23" s="25">
        <f t="shared" si="7"/>
        <v>12</v>
      </c>
      <c r="H23" s="25">
        <f t="shared" si="8"/>
        <v>30</v>
      </c>
      <c r="I23" s="25">
        <f t="shared" ca="1" si="9"/>
        <v>39</v>
      </c>
      <c r="J23" s="25" t="str">
        <f t="shared" si="10"/>
        <v>여</v>
      </c>
      <c r="K23" s="4" t="s">
        <v>199</v>
      </c>
      <c r="L23" s="29" t="str">
        <f t="shared" si="11"/>
        <v>010-****-1311</v>
      </c>
      <c r="M23" s="1">
        <v>37497</v>
      </c>
      <c r="N23" s="67">
        <v>17</v>
      </c>
      <c r="O23" s="29">
        <f t="shared" ca="1" si="1"/>
        <v>2</v>
      </c>
      <c r="P23" s="29">
        <f t="shared" ca="1" si="2"/>
        <v>27</v>
      </c>
      <c r="Q23" s="1">
        <v>43504</v>
      </c>
      <c r="R23" s="37" t="str">
        <f t="shared" si="12"/>
        <v>금</v>
      </c>
      <c r="S23" s="25">
        <v>65</v>
      </c>
      <c r="T23" s="25"/>
      <c r="U23" s="25"/>
      <c r="V23" s="25"/>
      <c r="W23" s="25"/>
      <c r="X23" s="25"/>
      <c r="Y23" s="25"/>
      <c r="Z23" s="25">
        <f t="shared" si="13"/>
        <v>65</v>
      </c>
      <c r="AA23" s="25">
        <f t="shared" si="14"/>
        <v>16</v>
      </c>
      <c r="AB23" s="25">
        <f t="shared" si="15"/>
        <v>16.5</v>
      </c>
      <c r="AC23" s="25" t="b">
        <f t="shared" si="16"/>
        <v>0</v>
      </c>
      <c r="AD23" s="25">
        <f t="shared" si="17"/>
        <v>4</v>
      </c>
      <c r="AE23" s="9" t="str">
        <f t="shared" si="18"/>
        <v>D</v>
      </c>
      <c r="AF23" s="46" t="str">
        <f t="shared" si="19"/>
        <v>클래식</v>
      </c>
      <c r="AG23" s="47" t="str">
        <f t="shared" si="20"/>
        <v>ALMOST</v>
      </c>
      <c r="AH23" s="25">
        <f>INDEX(혜택포인트!$B$3:$F$6,MATCH(AG23,혜택포인트!$A$3:$A$6,0),MATCH(N23,혜택포인트!$B$2:$F$2,1))</f>
        <v>0.15</v>
      </c>
      <c r="AU23" s="30" t="s">
        <v>93</v>
      </c>
      <c r="AV23" s="30">
        <f t="shared" ca="1" si="26"/>
        <v>0</v>
      </c>
      <c r="AW23" s="30">
        <f t="shared" si="26"/>
        <v>0</v>
      </c>
      <c r="AX23" s="30">
        <f t="shared" si="26"/>
        <v>0</v>
      </c>
      <c r="AY23" s="30">
        <f t="shared" ca="1" si="26"/>
        <v>1</v>
      </c>
      <c r="AZ23" s="30">
        <f t="shared" ca="1" si="27"/>
        <v>0</v>
      </c>
      <c r="BA23" s="30">
        <f t="shared" si="27"/>
        <v>0</v>
      </c>
      <c r="BB23" s="30">
        <f t="shared" si="27"/>
        <v>0</v>
      </c>
      <c r="BC23" s="30">
        <f t="shared" ca="1" si="27"/>
        <v>1</v>
      </c>
      <c r="BD23" s="30">
        <f t="shared" ca="1" si="28"/>
        <v>1</v>
      </c>
      <c r="BE23" s="30">
        <f t="shared" si="28"/>
        <v>0</v>
      </c>
      <c r="BF23" s="30">
        <f t="shared" si="28"/>
        <v>0</v>
      </c>
      <c r="BG23" s="30">
        <f t="shared" ca="1" si="28"/>
        <v>0</v>
      </c>
      <c r="BH23" s="30">
        <f t="shared" ca="1" si="29"/>
        <v>0</v>
      </c>
      <c r="BI23" s="30">
        <f t="shared" si="29"/>
        <v>0</v>
      </c>
      <c r="BJ23" s="30">
        <f t="shared" si="29"/>
        <v>0</v>
      </c>
      <c r="BK23" s="30">
        <f t="shared" ca="1" si="29"/>
        <v>0</v>
      </c>
    </row>
    <row r="24" spans="1:63" x14ac:dyDescent="0.3">
      <c r="A24" s="25" t="str">
        <f t="shared" si="3"/>
        <v>도-8651</v>
      </c>
      <c r="B24" s="38" t="s">
        <v>22</v>
      </c>
      <c r="C24" s="25" t="s">
        <v>132</v>
      </c>
      <c r="D24" s="25" t="str">
        <f t="shared" si="4"/>
        <v>870228-2******</v>
      </c>
      <c r="E24" s="1">
        <f t="shared" si="5"/>
        <v>31836</v>
      </c>
      <c r="F24" s="25">
        <f t="shared" si="6"/>
        <v>1987</v>
      </c>
      <c r="G24" s="25">
        <f t="shared" si="7"/>
        <v>2</v>
      </c>
      <c r="H24" s="25">
        <f t="shared" si="8"/>
        <v>28</v>
      </c>
      <c r="I24" s="25">
        <f t="shared" ca="1" si="9"/>
        <v>32</v>
      </c>
      <c r="J24" s="25" t="str">
        <f t="shared" si="10"/>
        <v>여</v>
      </c>
      <c r="K24" s="4" t="s">
        <v>200</v>
      </c>
      <c r="L24" s="29" t="str">
        <f t="shared" si="11"/>
        <v>010-****-8651</v>
      </c>
      <c r="M24" s="1">
        <v>39343</v>
      </c>
      <c r="N24" s="67">
        <v>12</v>
      </c>
      <c r="O24" s="29">
        <f t="shared" ca="1" si="1"/>
        <v>2</v>
      </c>
      <c r="P24" s="29">
        <f t="shared" ca="1" si="2"/>
        <v>7</v>
      </c>
      <c r="Q24" s="1">
        <v>42697</v>
      </c>
      <c r="R24" s="34" t="str">
        <f t="shared" si="12"/>
        <v>수</v>
      </c>
      <c r="S24" s="25"/>
      <c r="T24" s="25"/>
      <c r="U24" s="25"/>
      <c r="V24" s="25"/>
      <c r="W24" s="25"/>
      <c r="X24" s="25"/>
      <c r="Y24" s="25"/>
      <c r="Z24" s="25">
        <f t="shared" si="13"/>
        <v>0</v>
      </c>
      <c r="AA24" s="25">
        <f t="shared" si="14"/>
        <v>33</v>
      </c>
      <c r="AB24" s="25">
        <f t="shared" si="15"/>
        <v>41.5</v>
      </c>
      <c r="AC24" s="25" t="b">
        <f t="shared" si="16"/>
        <v>0</v>
      </c>
      <c r="AD24" s="25">
        <f t="shared" si="17"/>
        <v>5</v>
      </c>
      <c r="AE24" s="9" t="str">
        <f t="shared" si="18"/>
        <v>D</v>
      </c>
      <c r="AF24" s="41" t="str">
        <f t="shared" si="19"/>
        <v>-</v>
      </c>
      <c r="AG24" s="42" t="str">
        <f t="shared" si="20"/>
        <v>TRY</v>
      </c>
      <c r="AH24" s="25">
        <f>INDEX(혜택포인트!$B$3:$F$6,MATCH(AG24,혜택포인트!$A$3:$A$6,0),MATCH(N24,혜택포인트!$B$2:$F$2,1))</f>
        <v>0.03</v>
      </c>
    </row>
    <row r="25" spans="1:63" x14ac:dyDescent="0.3">
      <c r="A25" s="25" t="str">
        <f t="shared" si="3"/>
        <v>유-2384</v>
      </c>
      <c r="B25" s="38" t="s">
        <v>23</v>
      </c>
      <c r="C25" s="25" t="s">
        <v>133</v>
      </c>
      <c r="D25" s="25" t="str">
        <f t="shared" si="4"/>
        <v>900926-1******</v>
      </c>
      <c r="E25" s="1">
        <f t="shared" si="5"/>
        <v>33142</v>
      </c>
      <c r="F25" s="25">
        <f t="shared" si="6"/>
        <v>1990</v>
      </c>
      <c r="G25" s="25">
        <f t="shared" si="7"/>
        <v>9</v>
      </c>
      <c r="H25" s="25">
        <f t="shared" si="8"/>
        <v>26</v>
      </c>
      <c r="I25" s="25">
        <f t="shared" ca="1" si="9"/>
        <v>29</v>
      </c>
      <c r="J25" s="25" t="str">
        <f t="shared" si="10"/>
        <v>남</v>
      </c>
      <c r="K25" s="4" t="s">
        <v>201</v>
      </c>
      <c r="L25" s="29" t="str">
        <f t="shared" si="11"/>
        <v>010-****-2384</v>
      </c>
      <c r="M25" s="1">
        <v>42117</v>
      </c>
      <c r="N25" s="67">
        <v>4</v>
      </c>
      <c r="O25" s="29">
        <f t="shared" ca="1" si="1"/>
        <v>7</v>
      </c>
      <c r="P25" s="29">
        <f t="shared" ca="1" si="2"/>
        <v>2</v>
      </c>
      <c r="Q25" s="1">
        <v>43685</v>
      </c>
      <c r="R25" s="35" t="str">
        <f t="shared" si="12"/>
        <v>목</v>
      </c>
      <c r="S25" s="25"/>
      <c r="T25" s="25">
        <v>2</v>
      </c>
      <c r="U25" s="25"/>
      <c r="V25" s="25">
        <v>2</v>
      </c>
      <c r="W25" s="25">
        <v>3</v>
      </c>
      <c r="X25" s="25"/>
      <c r="Y25" s="25">
        <v>1</v>
      </c>
      <c r="Z25" s="25">
        <f t="shared" si="13"/>
        <v>8</v>
      </c>
      <c r="AA25" s="25">
        <f t="shared" si="14"/>
        <v>29</v>
      </c>
      <c r="AB25" s="25">
        <f t="shared" si="15"/>
        <v>29.5</v>
      </c>
      <c r="AC25" s="25" t="b">
        <f t="shared" si="16"/>
        <v>0</v>
      </c>
      <c r="AD25" s="25">
        <f t="shared" si="17"/>
        <v>5</v>
      </c>
      <c r="AE25" s="9" t="str">
        <f t="shared" si="18"/>
        <v>D</v>
      </c>
      <c r="AF25" s="43" t="str">
        <f t="shared" si="19"/>
        <v>뮤지컬</v>
      </c>
      <c r="AG25" s="42" t="str">
        <f t="shared" si="20"/>
        <v>TRY</v>
      </c>
      <c r="AH25" s="25">
        <f>INDEX(혜택포인트!$B$3:$F$6,MATCH(AG25,혜택포인트!$A$3:$A$6,0),MATCH(N25,혜택포인트!$B$2:$F$2,1))</f>
        <v>0</v>
      </c>
      <c r="AU25" s="52" t="s">
        <v>217</v>
      </c>
      <c r="AV25" s="54">
        <v>20</v>
      </c>
      <c r="AW25" s="55"/>
      <c r="AX25" s="54">
        <v>30</v>
      </c>
      <c r="AY25" s="55"/>
      <c r="AZ25" s="54">
        <v>40</v>
      </c>
      <c r="BA25" s="55"/>
      <c r="BB25" s="54">
        <v>50</v>
      </c>
      <c r="BC25" s="55"/>
    </row>
    <row r="26" spans="1:63" x14ac:dyDescent="0.3">
      <c r="A26" s="25" t="str">
        <f t="shared" si="3"/>
        <v>예-2101</v>
      </c>
      <c r="B26" s="38" t="s">
        <v>24</v>
      </c>
      <c r="C26" s="25" t="s">
        <v>134</v>
      </c>
      <c r="D26" s="25" t="str">
        <f t="shared" si="4"/>
        <v>720826-2******</v>
      </c>
      <c r="E26" s="1">
        <f t="shared" si="5"/>
        <v>26537</v>
      </c>
      <c r="F26" s="25">
        <f t="shared" si="6"/>
        <v>1972</v>
      </c>
      <c r="G26" s="25">
        <f t="shared" si="7"/>
        <v>8</v>
      </c>
      <c r="H26" s="25">
        <f t="shared" si="8"/>
        <v>26</v>
      </c>
      <c r="I26" s="25">
        <f t="shared" ca="1" si="9"/>
        <v>47</v>
      </c>
      <c r="J26" s="25" t="str">
        <f t="shared" si="10"/>
        <v>여</v>
      </c>
      <c r="K26" s="4" t="s">
        <v>202</v>
      </c>
      <c r="L26" s="29" t="str">
        <f t="shared" si="11"/>
        <v>010-****-2101</v>
      </c>
      <c r="M26" s="1">
        <v>36812</v>
      </c>
      <c r="N26" s="67">
        <v>19</v>
      </c>
      <c r="O26" s="29">
        <f t="shared" ca="1" si="1"/>
        <v>1</v>
      </c>
      <c r="P26" s="29">
        <f t="shared" ca="1" si="2"/>
        <v>12</v>
      </c>
      <c r="Q26" s="1">
        <v>43739</v>
      </c>
      <c r="R26" s="33" t="str">
        <f t="shared" si="12"/>
        <v>화</v>
      </c>
      <c r="S26" s="25"/>
      <c r="T26" s="25">
        <v>29</v>
      </c>
      <c r="U26" s="25"/>
      <c r="V26" s="25"/>
      <c r="W26" s="25"/>
      <c r="X26" s="25"/>
      <c r="Y26" s="25"/>
      <c r="Z26" s="25">
        <f t="shared" si="13"/>
        <v>29</v>
      </c>
      <c r="AA26" s="25">
        <f t="shared" si="14"/>
        <v>24</v>
      </c>
      <c r="AB26" s="25">
        <f t="shared" si="15"/>
        <v>24</v>
      </c>
      <c r="AC26" s="25" t="b">
        <f t="shared" si="16"/>
        <v>0</v>
      </c>
      <c r="AD26" s="25">
        <f t="shared" si="17"/>
        <v>5</v>
      </c>
      <c r="AE26" s="9" t="str">
        <f t="shared" si="18"/>
        <v>D</v>
      </c>
      <c r="AF26" s="39" t="str">
        <f t="shared" si="19"/>
        <v>콘서트</v>
      </c>
      <c r="AG26" s="42" t="str">
        <f t="shared" si="20"/>
        <v>TRY</v>
      </c>
      <c r="AH26" s="25">
        <f>INDEX(혜택포인트!$B$3:$F$6,MATCH(AG26,혜택포인트!$A$3:$A$6,0),MATCH(N26,혜택포인트!$B$2:$F$2,1))</f>
        <v>7.0000000000000007E-2</v>
      </c>
      <c r="AU26" s="53"/>
      <c r="AV26" s="30" t="s">
        <v>97</v>
      </c>
      <c r="AW26" s="30" t="s">
        <v>98</v>
      </c>
      <c r="AX26" s="30" t="s">
        <v>97</v>
      </c>
      <c r="AY26" s="30" t="s">
        <v>98</v>
      </c>
      <c r="AZ26" s="30" t="s">
        <v>97</v>
      </c>
      <c r="BA26" s="30" t="s">
        <v>98</v>
      </c>
      <c r="BB26" s="30" t="s">
        <v>97</v>
      </c>
      <c r="BC26" s="30" t="s">
        <v>98</v>
      </c>
    </row>
    <row r="27" spans="1:63" x14ac:dyDescent="0.3">
      <c r="A27" s="25" t="str">
        <f t="shared" si="3"/>
        <v>태-8499</v>
      </c>
      <c r="B27" s="38" t="s">
        <v>25</v>
      </c>
      <c r="C27" s="25" t="s">
        <v>135</v>
      </c>
      <c r="D27" s="25" t="str">
        <f t="shared" si="4"/>
        <v>930730-1******</v>
      </c>
      <c r="E27" s="1">
        <f t="shared" si="5"/>
        <v>34180</v>
      </c>
      <c r="F27" s="25">
        <f t="shared" si="6"/>
        <v>1993</v>
      </c>
      <c r="G27" s="25">
        <f t="shared" si="7"/>
        <v>7</v>
      </c>
      <c r="H27" s="25">
        <f t="shared" si="8"/>
        <v>30</v>
      </c>
      <c r="I27" s="25">
        <f t="shared" ca="1" si="9"/>
        <v>26</v>
      </c>
      <c r="J27" s="25" t="str">
        <f t="shared" si="10"/>
        <v>남</v>
      </c>
      <c r="K27" s="4" t="s">
        <v>203</v>
      </c>
      <c r="L27" s="29" t="str">
        <f t="shared" si="11"/>
        <v>010-****-8499</v>
      </c>
      <c r="M27" s="1">
        <v>43528</v>
      </c>
      <c r="N27" s="67">
        <v>0</v>
      </c>
      <c r="O27" s="29">
        <f t="shared" ca="1" si="1"/>
        <v>8</v>
      </c>
      <c r="P27" s="29">
        <f t="shared" ca="1" si="2"/>
        <v>21</v>
      </c>
      <c r="Q27" s="1">
        <v>43758</v>
      </c>
      <c r="R27" s="31" t="str">
        <f t="shared" si="12"/>
        <v>일</v>
      </c>
      <c r="S27" s="25"/>
      <c r="T27" s="25"/>
      <c r="U27" s="25"/>
      <c r="V27" s="25"/>
      <c r="W27" s="25">
        <v>1</v>
      </c>
      <c r="X27" s="25">
        <v>1</v>
      </c>
      <c r="Y27" s="25">
        <v>1</v>
      </c>
      <c r="Z27" s="25">
        <f t="shared" si="13"/>
        <v>3</v>
      </c>
      <c r="AA27" s="25">
        <f t="shared" si="14"/>
        <v>32</v>
      </c>
      <c r="AB27" s="25">
        <f t="shared" si="15"/>
        <v>32</v>
      </c>
      <c r="AC27" s="25" t="b">
        <f t="shared" si="16"/>
        <v>0</v>
      </c>
      <c r="AD27" s="25">
        <f t="shared" si="17"/>
        <v>5</v>
      </c>
      <c r="AE27" s="9" t="str">
        <f t="shared" si="18"/>
        <v>D</v>
      </c>
      <c r="AF27" s="43" t="str">
        <f t="shared" si="19"/>
        <v>뮤지컬</v>
      </c>
      <c r="AG27" s="42" t="str">
        <f t="shared" si="20"/>
        <v>TRY</v>
      </c>
      <c r="AH27" s="25">
        <f>INDEX(혜택포인트!$B$3:$F$6,MATCH(AG27,혜택포인트!$A$3:$A$6,0),MATCH(N27,혜택포인트!$B$2:$F$2,1))</f>
        <v>0</v>
      </c>
      <c r="AU27" s="30" t="s">
        <v>174</v>
      </c>
      <c r="AV27" s="30">
        <f ca="1">COUNTIFS($AG$5:$AG$54,"="&amp;$AU27,$I$5:$I$54,"&gt;="&amp;$AV$25,$I$5:$I$54,"&lt;"&amp;$AX$25,$J$5:$J$54,"="&amp;AV$26)</f>
        <v>0</v>
      </c>
      <c r="AW27" s="30">
        <f t="shared" ref="AW27:AW30" ca="1" si="30">COUNTIFS($AG$5:$AG$54,"="&amp;$AU27,$I$5:$I$54,"&gt;="&amp;$AV$25,$I$5:$I$54,"&lt;"&amp;$AX$25,$J$5:$J$54,"="&amp;AW$26)</f>
        <v>1</v>
      </c>
      <c r="AX27" s="30">
        <f ca="1">COUNTIFS($AG$5:$AG$54,"="&amp;$AU27,$I$5:$I$54,"&gt;="&amp;$AX$25,$I$5:$I$54,"&lt;"&amp;$AZ$25,$J$5:$J$54,"="&amp;AX$26)</f>
        <v>2</v>
      </c>
      <c r="AY27" s="30">
        <f ca="1">COUNTIFS($AG$5:$AG$54,"="&amp;$AU27,$I$5:$I$54,"&gt;="&amp;$AX$25,$I$5:$I$54,"&lt;"&amp;$AZ$25,$J$5:$J$54,"="&amp;AY$26)</f>
        <v>1</v>
      </c>
      <c r="AZ27" s="30">
        <f ca="1">COUNTIFS($AG$5:$AG$54,"="&amp;$AU27,$I$5:$I$54,"&gt;="&amp;$AZ$25,$I$5:$I$54,"&lt;"&amp;$BB$25,$J$5:$J$54,"="&amp;AZ$26)</f>
        <v>4</v>
      </c>
      <c r="BA27" s="30">
        <f ca="1">COUNTIFS($AG$5:$AG$54,"="&amp;$AU27,$I$5:$I$54,"&gt;="&amp;$AZ$25,$I$5:$I$54,"&lt;"&amp;$BB$25,$J$5:$J$54,"="&amp;BA$26)</f>
        <v>1</v>
      </c>
      <c r="BB27" s="30">
        <f ca="1">COUNTIFS($AG$5:$AG$54,"="&amp;$AU27,$I$5:$I$54,"&gt;="&amp;$AZ$25,$J$5:$J$54,"="&amp;BB$26)</f>
        <v>4</v>
      </c>
      <c r="BC27" s="30">
        <f ca="1">COUNTIFS($AG$5:$AG$54,"="&amp;$AU27,$I$5:$I$54,"&gt;="&amp;$AZ$25,$J$5:$J$54,"="&amp;BC$26)</f>
        <v>1</v>
      </c>
    </row>
    <row r="28" spans="1:63" x14ac:dyDescent="0.3">
      <c r="A28" s="25" t="str">
        <f t="shared" si="3"/>
        <v>선-7748</v>
      </c>
      <c r="B28" s="38" t="s">
        <v>26</v>
      </c>
      <c r="C28" s="25" t="s">
        <v>136</v>
      </c>
      <c r="D28" s="25" t="str">
        <f t="shared" si="4"/>
        <v>860103-2******</v>
      </c>
      <c r="E28" s="1">
        <f t="shared" si="5"/>
        <v>31415</v>
      </c>
      <c r="F28" s="25">
        <f t="shared" si="6"/>
        <v>1986</v>
      </c>
      <c r="G28" s="25">
        <f t="shared" si="7"/>
        <v>1</v>
      </c>
      <c r="H28" s="25">
        <f t="shared" si="8"/>
        <v>3</v>
      </c>
      <c r="I28" s="25">
        <f t="shared" ca="1" si="9"/>
        <v>33</v>
      </c>
      <c r="J28" s="25" t="str">
        <f t="shared" si="10"/>
        <v>여</v>
      </c>
      <c r="K28" s="4" t="s">
        <v>204</v>
      </c>
      <c r="L28" s="29" t="str">
        <f t="shared" si="11"/>
        <v>010-****-7748</v>
      </c>
      <c r="M28" s="1">
        <v>40814</v>
      </c>
      <c r="N28" s="67">
        <v>8</v>
      </c>
      <c r="O28" s="29">
        <f t="shared" ca="1" si="1"/>
        <v>1</v>
      </c>
      <c r="P28" s="29">
        <f t="shared" ca="1" si="2"/>
        <v>28</v>
      </c>
      <c r="Q28" s="1">
        <v>42073</v>
      </c>
      <c r="R28" s="33" t="str">
        <f t="shared" si="12"/>
        <v>화</v>
      </c>
      <c r="S28" s="25"/>
      <c r="T28" s="25"/>
      <c r="U28" s="25"/>
      <c r="V28" s="25"/>
      <c r="W28" s="25"/>
      <c r="X28" s="25"/>
      <c r="Y28" s="25"/>
      <c r="Z28" s="25">
        <f t="shared" si="13"/>
        <v>0</v>
      </c>
      <c r="AA28" s="25">
        <f t="shared" si="14"/>
        <v>33</v>
      </c>
      <c r="AB28" s="25">
        <f t="shared" si="15"/>
        <v>41.5</v>
      </c>
      <c r="AC28" s="25" t="b">
        <f t="shared" si="16"/>
        <v>0</v>
      </c>
      <c r="AD28" s="25">
        <f t="shared" si="17"/>
        <v>5</v>
      </c>
      <c r="AE28" s="9" t="str">
        <f t="shared" si="18"/>
        <v>D</v>
      </c>
      <c r="AF28" s="41" t="str">
        <f t="shared" si="19"/>
        <v>-</v>
      </c>
      <c r="AG28" s="42" t="str">
        <f t="shared" si="20"/>
        <v>TRY</v>
      </c>
      <c r="AH28" s="25">
        <f>INDEX(혜택포인트!$B$3:$F$6,MATCH(AG28,혜택포인트!$A$3:$A$6,0),MATCH(N28,혜택포인트!$B$2:$F$2,1))</f>
        <v>0</v>
      </c>
      <c r="AU28" s="30" t="s">
        <v>175</v>
      </c>
      <c r="AV28" s="30">
        <f t="shared" ref="AV28:AV30" ca="1" si="31">COUNTIFS($AG$5:$AG$54,"="&amp;$AU28,$I$5:$I$54,"&gt;="&amp;$AV$25,$I$5:$I$54,"&lt;"&amp;$AX$25,$J$5:$J$54,"="&amp;AV$26)</f>
        <v>0</v>
      </c>
      <c r="AW28" s="30">
        <f t="shared" ca="1" si="30"/>
        <v>0</v>
      </c>
      <c r="AX28" s="30">
        <f t="shared" ref="AX28:AY30" ca="1" si="32">COUNTIFS($AG$5:$AG$54,"="&amp;$AU28,$I$5:$I$54,"&gt;="&amp;$AX$25,$I$5:$I$54,"&lt;"&amp;$AZ$25,$J$5:$J$54,"="&amp;AX$26)</f>
        <v>1</v>
      </c>
      <c r="AY28" s="30">
        <f t="shared" ca="1" si="32"/>
        <v>0</v>
      </c>
      <c r="AZ28" s="30">
        <f t="shared" ref="AZ28:BA30" ca="1" si="33">COUNTIFS($AG$5:$AG$54,"="&amp;$AU28,$I$5:$I$54,"&gt;="&amp;$AZ$25,$I$5:$I$54,"&lt;"&amp;$BB$25,$J$5:$J$54,"="&amp;AZ$26)</f>
        <v>1</v>
      </c>
      <c r="BA28" s="30">
        <f t="shared" ca="1" si="33"/>
        <v>1</v>
      </c>
      <c r="BB28" s="30">
        <f t="shared" ref="BB28:BC30" ca="1" si="34">COUNTIFS($AG$5:$AG$54,"="&amp;$AU28,$I$5:$I$54,"&gt;="&amp;$AZ$25,$J$5:$J$54,"="&amp;BB$26)</f>
        <v>1</v>
      </c>
      <c r="BC28" s="30">
        <f t="shared" ca="1" si="34"/>
        <v>1</v>
      </c>
    </row>
    <row r="29" spans="1:63" x14ac:dyDescent="0.3">
      <c r="A29" s="25" t="str">
        <f t="shared" si="3"/>
        <v>승-1643</v>
      </c>
      <c r="B29" s="38" t="s">
        <v>27</v>
      </c>
      <c r="C29" s="25" t="s">
        <v>137</v>
      </c>
      <c r="D29" s="25" t="str">
        <f t="shared" si="4"/>
        <v>821129-1******</v>
      </c>
      <c r="E29" s="1">
        <f t="shared" si="5"/>
        <v>30284</v>
      </c>
      <c r="F29" s="25">
        <f t="shared" si="6"/>
        <v>1982</v>
      </c>
      <c r="G29" s="25">
        <f t="shared" si="7"/>
        <v>11</v>
      </c>
      <c r="H29" s="25">
        <f t="shared" si="8"/>
        <v>29</v>
      </c>
      <c r="I29" s="25">
        <f t="shared" ca="1" si="9"/>
        <v>36</v>
      </c>
      <c r="J29" s="25" t="str">
        <f t="shared" si="10"/>
        <v>남</v>
      </c>
      <c r="K29" s="4" t="s">
        <v>205</v>
      </c>
      <c r="L29" s="29" t="str">
        <f t="shared" si="11"/>
        <v>010-****-1643</v>
      </c>
      <c r="M29" s="1">
        <v>41587</v>
      </c>
      <c r="N29" s="67">
        <v>6</v>
      </c>
      <c r="O29" s="29">
        <f t="shared" ca="1" si="1"/>
        <v>0</v>
      </c>
      <c r="P29" s="29">
        <f t="shared" ca="1" si="2"/>
        <v>16</v>
      </c>
      <c r="Q29" s="1">
        <v>43753</v>
      </c>
      <c r="R29" s="33" t="str">
        <f t="shared" si="12"/>
        <v>화</v>
      </c>
      <c r="S29" s="25">
        <v>26</v>
      </c>
      <c r="T29" s="25">
        <v>41</v>
      </c>
      <c r="U29" s="25"/>
      <c r="V29" s="25"/>
      <c r="W29" s="25"/>
      <c r="X29" s="25"/>
      <c r="Y29" s="25"/>
      <c r="Z29" s="25">
        <f t="shared" si="13"/>
        <v>67</v>
      </c>
      <c r="AA29" s="25">
        <f t="shared" si="14"/>
        <v>15</v>
      </c>
      <c r="AB29" s="25">
        <f t="shared" si="15"/>
        <v>15</v>
      </c>
      <c r="AC29" s="25" t="b">
        <f t="shared" si="16"/>
        <v>0</v>
      </c>
      <c r="AD29" s="25">
        <f t="shared" si="17"/>
        <v>4</v>
      </c>
      <c r="AE29" s="9" t="str">
        <f t="shared" si="18"/>
        <v>D</v>
      </c>
      <c r="AF29" s="39" t="str">
        <f t="shared" si="19"/>
        <v>콘서트</v>
      </c>
      <c r="AG29" s="47" t="str">
        <f t="shared" si="20"/>
        <v>ALMOST</v>
      </c>
      <c r="AH29" s="25">
        <f>INDEX(혜택포인트!$B$3:$F$6,MATCH(AG29,혜택포인트!$A$3:$A$6,0),MATCH(N29,혜택포인트!$B$2:$F$2,1))</f>
        <v>0.05</v>
      </c>
      <c r="AU29" s="30" t="s">
        <v>176</v>
      </c>
      <c r="AV29" s="30">
        <f t="shared" ca="1" si="31"/>
        <v>1</v>
      </c>
      <c r="AW29" s="30">
        <f t="shared" ca="1" si="30"/>
        <v>0</v>
      </c>
      <c r="AX29" s="30">
        <f t="shared" ca="1" si="32"/>
        <v>3</v>
      </c>
      <c r="AY29" s="30">
        <f t="shared" ca="1" si="32"/>
        <v>3</v>
      </c>
      <c r="AZ29" s="30">
        <f t="shared" ca="1" si="33"/>
        <v>0</v>
      </c>
      <c r="BA29" s="30">
        <f t="shared" ca="1" si="33"/>
        <v>0</v>
      </c>
      <c r="BB29" s="30">
        <f t="shared" ca="1" si="34"/>
        <v>0</v>
      </c>
      <c r="BC29" s="30">
        <f t="shared" ca="1" si="34"/>
        <v>0</v>
      </c>
    </row>
    <row r="30" spans="1:63" x14ac:dyDescent="0.3">
      <c r="A30" s="25" t="str">
        <f t="shared" si="3"/>
        <v>준-5510</v>
      </c>
      <c r="B30" s="38" t="s">
        <v>28</v>
      </c>
      <c r="C30" s="25" t="s">
        <v>138</v>
      </c>
      <c r="D30" s="25" t="str">
        <f t="shared" si="4"/>
        <v>830620-1******</v>
      </c>
      <c r="E30" s="1">
        <f t="shared" si="5"/>
        <v>30487</v>
      </c>
      <c r="F30" s="25">
        <f t="shared" si="6"/>
        <v>1983</v>
      </c>
      <c r="G30" s="25">
        <f t="shared" si="7"/>
        <v>6</v>
      </c>
      <c r="H30" s="25">
        <f t="shared" si="8"/>
        <v>20</v>
      </c>
      <c r="I30" s="25">
        <f t="shared" ca="1" si="9"/>
        <v>36</v>
      </c>
      <c r="J30" s="25" t="str">
        <f t="shared" si="10"/>
        <v>남</v>
      </c>
      <c r="K30" s="4" t="s">
        <v>206</v>
      </c>
      <c r="L30" s="29" t="str">
        <f t="shared" si="11"/>
        <v>010-****-5510</v>
      </c>
      <c r="M30" s="1">
        <v>39943</v>
      </c>
      <c r="N30" s="67">
        <v>10</v>
      </c>
      <c r="O30" s="29">
        <f t="shared" ca="1" si="1"/>
        <v>6</v>
      </c>
      <c r="P30" s="29">
        <f t="shared" ca="1" si="2"/>
        <v>15</v>
      </c>
      <c r="Q30" s="1">
        <v>43740</v>
      </c>
      <c r="R30" s="34" t="str">
        <f t="shared" si="12"/>
        <v>수</v>
      </c>
      <c r="S30" s="25">
        <v>1</v>
      </c>
      <c r="T30" s="25">
        <v>7</v>
      </c>
      <c r="U30" s="25">
        <v>1</v>
      </c>
      <c r="V30" s="25"/>
      <c r="W30" s="25"/>
      <c r="X30" s="25"/>
      <c r="Y30" s="25">
        <v>19</v>
      </c>
      <c r="Z30" s="25">
        <f t="shared" si="13"/>
        <v>28</v>
      </c>
      <c r="AA30" s="25">
        <f t="shared" si="14"/>
        <v>25</v>
      </c>
      <c r="AB30" s="25">
        <f t="shared" si="15"/>
        <v>25</v>
      </c>
      <c r="AC30" s="25" t="b">
        <f t="shared" si="16"/>
        <v>0</v>
      </c>
      <c r="AD30" s="25">
        <f t="shared" si="17"/>
        <v>5</v>
      </c>
      <c r="AE30" s="9" t="str">
        <f t="shared" si="18"/>
        <v>D</v>
      </c>
      <c r="AF30" s="49" t="str">
        <f t="shared" si="19"/>
        <v>연극</v>
      </c>
      <c r="AG30" s="42" t="str">
        <f t="shared" si="20"/>
        <v>TRY</v>
      </c>
      <c r="AH30" s="25">
        <f>INDEX(혜택포인트!$B$3:$F$6,MATCH(AG30,혜택포인트!$A$3:$A$6,0),MATCH(N30,혜택포인트!$B$2:$F$2,1))</f>
        <v>0.03</v>
      </c>
      <c r="AU30" s="30" t="s">
        <v>177</v>
      </c>
      <c r="AV30" s="30">
        <f t="shared" ca="1" si="31"/>
        <v>6</v>
      </c>
      <c r="AW30" s="30">
        <f t="shared" ca="1" si="30"/>
        <v>3</v>
      </c>
      <c r="AX30" s="30">
        <f t="shared" ca="1" si="32"/>
        <v>6</v>
      </c>
      <c r="AY30" s="30">
        <f t="shared" ca="1" si="32"/>
        <v>7</v>
      </c>
      <c r="AZ30" s="30">
        <f t="shared" ca="1" si="33"/>
        <v>5</v>
      </c>
      <c r="BA30" s="30">
        <f t="shared" ca="1" si="33"/>
        <v>4</v>
      </c>
      <c r="BB30" s="30">
        <f t="shared" ca="1" si="34"/>
        <v>5</v>
      </c>
      <c r="BC30" s="30">
        <f t="shared" ca="1" si="34"/>
        <v>4</v>
      </c>
    </row>
    <row r="31" spans="1:63" x14ac:dyDescent="0.3">
      <c r="A31" s="25" t="str">
        <f t="shared" si="3"/>
        <v>세-8193</v>
      </c>
      <c r="B31" s="38" t="s">
        <v>29</v>
      </c>
      <c r="C31" s="25" t="s">
        <v>139</v>
      </c>
      <c r="D31" s="25" t="str">
        <f t="shared" si="4"/>
        <v>740817-2******</v>
      </c>
      <c r="E31" s="1">
        <f t="shared" si="5"/>
        <v>27258</v>
      </c>
      <c r="F31" s="25">
        <f t="shared" si="6"/>
        <v>1974</v>
      </c>
      <c r="G31" s="25">
        <f t="shared" si="7"/>
        <v>8</v>
      </c>
      <c r="H31" s="25">
        <f t="shared" si="8"/>
        <v>17</v>
      </c>
      <c r="I31" s="25">
        <f t="shared" ca="1" si="9"/>
        <v>45</v>
      </c>
      <c r="J31" s="25" t="str">
        <f t="shared" si="10"/>
        <v>여</v>
      </c>
      <c r="K31" s="4" t="s">
        <v>207</v>
      </c>
      <c r="L31" s="29" t="str">
        <f t="shared" si="11"/>
        <v>010-****-8193</v>
      </c>
      <c r="M31" s="1">
        <v>39058</v>
      </c>
      <c r="N31" s="67">
        <v>12</v>
      </c>
      <c r="O31" s="29">
        <f t="shared" ca="1" si="1"/>
        <v>11</v>
      </c>
      <c r="P31" s="29">
        <f t="shared" ca="1" si="2"/>
        <v>18</v>
      </c>
      <c r="Q31" s="1">
        <v>43254</v>
      </c>
      <c r="R31" s="31" t="str">
        <f t="shared" si="12"/>
        <v>일</v>
      </c>
      <c r="S31" s="25"/>
      <c r="T31" s="25"/>
      <c r="U31" s="25"/>
      <c r="V31" s="25"/>
      <c r="W31" s="25"/>
      <c r="X31" s="25"/>
      <c r="Y31" s="25"/>
      <c r="Z31" s="25">
        <f t="shared" si="13"/>
        <v>0</v>
      </c>
      <c r="AA31" s="25">
        <f t="shared" si="14"/>
        <v>33</v>
      </c>
      <c r="AB31" s="25">
        <f t="shared" si="15"/>
        <v>41.5</v>
      </c>
      <c r="AC31" s="25" t="b">
        <f t="shared" si="16"/>
        <v>0</v>
      </c>
      <c r="AD31" s="25">
        <f t="shared" si="17"/>
        <v>5</v>
      </c>
      <c r="AE31" s="9" t="str">
        <f t="shared" si="18"/>
        <v>D</v>
      </c>
      <c r="AF31" s="41" t="str">
        <f t="shared" si="19"/>
        <v>-</v>
      </c>
      <c r="AG31" s="42" t="str">
        <f t="shared" si="20"/>
        <v>TRY</v>
      </c>
      <c r="AH31" s="25">
        <f>INDEX(혜택포인트!$B$3:$F$6,MATCH(AG31,혜택포인트!$A$3:$A$6,0),MATCH(N31,혜택포인트!$B$2:$F$2,1))</f>
        <v>0.03</v>
      </c>
      <c r="AU31" s="27"/>
      <c r="AV31" s="27"/>
      <c r="AW31" s="27"/>
      <c r="AX31" s="27"/>
      <c r="AY31" s="27"/>
      <c r="AZ31" s="27"/>
      <c r="BA31" s="27"/>
      <c r="BB31" s="27"/>
      <c r="BC31" s="27"/>
    </row>
    <row r="32" spans="1:63" x14ac:dyDescent="0.3">
      <c r="A32" s="25" t="str">
        <f t="shared" si="3"/>
        <v>진-7366</v>
      </c>
      <c r="B32" s="38" t="s">
        <v>30</v>
      </c>
      <c r="C32" s="25" t="s">
        <v>140</v>
      </c>
      <c r="D32" s="25" t="str">
        <f t="shared" si="4"/>
        <v>751031-1******</v>
      </c>
      <c r="E32" s="1">
        <f t="shared" si="5"/>
        <v>27698</v>
      </c>
      <c r="F32" s="25">
        <f t="shared" si="6"/>
        <v>1975</v>
      </c>
      <c r="G32" s="25">
        <f t="shared" si="7"/>
        <v>10</v>
      </c>
      <c r="H32" s="25">
        <f t="shared" si="8"/>
        <v>31</v>
      </c>
      <c r="I32" s="25">
        <f t="shared" ca="1" si="9"/>
        <v>44</v>
      </c>
      <c r="J32" s="25" t="str">
        <f t="shared" si="10"/>
        <v>남</v>
      </c>
      <c r="K32" s="4" t="s">
        <v>208</v>
      </c>
      <c r="L32" s="29" t="str">
        <f t="shared" si="11"/>
        <v>010-****-7366</v>
      </c>
      <c r="M32" s="1">
        <v>41318</v>
      </c>
      <c r="N32" s="67">
        <v>6</v>
      </c>
      <c r="O32" s="29">
        <f t="shared" ca="1" si="1"/>
        <v>9</v>
      </c>
      <c r="P32" s="29">
        <f t="shared" ca="1" si="2"/>
        <v>12</v>
      </c>
      <c r="Q32" s="1">
        <v>42767</v>
      </c>
      <c r="R32" s="34" t="str">
        <f t="shared" si="12"/>
        <v>수</v>
      </c>
      <c r="S32" s="25"/>
      <c r="T32" s="25"/>
      <c r="U32" s="25"/>
      <c r="V32" s="25"/>
      <c r="W32" s="25"/>
      <c r="X32" s="25"/>
      <c r="Y32" s="25"/>
      <c r="Z32" s="25">
        <f t="shared" si="13"/>
        <v>0</v>
      </c>
      <c r="AA32" s="25">
        <f t="shared" si="14"/>
        <v>33</v>
      </c>
      <c r="AB32" s="25">
        <f t="shared" si="15"/>
        <v>41.5</v>
      </c>
      <c r="AC32" s="25" t="b">
        <f t="shared" si="16"/>
        <v>0</v>
      </c>
      <c r="AD32" s="25">
        <f t="shared" si="17"/>
        <v>5</v>
      </c>
      <c r="AE32" s="9" t="str">
        <f t="shared" si="18"/>
        <v>D</v>
      </c>
      <c r="AF32" s="41" t="str">
        <f t="shared" si="19"/>
        <v>-</v>
      </c>
      <c r="AG32" s="42" t="str">
        <f t="shared" si="20"/>
        <v>TRY</v>
      </c>
      <c r="AH32" s="25">
        <f>INDEX(혜택포인트!$B$3:$F$6,MATCH(AG32,혜택포인트!$A$3:$A$6,0),MATCH(N32,혜택포인트!$B$2:$F$2,1))</f>
        <v>0</v>
      </c>
      <c r="AU32" s="52" t="s">
        <v>216</v>
      </c>
      <c r="AV32" s="54" t="s">
        <v>174</v>
      </c>
      <c r="AW32" s="55"/>
      <c r="AX32" s="54" t="s">
        <v>175</v>
      </c>
      <c r="AY32" s="55"/>
      <c r="AZ32" s="54" t="s">
        <v>176</v>
      </c>
      <c r="BA32" s="55"/>
      <c r="BB32" s="54" t="s">
        <v>177</v>
      </c>
      <c r="BC32" s="55"/>
    </row>
    <row r="33" spans="1:63" x14ac:dyDescent="0.3">
      <c r="A33" s="25" t="str">
        <f t="shared" si="3"/>
        <v>민-9132</v>
      </c>
      <c r="B33" s="50" t="s">
        <v>31</v>
      </c>
      <c r="C33" s="5" t="s">
        <v>141</v>
      </c>
      <c r="D33" s="25" t="str">
        <f t="shared" si="4"/>
        <v>940903-1******</v>
      </c>
      <c r="E33" s="1">
        <f t="shared" si="5"/>
        <v>34580</v>
      </c>
      <c r="F33" s="25">
        <f t="shared" si="6"/>
        <v>1994</v>
      </c>
      <c r="G33" s="25">
        <f t="shared" si="7"/>
        <v>9</v>
      </c>
      <c r="H33" s="25">
        <f t="shared" si="8"/>
        <v>3</v>
      </c>
      <c r="I33" s="25">
        <f t="shared" ca="1" si="9"/>
        <v>25</v>
      </c>
      <c r="J33" s="25" t="str">
        <f t="shared" si="10"/>
        <v>남</v>
      </c>
      <c r="K33" s="24" t="s">
        <v>209</v>
      </c>
      <c r="L33" s="29" t="str">
        <f t="shared" si="11"/>
        <v>010-****-9132</v>
      </c>
      <c r="M33" s="6">
        <v>42167</v>
      </c>
      <c r="N33" s="67">
        <v>4</v>
      </c>
      <c r="O33" s="29">
        <f t="shared" ca="1" si="1"/>
        <v>5</v>
      </c>
      <c r="P33" s="29">
        <f t="shared" ca="1" si="2"/>
        <v>13</v>
      </c>
      <c r="Q33" s="6">
        <v>43734</v>
      </c>
      <c r="R33" s="35" t="str">
        <f t="shared" si="12"/>
        <v>목</v>
      </c>
      <c r="S33" s="5">
        <v>3</v>
      </c>
      <c r="T33" s="5"/>
      <c r="U33" s="5"/>
      <c r="V33" s="5"/>
      <c r="W33" s="5"/>
      <c r="X33" s="5">
        <v>9</v>
      </c>
      <c r="Y33" s="5"/>
      <c r="Z33" s="25">
        <f t="shared" si="13"/>
        <v>12</v>
      </c>
      <c r="AA33" s="25">
        <f t="shared" si="14"/>
        <v>28</v>
      </c>
      <c r="AB33" s="25">
        <f t="shared" si="15"/>
        <v>28</v>
      </c>
      <c r="AC33" s="25" t="b">
        <f t="shared" si="16"/>
        <v>0</v>
      </c>
      <c r="AD33" s="25">
        <f t="shared" si="17"/>
        <v>5</v>
      </c>
      <c r="AE33" s="9" t="str">
        <f t="shared" si="18"/>
        <v>D</v>
      </c>
      <c r="AF33" s="45" t="str">
        <f t="shared" si="19"/>
        <v>영화</v>
      </c>
      <c r="AG33" s="42" t="str">
        <f t="shared" si="20"/>
        <v>TRY</v>
      </c>
      <c r="AH33" s="25">
        <f>INDEX(혜택포인트!$B$3:$F$6,MATCH(AG33,혜택포인트!$A$3:$A$6,0),MATCH(N33,혜택포인트!$B$2:$F$2,1))</f>
        <v>0</v>
      </c>
      <c r="AU33" s="53"/>
      <c r="AV33" s="30" t="s">
        <v>76</v>
      </c>
      <c r="AW33" s="30" t="s">
        <v>79</v>
      </c>
      <c r="AX33" s="30" t="s">
        <v>76</v>
      </c>
      <c r="AY33" s="30" t="s">
        <v>79</v>
      </c>
      <c r="AZ33" s="30" t="s">
        <v>76</v>
      </c>
      <c r="BA33" s="30" t="s">
        <v>79</v>
      </c>
      <c r="BB33" s="30" t="s">
        <v>76</v>
      </c>
      <c r="BC33" s="30" t="s">
        <v>79</v>
      </c>
    </row>
    <row r="34" spans="1:63" x14ac:dyDescent="0.3">
      <c r="A34" s="25" t="str">
        <f t="shared" si="3"/>
        <v>민-9124</v>
      </c>
      <c r="B34" s="29" t="s">
        <v>34</v>
      </c>
      <c r="C34" s="25" t="s">
        <v>142</v>
      </c>
      <c r="D34" s="25" t="str">
        <f t="shared" si="4"/>
        <v>801226-1******</v>
      </c>
      <c r="E34" s="1">
        <f t="shared" si="5"/>
        <v>29581</v>
      </c>
      <c r="F34" s="25">
        <f t="shared" si="6"/>
        <v>1980</v>
      </c>
      <c r="G34" s="25">
        <f t="shared" si="7"/>
        <v>12</v>
      </c>
      <c r="H34" s="25">
        <f t="shared" si="8"/>
        <v>26</v>
      </c>
      <c r="I34" s="25">
        <f t="shared" ca="1" si="9"/>
        <v>38</v>
      </c>
      <c r="J34" s="25" t="str">
        <f t="shared" si="10"/>
        <v>남</v>
      </c>
      <c r="K34" s="4" t="s">
        <v>35</v>
      </c>
      <c r="L34" s="29" t="str">
        <f t="shared" si="11"/>
        <v>010-****-9124</v>
      </c>
      <c r="M34" s="1">
        <v>40095</v>
      </c>
      <c r="N34" s="67">
        <v>10</v>
      </c>
      <c r="O34" s="29">
        <f t="shared" ca="1" si="1"/>
        <v>1</v>
      </c>
      <c r="P34" s="29">
        <f t="shared" ca="1" si="2"/>
        <v>16</v>
      </c>
      <c r="Q34" s="1">
        <v>43463</v>
      </c>
      <c r="R34" s="36" t="str">
        <f t="shared" si="12"/>
        <v>토</v>
      </c>
      <c r="S34" s="25"/>
      <c r="T34" s="25"/>
      <c r="U34" s="25"/>
      <c r="V34" s="25"/>
      <c r="W34" s="25"/>
      <c r="X34" s="25"/>
      <c r="Y34" s="25"/>
      <c r="Z34" s="25">
        <f t="shared" si="13"/>
        <v>0</v>
      </c>
      <c r="AA34" s="25">
        <f t="shared" si="14"/>
        <v>33</v>
      </c>
      <c r="AB34" s="25">
        <f t="shared" si="15"/>
        <v>41.5</v>
      </c>
      <c r="AC34" s="25" t="b">
        <f t="shared" si="16"/>
        <v>0</v>
      </c>
      <c r="AD34" s="25">
        <f t="shared" si="17"/>
        <v>5</v>
      </c>
      <c r="AE34" s="9" t="str">
        <f t="shared" si="18"/>
        <v>D</v>
      </c>
      <c r="AF34" s="41" t="str">
        <f t="shared" si="19"/>
        <v>-</v>
      </c>
      <c r="AG34" s="42" t="str">
        <f t="shared" si="20"/>
        <v>TRY</v>
      </c>
      <c r="AH34" s="25">
        <f>INDEX(혜택포인트!$B$3:$F$6,MATCH(AG34,혜택포인트!$A$3:$A$6,0),MATCH(N34,혜택포인트!$B$2:$F$2,1))</f>
        <v>0.03</v>
      </c>
      <c r="AU34" s="30" t="s">
        <v>87</v>
      </c>
      <c r="AV34" s="30">
        <f>SUMIFS($Z$5:$Z$54,$AF$5:$AF$54,"="&amp;$AU34,$AG$5:$AG$54,"="&amp;$AV$32)</f>
        <v>112</v>
      </c>
      <c r="AW34" s="30">
        <f>IFERROR(ROUND(AVERAGEIFS($Z$5:$Z$54,$AF$5:$AF$54,"="&amp;$AU34,$AG$5:$AG$54,"="&amp;$AV$32),2),0)</f>
        <v>112</v>
      </c>
      <c r="AX34" s="30">
        <f>SUMIFS($Z$5:$Z$54,$AF$5:$AF$54,"="&amp;$AU34,$AG$5:$AG$54,"="&amp;$AX$32)</f>
        <v>100</v>
      </c>
      <c r="AY34" s="30">
        <f>IFERROR(ROUND(AVERAGEIFS($Z$5:$Z$54,$AF$5:$AF$54,"="&amp;$AU34,$AG$5:$AG$54,"="&amp;$AX$32),2),0)</f>
        <v>100</v>
      </c>
      <c r="AZ34" s="30">
        <f>SUMIFS($Z$5:$Z$54,$AF$5:$AF$54,"="&amp;$AU34,$AG$5:$AG$54,"="&amp;$AZ$32)</f>
        <v>182</v>
      </c>
      <c r="BA34" s="30">
        <f>IFERROR(ROUND(AVERAGEIFS($Z$5:$Z$54,$AF$5:$AF$54,"="&amp;$AU34,$AG$5:$AG$54,"="&amp;$AZ$32),2),0)</f>
        <v>60.67</v>
      </c>
      <c r="BB34" s="30">
        <f>SUMIFS($Z$5:$Z$54,$AF$5:$AF$54,"="&amp;$AU34,$AG$5:$AG$54,"="&amp;$BB$32)</f>
        <v>47</v>
      </c>
      <c r="BC34" s="30">
        <f>IFERROR(ROUND(AVERAGEIFS($Z$5:$Z$54,$AF$5:$AF$54,"="&amp;$AU34,$AG$5:$AG$54,"="&amp;$BB$32),2),0)</f>
        <v>47</v>
      </c>
    </row>
    <row r="35" spans="1:63" x14ac:dyDescent="0.3">
      <c r="A35" s="25" t="str">
        <f t="shared" si="3"/>
        <v>수-3985</v>
      </c>
      <c r="B35" s="29" t="s">
        <v>36</v>
      </c>
      <c r="C35" s="25" t="s">
        <v>143</v>
      </c>
      <c r="D35" s="25" t="str">
        <f t="shared" si="4"/>
        <v>770519-2******</v>
      </c>
      <c r="E35" s="1">
        <f t="shared" si="5"/>
        <v>28264</v>
      </c>
      <c r="F35" s="25">
        <f t="shared" si="6"/>
        <v>1977</v>
      </c>
      <c r="G35" s="25">
        <f t="shared" si="7"/>
        <v>5</v>
      </c>
      <c r="H35" s="25">
        <f t="shared" si="8"/>
        <v>19</v>
      </c>
      <c r="I35" s="25">
        <f t="shared" ca="1" si="9"/>
        <v>42</v>
      </c>
      <c r="J35" s="25" t="str">
        <f t="shared" si="10"/>
        <v>여</v>
      </c>
      <c r="K35" s="4" t="s">
        <v>37</v>
      </c>
      <c r="L35" s="29" t="str">
        <f t="shared" si="11"/>
        <v>010-****-3985</v>
      </c>
      <c r="M35" s="1">
        <v>37962</v>
      </c>
      <c r="N35" s="67">
        <v>15</v>
      </c>
      <c r="O35" s="29">
        <f t="shared" ca="1" si="1"/>
        <v>11</v>
      </c>
      <c r="P35" s="29">
        <f t="shared" ca="1" si="2"/>
        <v>18</v>
      </c>
      <c r="Q35" s="1">
        <v>43669</v>
      </c>
      <c r="R35" s="33" t="str">
        <f t="shared" si="12"/>
        <v>화</v>
      </c>
      <c r="S35" s="25">
        <v>8</v>
      </c>
      <c r="T35" s="25">
        <v>25</v>
      </c>
      <c r="U35" s="25"/>
      <c r="V35" s="25">
        <v>5</v>
      </c>
      <c r="W35" s="25">
        <v>63</v>
      </c>
      <c r="X35" s="25">
        <v>59</v>
      </c>
      <c r="Y35" s="25">
        <v>34</v>
      </c>
      <c r="Z35" s="25">
        <f t="shared" si="13"/>
        <v>194</v>
      </c>
      <c r="AA35" s="25">
        <f t="shared" si="14"/>
        <v>2</v>
      </c>
      <c r="AB35" s="25">
        <f t="shared" si="15"/>
        <v>2</v>
      </c>
      <c r="AC35" s="25" t="b">
        <f t="shared" si="16"/>
        <v>1</v>
      </c>
      <c r="AD35" s="25">
        <f t="shared" si="17"/>
        <v>2</v>
      </c>
      <c r="AE35" s="9" t="str">
        <f t="shared" si="18"/>
        <v>C</v>
      </c>
      <c r="AF35" s="43" t="str">
        <f t="shared" si="19"/>
        <v>뮤지컬</v>
      </c>
      <c r="AG35" s="44" t="str">
        <f t="shared" si="20"/>
        <v>MANIA</v>
      </c>
      <c r="AH35" s="25">
        <f>INDEX(혜택포인트!$B$3:$F$6,MATCH(AG35,혜택포인트!$A$3:$A$6,0),MATCH(N35,혜택포인트!$B$2:$F$2,1))</f>
        <v>0.35</v>
      </c>
      <c r="AU35" s="30" t="s">
        <v>88</v>
      </c>
      <c r="AV35" s="30">
        <f t="shared" ref="AV35:AV40" si="35">SUMIFS($Z$5:$Z$54,$AF$5:$AF$54,"="&amp;$AU35,$AG$5:$AG$54,"="&amp;$AV$32)</f>
        <v>0</v>
      </c>
      <c r="AW35" s="30">
        <f t="shared" ref="AW35:AW40" si="36">IFERROR(ROUND(AVERAGEIFS($Z$5:$Z$54,$AF$5:$AF$54,"="&amp;$AU35,$AG$5:$AG$54,"="&amp;$AV$32),2),0)</f>
        <v>0</v>
      </c>
      <c r="AX35" s="30">
        <f t="shared" ref="AX35:AX40" si="37">SUMIFS($Z$5:$Z$54,$AF$5:$AF$54,"="&amp;$AU35,$AG$5:$AG$54,"="&amp;$AX$32)</f>
        <v>129</v>
      </c>
      <c r="AY35" s="30">
        <f t="shared" ref="AY35:AY40" si="38">IFERROR(ROUND(AVERAGEIFS($Z$5:$Z$54,$AF$5:$AF$54,"="&amp;$AU35,$AG$5:$AG$54,"="&amp;$AX$32),2),0)</f>
        <v>129</v>
      </c>
      <c r="AZ35" s="30">
        <f t="shared" ref="AZ35:AZ40" si="39">SUMIFS($Z$5:$Z$54,$AF$5:$AF$54,"="&amp;$AU35,$AG$5:$AG$54,"="&amp;$AZ$32)</f>
        <v>159</v>
      </c>
      <c r="BA35" s="30">
        <f t="shared" ref="BA35:BA40" si="40">IFERROR(ROUND(AVERAGEIFS($Z$5:$Z$54,$AF$5:$AF$54,"="&amp;$AU35,$AG$5:$AG$54,"="&amp;$AZ$32),2),0)</f>
        <v>79.5</v>
      </c>
      <c r="BB35" s="30">
        <f t="shared" ref="BB35:BB40" si="41">SUMIFS($Z$5:$Z$54,$AF$5:$AF$54,"="&amp;$AU35,$AG$5:$AG$54,"="&amp;$BB$32)</f>
        <v>82</v>
      </c>
      <c r="BC35" s="30">
        <f t="shared" ref="BC35:BC40" si="42">IFERROR(ROUND(AVERAGEIFS($Z$5:$Z$54,$AF$5:$AF$54,"="&amp;$AU35,$AG$5:$AG$54,"="&amp;$BB$32),2),0)</f>
        <v>27.33</v>
      </c>
    </row>
    <row r="36" spans="1:63" x14ac:dyDescent="0.3">
      <c r="A36" s="25" t="str">
        <f t="shared" si="3"/>
        <v>원-7896</v>
      </c>
      <c r="B36" s="29" t="s">
        <v>38</v>
      </c>
      <c r="C36" s="25" t="s">
        <v>144</v>
      </c>
      <c r="D36" s="25" t="str">
        <f t="shared" si="4"/>
        <v>820406-1******</v>
      </c>
      <c r="E36" s="1">
        <f t="shared" si="5"/>
        <v>30047</v>
      </c>
      <c r="F36" s="25">
        <f t="shared" si="6"/>
        <v>1982</v>
      </c>
      <c r="G36" s="25">
        <f t="shared" si="7"/>
        <v>4</v>
      </c>
      <c r="H36" s="25">
        <f t="shared" si="8"/>
        <v>6</v>
      </c>
      <c r="I36" s="25">
        <f t="shared" ca="1" si="9"/>
        <v>37</v>
      </c>
      <c r="J36" s="25" t="str">
        <f t="shared" si="10"/>
        <v>남</v>
      </c>
      <c r="K36" s="4" t="s">
        <v>39</v>
      </c>
      <c r="L36" s="29" t="str">
        <f t="shared" si="11"/>
        <v>010-****-7896</v>
      </c>
      <c r="M36" s="1">
        <v>40777</v>
      </c>
      <c r="N36" s="67">
        <v>8</v>
      </c>
      <c r="O36" s="29">
        <f t="shared" ca="1" si="1"/>
        <v>3</v>
      </c>
      <c r="P36" s="29">
        <f t="shared" ca="1" si="2"/>
        <v>3</v>
      </c>
      <c r="Q36" s="1">
        <v>43721</v>
      </c>
      <c r="R36" s="37" t="str">
        <f t="shared" si="12"/>
        <v>금</v>
      </c>
      <c r="S36" s="25"/>
      <c r="T36" s="25">
        <v>4</v>
      </c>
      <c r="U36" s="25"/>
      <c r="V36" s="25">
        <v>13</v>
      </c>
      <c r="W36" s="25">
        <v>3</v>
      </c>
      <c r="X36" s="25">
        <v>96</v>
      </c>
      <c r="Y36" s="25">
        <v>9</v>
      </c>
      <c r="Z36" s="25">
        <f t="shared" si="13"/>
        <v>125</v>
      </c>
      <c r="AA36" s="25">
        <f t="shared" si="14"/>
        <v>7</v>
      </c>
      <c r="AB36" s="25">
        <f t="shared" si="15"/>
        <v>7</v>
      </c>
      <c r="AC36" s="25" t="b">
        <f t="shared" si="16"/>
        <v>1</v>
      </c>
      <c r="AD36" s="25">
        <f t="shared" si="17"/>
        <v>3</v>
      </c>
      <c r="AE36" s="9" t="str">
        <f t="shared" si="18"/>
        <v>C</v>
      </c>
      <c r="AF36" s="45" t="str">
        <f t="shared" si="19"/>
        <v>영화</v>
      </c>
      <c r="AG36" s="44" t="str">
        <f t="shared" si="20"/>
        <v>MANIA</v>
      </c>
      <c r="AH36" s="25">
        <f>INDEX(혜택포인트!$B$3:$F$6,MATCH(AG36,혜택포인트!$A$3:$A$6,0),MATCH(N36,혜택포인트!$B$2:$F$2,1))</f>
        <v>0.25</v>
      </c>
      <c r="AU36" s="30" t="s">
        <v>89</v>
      </c>
      <c r="AV36" s="30">
        <f t="shared" si="35"/>
        <v>0</v>
      </c>
      <c r="AW36" s="30">
        <f t="shared" si="36"/>
        <v>0</v>
      </c>
      <c r="AX36" s="30">
        <f t="shared" si="37"/>
        <v>0</v>
      </c>
      <c r="AY36" s="30">
        <f t="shared" si="38"/>
        <v>0</v>
      </c>
      <c r="AZ36" s="30">
        <f t="shared" si="39"/>
        <v>0</v>
      </c>
      <c r="BA36" s="30">
        <f t="shared" si="40"/>
        <v>0</v>
      </c>
      <c r="BB36" s="30">
        <f t="shared" si="41"/>
        <v>0</v>
      </c>
      <c r="BC36" s="30">
        <f t="shared" si="42"/>
        <v>0</v>
      </c>
    </row>
    <row r="37" spans="1:63" x14ac:dyDescent="0.3">
      <c r="A37" s="25" t="str">
        <f t="shared" si="3"/>
        <v>주-6578</v>
      </c>
      <c r="B37" s="29" t="s">
        <v>40</v>
      </c>
      <c r="C37" s="25" t="s">
        <v>145</v>
      </c>
      <c r="D37" s="25" t="str">
        <f t="shared" si="4"/>
        <v>810907-2******</v>
      </c>
      <c r="E37" s="1">
        <f t="shared" si="5"/>
        <v>29836</v>
      </c>
      <c r="F37" s="25">
        <f t="shared" si="6"/>
        <v>1981</v>
      </c>
      <c r="G37" s="25">
        <f t="shared" si="7"/>
        <v>9</v>
      </c>
      <c r="H37" s="25">
        <f t="shared" si="8"/>
        <v>7</v>
      </c>
      <c r="I37" s="25">
        <f t="shared" ca="1" si="9"/>
        <v>38</v>
      </c>
      <c r="J37" s="25" t="str">
        <f t="shared" si="10"/>
        <v>여</v>
      </c>
      <c r="K37" s="4" t="s">
        <v>41</v>
      </c>
      <c r="L37" s="29" t="str">
        <f t="shared" si="11"/>
        <v>010-****-6578</v>
      </c>
      <c r="M37" s="1">
        <v>38321</v>
      </c>
      <c r="N37" s="67">
        <v>14</v>
      </c>
      <c r="O37" s="29">
        <f t="shared" ref="O37:O54" ca="1" si="43">DATEDIF(M37,TODAY(),"YM")</f>
        <v>11</v>
      </c>
      <c r="P37" s="29">
        <f t="shared" ref="P37:P54" ca="1" si="44">DATEDIF(M37,TODAY(),"MD")</f>
        <v>26</v>
      </c>
      <c r="Q37" s="1">
        <v>43748</v>
      </c>
      <c r="R37" s="35" t="str">
        <f t="shared" si="12"/>
        <v>목</v>
      </c>
      <c r="S37" s="25"/>
      <c r="T37" s="25"/>
      <c r="U37" s="25"/>
      <c r="V37" s="25"/>
      <c r="W37" s="25">
        <v>23</v>
      </c>
      <c r="X37" s="25"/>
      <c r="Y37" s="25"/>
      <c r="Z37" s="25">
        <f t="shared" si="13"/>
        <v>23</v>
      </c>
      <c r="AA37" s="25">
        <f t="shared" si="14"/>
        <v>26</v>
      </c>
      <c r="AB37" s="25">
        <f t="shared" si="15"/>
        <v>26</v>
      </c>
      <c r="AC37" s="25" t="b">
        <f t="shared" si="16"/>
        <v>0</v>
      </c>
      <c r="AD37" s="25">
        <f t="shared" si="17"/>
        <v>5</v>
      </c>
      <c r="AE37" s="9" t="str">
        <f t="shared" si="18"/>
        <v>D</v>
      </c>
      <c r="AF37" s="43" t="str">
        <f t="shared" si="19"/>
        <v>뮤지컬</v>
      </c>
      <c r="AG37" s="42" t="str">
        <f t="shared" si="20"/>
        <v>TRY</v>
      </c>
      <c r="AH37" s="25">
        <f>INDEX(혜택포인트!$B$3:$F$6,MATCH(AG37,혜택포인트!$A$3:$A$6,0),MATCH(N37,혜택포인트!$B$2:$F$2,1))</f>
        <v>0.03</v>
      </c>
      <c r="AU37" s="30" t="s">
        <v>90</v>
      </c>
      <c r="AV37" s="30">
        <f t="shared" si="35"/>
        <v>0</v>
      </c>
      <c r="AW37" s="30">
        <f t="shared" si="36"/>
        <v>0</v>
      </c>
      <c r="AX37" s="30">
        <f t="shared" si="37"/>
        <v>100</v>
      </c>
      <c r="AY37" s="30">
        <f t="shared" si="38"/>
        <v>100</v>
      </c>
      <c r="AZ37" s="30">
        <f t="shared" si="39"/>
        <v>0</v>
      </c>
      <c r="BA37" s="30">
        <f t="shared" si="40"/>
        <v>0</v>
      </c>
      <c r="BB37" s="30">
        <f t="shared" si="41"/>
        <v>31</v>
      </c>
      <c r="BC37" s="30">
        <f t="shared" si="42"/>
        <v>31</v>
      </c>
    </row>
    <row r="38" spans="1:63" x14ac:dyDescent="0.3">
      <c r="A38" s="25" t="str">
        <f t="shared" si="3"/>
        <v>치-5632</v>
      </c>
      <c r="B38" s="29" t="s">
        <v>42</v>
      </c>
      <c r="C38" s="25" t="s">
        <v>146</v>
      </c>
      <c r="D38" s="25" t="str">
        <f t="shared" si="4"/>
        <v>750113-1******</v>
      </c>
      <c r="E38" s="1">
        <f t="shared" si="5"/>
        <v>27407</v>
      </c>
      <c r="F38" s="25">
        <f t="shared" si="6"/>
        <v>1975</v>
      </c>
      <c r="G38" s="25">
        <f t="shared" si="7"/>
        <v>1</v>
      </c>
      <c r="H38" s="25">
        <f t="shared" si="8"/>
        <v>13</v>
      </c>
      <c r="I38" s="25">
        <f t="shared" ca="1" si="9"/>
        <v>44</v>
      </c>
      <c r="J38" s="25" t="str">
        <f t="shared" si="10"/>
        <v>남</v>
      </c>
      <c r="K38" s="4" t="s">
        <v>43</v>
      </c>
      <c r="L38" s="29" t="str">
        <f t="shared" si="11"/>
        <v>010-****-5632</v>
      </c>
      <c r="M38" s="1">
        <v>38605</v>
      </c>
      <c r="N38" s="67">
        <v>14</v>
      </c>
      <c r="O38" s="29">
        <f t="shared" ca="1" si="43"/>
        <v>2</v>
      </c>
      <c r="P38" s="29">
        <f t="shared" ca="1" si="44"/>
        <v>15</v>
      </c>
      <c r="Q38" s="1">
        <v>43233</v>
      </c>
      <c r="R38" s="31" t="str">
        <f t="shared" si="12"/>
        <v>일</v>
      </c>
      <c r="S38" s="25"/>
      <c r="T38" s="25"/>
      <c r="U38" s="25"/>
      <c r="V38" s="25"/>
      <c r="W38" s="25"/>
      <c r="X38" s="25"/>
      <c r="Y38" s="25"/>
      <c r="Z38" s="25">
        <f t="shared" si="13"/>
        <v>0</v>
      </c>
      <c r="AA38" s="25">
        <f t="shared" si="14"/>
        <v>33</v>
      </c>
      <c r="AB38" s="25">
        <f t="shared" si="15"/>
        <v>41.5</v>
      </c>
      <c r="AC38" s="25" t="b">
        <f t="shared" si="16"/>
        <v>0</v>
      </c>
      <c r="AD38" s="25">
        <f t="shared" si="17"/>
        <v>5</v>
      </c>
      <c r="AE38" s="9" t="str">
        <f t="shared" si="18"/>
        <v>D</v>
      </c>
      <c r="AF38" s="41" t="str">
        <f t="shared" si="19"/>
        <v>-</v>
      </c>
      <c r="AG38" s="42" t="str">
        <f t="shared" si="20"/>
        <v>TRY</v>
      </c>
      <c r="AH38" s="25">
        <f>INDEX(혜택포인트!$B$3:$F$6,MATCH(AG38,혜택포인트!$A$3:$A$6,0),MATCH(N38,혜택포인트!$B$2:$F$2,1))</f>
        <v>0.03</v>
      </c>
      <c r="AU38" s="30" t="s">
        <v>91</v>
      </c>
      <c r="AV38" s="30">
        <f t="shared" si="35"/>
        <v>330</v>
      </c>
      <c r="AW38" s="30">
        <f t="shared" si="36"/>
        <v>165</v>
      </c>
      <c r="AX38" s="30">
        <f t="shared" si="37"/>
        <v>0</v>
      </c>
      <c r="AY38" s="30">
        <f t="shared" si="38"/>
        <v>0</v>
      </c>
      <c r="AZ38" s="30">
        <f t="shared" si="39"/>
        <v>0</v>
      </c>
      <c r="BA38" s="30">
        <f t="shared" si="40"/>
        <v>0</v>
      </c>
      <c r="BB38" s="30">
        <f t="shared" si="41"/>
        <v>53</v>
      </c>
      <c r="BC38" s="30">
        <f t="shared" si="42"/>
        <v>13.25</v>
      </c>
    </row>
    <row r="39" spans="1:63" x14ac:dyDescent="0.3">
      <c r="A39" s="25" t="str">
        <f t="shared" si="3"/>
        <v>운-7412</v>
      </c>
      <c r="B39" s="29" t="s">
        <v>44</v>
      </c>
      <c r="C39" s="25" t="s">
        <v>147</v>
      </c>
      <c r="D39" s="25" t="str">
        <f t="shared" si="4"/>
        <v>730614-1******</v>
      </c>
      <c r="E39" s="1">
        <f t="shared" si="5"/>
        <v>26829</v>
      </c>
      <c r="F39" s="25">
        <f t="shared" si="6"/>
        <v>1973</v>
      </c>
      <c r="G39" s="25">
        <f t="shared" si="7"/>
        <v>6</v>
      </c>
      <c r="H39" s="25">
        <f t="shared" si="8"/>
        <v>14</v>
      </c>
      <c r="I39" s="25">
        <f t="shared" ca="1" si="9"/>
        <v>46</v>
      </c>
      <c r="J39" s="25" t="str">
        <f t="shared" si="10"/>
        <v>남</v>
      </c>
      <c r="K39" s="4" t="s">
        <v>45</v>
      </c>
      <c r="L39" s="29" t="str">
        <f t="shared" si="11"/>
        <v>010-****-7412</v>
      </c>
      <c r="M39" s="1">
        <v>41308</v>
      </c>
      <c r="N39" s="67">
        <v>6</v>
      </c>
      <c r="O39" s="29">
        <f t="shared" ca="1" si="43"/>
        <v>9</v>
      </c>
      <c r="P39" s="29">
        <f t="shared" ca="1" si="44"/>
        <v>22</v>
      </c>
      <c r="Q39" s="1">
        <v>43475</v>
      </c>
      <c r="R39" s="35" t="str">
        <f t="shared" si="12"/>
        <v>목</v>
      </c>
      <c r="S39" s="25">
        <v>71</v>
      </c>
      <c r="T39" s="25">
        <v>12</v>
      </c>
      <c r="U39" s="25">
        <v>29</v>
      </c>
      <c r="V39" s="25"/>
      <c r="W39" s="25"/>
      <c r="X39" s="25"/>
      <c r="Y39" s="25"/>
      <c r="Z39" s="25">
        <f t="shared" si="13"/>
        <v>112</v>
      </c>
      <c r="AA39" s="25">
        <f t="shared" si="14"/>
        <v>9</v>
      </c>
      <c r="AB39" s="25">
        <f t="shared" si="15"/>
        <v>9</v>
      </c>
      <c r="AC39" s="25" t="b">
        <f t="shared" si="16"/>
        <v>1</v>
      </c>
      <c r="AD39" s="25">
        <f t="shared" si="17"/>
        <v>3</v>
      </c>
      <c r="AE39" s="9" t="str">
        <f t="shared" si="18"/>
        <v>D</v>
      </c>
      <c r="AF39" s="46" t="str">
        <f t="shared" si="19"/>
        <v>클래식</v>
      </c>
      <c r="AG39" s="44" t="str">
        <f t="shared" si="20"/>
        <v>MANIA</v>
      </c>
      <c r="AH39" s="25">
        <f>INDEX(혜택포인트!$B$3:$F$6,MATCH(AG39,혜택포인트!$A$3:$A$6,0),MATCH(N39,혜택포인트!$B$2:$F$2,1))</f>
        <v>0.25</v>
      </c>
      <c r="AU39" s="30" t="s">
        <v>92</v>
      </c>
      <c r="AV39" s="30">
        <f t="shared" si="35"/>
        <v>639</v>
      </c>
      <c r="AW39" s="30">
        <f t="shared" si="36"/>
        <v>127.8</v>
      </c>
      <c r="AX39" s="30">
        <f t="shared" si="37"/>
        <v>0</v>
      </c>
      <c r="AY39" s="30">
        <f t="shared" si="38"/>
        <v>0</v>
      </c>
      <c r="AZ39" s="30">
        <f t="shared" si="39"/>
        <v>122</v>
      </c>
      <c r="BA39" s="30">
        <f t="shared" si="40"/>
        <v>61</v>
      </c>
      <c r="BB39" s="30">
        <f t="shared" si="41"/>
        <v>44</v>
      </c>
      <c r="BC39" s="30">
        <f t="shared" si="42"/>
        <v>22</v>
      </c>
    </row>
    <row r="40" spans="1:63" x14ac:dyDescent="0.3">
      <c r="A40" s="25" t="str">
        <f t="shared" si="3"/>
        <v>민-5896</v>
      </c>
      <c r="B40" s="29" t="s">
        <v>46</v>
      </c>
      <c r="C40" s="25" t="s">
        <v>148</v>
      </c>
      <c r="D40" s="25" t="str">
        <f t="shared" si="4"/>
        <v>900702-2******</v>
      </c>
      <c r="E40" s="1">
        <f t="shared" si="5"/>
        <v>33056</v>
      </c>
      <c r="F40" s="25">
        <f t="shared" si="6"/>
        <v>1990</v>
      </c>
      <c r="G40" s="25">
        <f t="shared" si="7"/>
        <v>7</v>
      </c>
      <c r="H40" s="25">
        <f t="shared" si="8"/>
        <v>2</v>
      </c>
      <c r="I40" s="25">
        <f t="shared" ca="1" si="9"/>
        <v>29</v>
      </c>
      <c r="J40" s="25" t="str">
        <f t="shared" si="10"/>
        <v>여</v>
      </c>
      <c r="K40" s="4" t="s">
        <v>47</v>
      </c>
      <c r="L40" s="29" t="str">
        <f t="shared" si="11"/>
        <v>010-****-5896</v>
      </c>
      <c r="M40" s="1">
        <v>41764</v>
      </c>
      <c r="N40" s="67">
        <v>5</v>
      </c>
      <c r="O40" s="29">
        <f t="shared" ca="1" si="43"/>
        <v>6</v>
      </c>
      <c r="P40" s="29">
        <f t="shared" ca="1" si="44"/>
        <v>20</v>
      </c>
      <c r="Q40" s="1">
        <v>43758</v>
      </c>
      <c r="R40" s="31" t="str">
        <f t="shared" si="12"/>
        <v>일</v>
      </c>
      <c r="S40" s="25"/>
      <c r="T40" s="25"/>
      <c r="U40" s="25"/>
      <c r="V40" s="25"/>
      <c r="W40" s="25"/>
      <c r="X40" s="25">
        <v>126</v>
      </c>
      <c r="Y40" s="25"/>
      <c r="Z40" s="25">
        <f t="shared" si="13"/>
        <v>126</v>
      </c>
      <c r="AA40" s="25">
        <f t="shared" si="14"/>
        <v>6</v>
      </c>
      <c r="AB40" s="25">
        <f t="shared" si="15"/>
        <v>6</v>
      </c>
      <c r="AC40" s="25" t="b">
        <f t="shared" si="16"/>
        <v>1</v>
      </c>
      <c r="AD40" s="25">
        <f t="shared" si="17"/>
        <v>3</v>
      </c>
      <c r="AE40" s="9" t="str">
        <f t="shared" si="18"/>
        <v>B</v>
      </c>
      <c r="AF40" s="45" t="str">
        <f t="shared" si="19"/>
        <v>영화</v>
      </c>
      <c r="AG40" s="44" t="str">
        <f t="shared" si="20"/>
        <v>MANIA</v>
      </c>
      <c r="AH40" s="25">
        <f>INDEX(혜택포인트!$B$3:$F$6,MATCH(AG40,혜택포인트!$A$3:$A$6,0),MATCH(N40,혜택포인트!$B$2:$F$2,1))</f>
        <v>0.25</v>
      </c>
      <c r="AU40" s="30" t="s">
        <v>93</v>
      </c>
      <c r="AV40" s="30">
        <f t="shared" si="35"/>
        <v>202</v>
      </c>
      <c r="AW40" s="30">
        <f t="shared" si="36"/>
        <v>202</v>
      </c>
      <c r="AX40" s="30">
        <f t="shared" si="37"/>
        <v>0</v>
      </c>
      <c r="AY40" s="30">
        <f t="shared" si="38"/>
        <v>0</v>
      </c>
      <c r="AZ40" s="30">
        <f t="shared" si="39"/>
        <v>0</v>
      </c>
      <c r="BA40" s="30">
        <f t="shared" si="40"/>
        <v>0</v>
      </c>
      <c r="BB40" s="30">
        <f t="shared" si="41"/>
        <v>33</v>
      </c>
      <c r="BC40" s="30">
        <f t="shared" si="42"/>
        <v>16.5</v>
      </c>
    </row>
    <row r="41" spans="1:63" x14ac:dyDescent="0.3">
      <c r="A41" s="25" t="str">
        <f t="shared" si="3"/>
        <v>운-4268</v>
      </c>
      <c r="B41" s="29" t="s">
        <v>48</v>
      </c>
      <c r="C41" s="25" t="s">
        <v>149</v>
      </c>
      <c r="D41" s="25" t="str">
        <f t="shared" si="4"/>
        <v>790909-1******</v>
      </c>
      <c r="E41" s="1">
        <f t="shared" si="5"/>
        <v>29107</v>
      </c>
      <c r="F41" s="25">
        <f t="shared" si="6"/>
        <v>1979</v>
      </c>
      <c r="G41" s="25">
        <f t="shared" si="7"/>
        <v>9</v>
      </c>
      <c r="H41" s="25">
        <f t="shared" si="8"/>
        <v>9</v>
      </c>
      <c r="I41" s="25">
        <f t="shared" ca="1" si="9"/>
        <v>40</v>
      </c>
      <c r="J41" s="25" t="str">
        <f t="shared" si="10"/>
        <v>남</v>
      </c>
      <c r="K41" s="4" t="s">
        <v>49</v>
      </c>
      <c r="L41" s="29" t="str">
        <f t="shared" si="11"/>
        <v>010-****-4268</v>
      </c>
      <c r="M41" s="1">
        <v>41909</v>
      </c>
      <c r="N41" s="67">
        <v>5</v>
      </c>
      <c r="O41" s="29">
        <f t="shared" ca="1" si="43"/>
        <v>1</v>
      </c>
      <c r="P41" s="29">
        <f t="shared" ca="1" si="44"/>
        <v>29</v>
      </c>
      <c r="Q41" s="1">
        <v>43737</v>
      </c>
      <c r="R41" s="31" t="str">
        <f t="shared" si="12"/>
        <v>일</v>
      </c>
      <c r="S41" s="25">
        <v>33</v>
      </c>
      <c r="T41" s="25">
        <v>14</v>
      </c>
      <c r="U41" s="25"/>
      <c r="V41" s="25"/>
      <c r="W41" s="25"/>
      <c r="X41" s="25"/>
      <c r="Y41" s="25"/>
      <c r="Z41" s="25">
        <f t="shared" si="13"/>
        <v>47</v>
      </c>
      <c r="AA41" s="25">
        <f t="shared" si="14"/>
        <v>20</v>
      </c>
      <c r="AB41" s="25">
        <f t="shared" si="15"/>
        <v>20</v>
      </c>
      <c r="AC41" s="25" t="b">
        <f t="shared" si="16"/>
        <v>0</v>
      </c>
      <c r="AD41" s="25">
        <f t="shared" si="17"/>
        <v>5</v>
      </c>
      <c r="AE41" s="9" t="str">
        <f t="shared" si="18"/>
        <v>D</v>
      </c>
      <c r="AF41" s="46" t="str">
        <f t="shared" si="19"/>
        <v>클래식</v>
      </c>
      <c r="AG41" s="42" t="str">
        <f t="shared" si="20"/>
        <v>TRY</v>
      </c>
      <c r="AH41" s="25">
        <f>INDEX(혜택포인트!$B$3:$F$6,MATCH(AG41,혜택포인트!$A$3:$A$6,0),MATCH(N41,혜택포인트!$B$2:$F$2,1))</f>
        <v>0</v>
      </c>
    </row>
    <row r="42" spans="1:63" x14ac:dyDescent="0.3">
      <c r="A42" s="25" t="str">
        <f t="shared" si="3"/>
        <v>경-8520</v>
      </c>
      <c r="B42" s="29" t="s">
        <v>50</v>
      </c>
      <c r="C42" s="25" t="s">
        <v>150</v>
      </c>
      <c r="D42" s="25" t="str">
        <f t="shared" si="4"/>
        <v>951111-2******</v>
      </c>
      <c r="E42" s="1">
        <f t="shared" si="5"/>
        <v>35014</v>
      </c>
      <c r="F42" s="25">
        <f t="shared" si="6"/>
        <v>1995</v>
      </c>
      <c r="G42" s="25">
        <f t="shared" si="7"/>
        <v>11</v>
      </c>
      <c r="H42" s="25">
        <f t="shared" si="8"/>
        <v>11</v>
      </c>
      <c r="I42" s="25">
        <f t="shared" ca="1" si="9"/>
        <v>24</v>
      </c>
      <c r="J42" s="25" t="str">
        <f t="shared" si="10"/>
        <v>여</v>
      </c>
      <c r="K42" s="4" t="s">
        <v>51</v>
      </c>
      <c r="L42" s="29" t="str">
        <f t="shared" si="11"/>
        <v>010-****-8520</v>
      </c>
      <c r="M42" s="1">
        <v>43495</v>
      </c>
      <c r="N42" s="67">
        <v>0</v>
      </c>
      <c r="O42" s="29">
        <f t="shared" ca="1" si="43"/>
        <v>9</v>
      </c>
      <c r="P42" s="29">
        <f t="shared" ca="1" si="44"/>
        <v>26</v>
      </c>
      <c r="Q42" s="1">
        <v>43688</v>
      </c>
      <c r="R42" s="31" t="str">
        <f t="shared" si="12"/>
        <v>일</v>
      </c>
      <c r="S42" s="25"/>
      <c r="T42" s="25"/>
      <c r="U42" s="25"/>
      <c r="V42" s="25"/>
      <c r="W42" s="25"/>
      <c r="X42" s="25"/>
      <c r="Y42" s="25">
        <v>5</v>
      </c>
      <c r="Z42" s="25">
        <f t="shared" si="13"/>
        <v>5</v>
      </c>
      <c r="AA42" s="25">
        <f t="shared" si="14"/>
        <v>31</v>
      </c>
      <c r="AB42" s="25">
        <f t="shared" si="15"/>
        <v>31</v>
      </c>
      <c r="AC42" s="25" t="b">
        <f t="shared" si="16"/>
        <v>0</v>
      </c>
      <c r="AD42" s="25">
        <f t="shared" si="17"/>
        <v>5</v>
      </c>
      <c r="AE42" s="9" t="str">
        <f t="shared" si="18"/>
        <v>D</v>
      </c>
      <c r="AF42" s="49" t="str">
        <f t="shared" si="19"/>
        <v>연극</v>
      </c>
      <c r="AG42" s="42" t="str">
        <f t="shared" si="20"/>
        <v>TRY</v>
      </c>
      <c r="AH42" s="25">
        <f>INDEX(혜택포인트!$B$3:$F$6,MATCH(AG42,혜택포인트!$A$3:$A$6,0),MATCH(N42,혜택포인트!$B$2:$F$2,1))</f>
        <v>0</v>
      </c>
      <c r="AU42" s="52" t="s">
        <v>215</v>
      </c>
      <c r="AV42" s="54">
        <v>20</v>
      </c>
      <c r="AW42" s="56"/>
      <c r="AX42" s="56"/>
      <c r="AY42" s="55"/>
      <c r="AZ42" s="54">
        <v>30</v>
      </c>
      <c r="BA42" s="56"/>
      <c r="BB42" s="56"/>
      <c r="BC42" s="55"/>
      <c r="BD42" s="54">
        <v>40</v>
      </c>
      <c r="BE42" s="56"/>
      <c r="BF42" s="56"/>
      <c r="BG42" s="55"/>
      <c r="BH42" s="54">
        <v>50</v>
      </c>
      <c r="BI42" s="56"/>
      <c r="BJ42" s="56"/>
      <c r="BK42" s="55"/>
    </row>
    <row r="43" spans="1:63" x14ac:dyDescent="0.3">
      <c r="A43" s="25" t="str">
        <f t="shared" si="3"/>
        <v>상-9713</v>
      </c>
      <c r="B43" s="29" t="s">
        <v>52</v>
      </c>
      <c r="C43" s="25" t="s">
        <v>151</v>
      </c>
      <c r="D43" s="25" t="str">
        <f t="shared" si="4"/>
        <v>771018-1******</v>
      </c>
      <c r="E43" s="1">
        <f t="shared" si="5"/>
        <v>28416</v>
      </c>
      <c r="F43" s="25">
        <f t="shared" si="6"/>
        <v>1977</v>
      </c>
      <c r="G43" s="25">
        <f t="shared" si="7"/>
        <v>10</v>
      </c>
      <c r="H43" s="25">
        <f t="shared" si="8"/>
        <v>18</v>
      </c>
      <c r="I43" s="25">
        <f t="shared" ca="1" si="9"/>
        <v>42</v>
      </c>
      <c r="J43" s="25" t="str">
        <f t="shared" si="10"/>
        <v>남</v>
      </c>
      <c r="K43" s="4" t="s">
        <v>53</v>
      </c>
      <c r="L43" s="29" t="str">
        <f t="shared" si="11"/>
        <v>010-****-9713</v>
      </c>
      <c r="M43" s="1">
        <v>40264</v>
      </c>
      <c r="N43" s="67">
        <v>9</v>
      </c>
      <c r="O43" s="29">
        <f t="shared" ca="1" si="43"/>
        <v>7</v>
      </c>
      <c r="P43" s="29">
        <f t="shared" ca="1" si="44"/>
        <v>29</v>
      </c>
      <c r="Q43" s="1">
        <v>43732</v>
      </c>
      <c r="R43" s="33" t="str">
        <f t="shared" si="12"/>
        <v>화</v>
      </c>
      <c r="S43" s="25">
        <v>1</v>
      </c>
      <c r="T43" s="25">
        <v>6</v>
      </c>
      <c r="U43" s="25"/>
      <c r="V43" s="25">
        <v>1</v>
      </c>
      <c r="W43" s="25"/>
      <c r="X43" s="25">
        <v>21</v>
      </c>
      <c r="Y43" s="25">
        <v>3</v>
      </c>
      <c r="Z43" s="25">
        <f t="shared" si="13"/>
        <v>32</v>
      </c>
      <c r="AA43" s="25">
        <f t="shared" si="14"/>
        <v>22</v>
      </c>
      <c r="AB43" s="25">
        <f t="shared" si="15"/>
        <v>22</v>
      </c>
      <c r="AC43" s="25" t="b">
        <f t="shared" si="16"/>
        <v>0</v>
      </c>
      <c r="AD43" s="25">
        <f t="shared" si="17"/>
        <v>5</v>
      </c>
      <c r="AE43" s="9" t="str">
        <f t="shared" si="18"/>
        <v>D</v>
      </c>
      <c r="AF43" s="45" t="str">
        <f t="shared" si="19"/>
        <v>영화</v>
      </c>
      <c r="AG43" s="42" t="str">
        <f t="shared" si="20"/>
        <v>TRY</v>
      </c>
      <c r="AH43" s="25">
        <f>INDEX(혜택포인트!$B$3:$F$6,MATCH(AG43,혜택포인트!$A$3:$A$6,0),MATCH(N43,혜택포인트!$B$2:$F$2,1))</f>
        <v>0</v>
      </c>
      <c r="AU43" s="57"/>
      <c r="AV43" s="54" t="s">
        <v>97</v>
      </c>
      <c r="AW43" s="55"/>
      <c r="AX43" s="54" t="s">
        <v>98</v>
      </c>
      <c r="AY43" s="55"/>
      <c r="AZ43" s="54" t="s">
        <v>97</v>
      </c>
      <c r="BA43" s="55"/>
      <c r="BB43" s="54" t="s">
        <v>98</v>
      </c>
      <c r="BC43" s="55"/>
      <c r="BD43" s="54" t="s">
        <v>97</v>
      </c>
      <c r="BE43" s="55"/>
      <c r="BF43" s="54" t="s">
        <v>98</v>
      </c>
      <c r="BG43" s="55"/>
      <c r="BH43" s="54" t="s">
        <v>97</v>
      </c>
      <c r="BI43" s="55"/>
      <c r="BJ43" s="54" t="s">
        <v>98</v>
      </c>
      <c r="BK43" s="55"/>
    </row>
    <row r="44" spans="1:63" x14ac:dyDescent="0.3">
      <c r="A44" s="25" t="str">
        <f t="shared" si="3"/>
        <v>효-4013</v>
      </c>
      <c r="B44" s="29" t="s">
        <v>54</v>
      </c>
      <c r="C44" s="25" t="s">
        <v>152</v>
      </c>
      <c r="D44" s="25" t="str">
        <f t="shared" si="4"/>
        <v>890403-2******</v>
      </c>
      <c r="E44" s="1">
        <f t="shared" si="5"/>
        <v>32601</v>
      </c>
      <c r="F44" s="25">
        <f t="shared" si="6"/>
        <v>1989</v>
      </c>
      <c r="G44" s="25">
        <f t="shared" si="7"/>
        <v>4</v>
      </c>
      <c r="H44" s="25">
        <f t="shared" si="8"/>
        <v>3</v>
      </c>
      <c r="I44" s="25">
        <f t="shared" ca="1" si="9"/>
        <v>30</v>
      </c>
      <c r="J44" s="25" t="str">
        <f t="shared" si="10"/>
        <v>여</v>
      </c>
      <c r="K44" s="4" t="s">
        <v>55</v>
      </c>
      <c r="L44" s="29" t="str">
        <f t="shared" si="11"/>
        <v>010-****-4013</v>
      </c>
      <c r="M44" s="1">
        <v>40220</v>
      </c>
      <c r="N44" s="67">
        <v>9</v>
      </c>
      <c r="O44" s="29">
        <f t="shared" ca="1" si="43"/>
        <v>9</v>
      </c>
      <c r="P44" s="29">
        <f t="shared" ca="1" si="44"/>
        <v>14</v>
      </c>
      <c r="Q44" s="1">
        <v>42759</v>
      </c>
      <c r="R44" s="33" t="str">
        <f t="shared" si="12"/>
        <v>화</v>
      </c>
      <c r="S44" s="25"/>
      <c r="T44" s="25"/>
      <c r="U44" s="25"/>
      <c r="V44" s="25"/>
      <c r="W44" s="25"/>
      <c r="X44" s="25"/>
      <c r="Y44" s="25"/>
      <c r="Z44" s="25">
        <f t="shared" si="13"/>
        <v>0</v>
      </c>
      <c r="AA44" s="25">
        <f t="shared" si="14"/>
        <v>33</v>
      </c>
      <c r="AB44" s="25">
        <f t="shared" si="15"/>
        <v>41.5</v>
      </c>
      <c r="AC44" s="25" t="b">
        <f t="shared" si="16"/>
        <v>0</v>
      </c>
      <c r="AD44" s="25">
        <f t="shared" si="17"/>
        <v>5</v>
      </c>
      <c r="AE44" s="9" t="str">
        <f t="shared" si="18"/>
        <v>D</v>
      </c>
      <c r="AF44" s="41" t="str">
        <f t="shared" si="19"/>
        <v>-</v>
      </c>
      <c r="AG44" s="42" t="str">
        <f t="shared" si="20"/>
        <v>TRY</v>
      </c>
      <c r="AH44" s="25">
        <f>INDEX(혜택포인트!$B$3:$F$6,MATCH(AG44,혜택포인트!$A$3:$A$6,0),MATCH(N44,혜택포인트!$B$2:$F$2,1))</f>
        <v>0</v>
      </c>
      <c r="AU44" s="53"/>
      <c r="AV44" s="30" t="s">
        <v>76</v>
      </c>
      <c r="AW44" s="30" t="s">
        <v>79</v>
      </c>
      <c r="AX44" s="30" t="s">
        <v>76</v>
      </c>
      <c r="AY44" s="30" t="s">
        <v>79</v>
      </c>
      <c r="AZ44" s="30" t="s">
        <v>76</v>
      </c>
      <c r="BA44" s="30" t="s">
        <v>79</v>
      </c>
      <c r="BB44" s="30" t="s">
        <v>76</v>
      </c>
      <c r="BC44" s="30" t="s">
        <v>79</v>
      </c>
      <c r="BD44" s="30" t="s">
        <v>76</v>
      </c>
      <c r="BE44" s="30" t="s">
        <v>79</v>
      </c>
      <c r="BF44" s="30" t="s">
        <v>76</v>
      </c>
      <c r="BG44" s="30" t="s">
        <v>79</v>
      </c>
      <c r="BH44" s="30" t="s">
        <v>76</v>
      </c>
      <c r="BI44" s="30" t="s">
        <v>79</v>
      </c>
      <c r="BJ44" s="30" t="s">
        <v>76</v>
      </c>
      <c r="BK44" s="30" t="s">
        <v>79</v>
      </c>
    </row>
    <row r="45" spans="1:63" x14ac:dyDescent="0.3">
      <c r="A45" s="25" t="str">
        <f t="shared" si="3"/>
        <v>보-4021</v>
      </c>
      <c r="B45" s="29" t="s">
        <v>56</v>
      </c>
      <c r="C45" s="25" t="s">
        <v>153</v>
      </c>
      <c r="D45" s="25" t="str">
        <f t="shared" si="4"/>
        <v>740502-2******</v>
      </c>
      <c r="E45" s="1">
        <f t="shared" si="5"/>
        <v>27151</v>
      </c>
      <c r="F45" s="25">
        <f t="shared" si="6"/>
        <v>1974</v>
      </c>
      <c r="G45" s="25">
        <f t="shared" si="7"/>
        <v>5</v>
      </c>
      <c r="H45" s="25">
        <f t="shared" si="8"/>
        <v>2</v>
      </c>
      <c r="I45" s="25">
        <f t="shared" ca="1" si="9"/>
        <v>45</v>
      </c>
      <c r="J45" s="25" t="str">
        <f t="shared" si="10"/>
        <v>여</v>
      </c>
      <c r="K45" s="4" t="s">
        <v>57</v>
      </c>
      <c r="L45" s="29" t="str">
        <f t="shared" si="11"/>
        <v>010-****-4021</v>
      </c>
      <c r="M45" s="1">
        <v>37152</v>
      </c>
      <c r="N45" s="67">
        <v>18</v>
      </c>
      <c r="O45" s="29">
        <f t="shared" ca="1" si="43"/>
        <v>2</v>
      </c>
      <c r="P45" s="29">
        <f t="shared" ca="1" si="44"/>
        <v>7</v>
      </c>
      <c r="Q45" s="1">
        <v>43627</v>
      </c>
      <c r="R45" s="33" t="str">
        <f t="shared" si="12"/>
        <v>화</v>
      </c>
      <c r="S45" s="25">
        <v>49</v>
      </c>
      <c r="T45" s="25"/>
      <c r="U45" s="25">
        <v>33</v>
      </c>
      <c r="V45" s="25"/>
      <c r="W45" s="25">
        <v>1</v>
      </c>
      <c r="X45" s="25">
        <v>17</v>
      </c>
      <c r="Y45" s="25"/>
      <c r="Z45" s="25">
        <f t="shared" si="13"/>
        <v>100</v>
      </c>
      <c r="AA45" s="25">
        <f t="shared" si="14"/>
        <v>11</v>
      </c>
      <c r="AB45" s="25">
        <f t="shared" si="15"/>
        <v>11.5</v>
      </c>
      <c r="AC45" s="25" t="b">
        <f t="shared" si="16"/>
        <v>0</v>
      </c>
      <c r="AD45" s="25">
        <f t="shared" si="17"/>
        <v>3</v>
      </c>
      <c r="AE45" s="9" t="str">
        <f t="shared" si="18"/>
        <v>D</v>
      </c>
      <c r="AF45" s="46" t="str">
        <f t="shared" si="19"/>
        <v>클래식</v>
      </c>
      <c r="AG45" s="40" t="str">
        <f t="shared" si="20"/>
        <v>HOBBY</v>
      </c>
      <c r="AH45" s="25">
        <f>INDEX(혜택포인트!$B$3:$F$6,MATCH(AG45,혜택포인트!$A$3:$A$6,0),MATCH(N45,혜택포인트!$B$2:$F$2,1))</f>
        <v>0.25</v>
      </c>
      <c r="AU45" s="30" t="s">
        <v>174</v>
      </c>
      <c r="AV45" s="30">
        <f ca="1">SUMIFS($Z$5:$Z$54,$AG$5:$AG$54,"="&amp;$AU45,$J$5:$J$54,"="&amp;$AV$43,$I$5:$I$54,"&gt;="&amp;$AV$42,$I$5:$I$54,"&lt;"&amp;$AZ$42)</f>
        <v>0</v>
      </c>
      <c r="AW45" s="30">
        <f ca="1">IFERROR(ROUND(AVERAGEIFS($Z$5:$Z$54,$AG$5:$AG$54,"="&amp;$AU45,$J$5:$J$54,"="&amp;$AV$43,$I$5:$I$54,"&gt;="&amp;$AV$42,$I$5:$I$54,"&lt;"&amp;$AZ$42),2),0)</f>
        <v>0</v>
      </c>
      <c r="AX45" s="30">
        <f ca="1">SUMIFS($Z$5:$Z$54,$AG$5:$AG$54,"="&amp;$AU45,$J$5:$J$54,"="&amp;$AX$43,$I$5:$I$54,"&gt;="&amp;$AV$42,$I$5:$I$54,"&lt;"&amp;$AZ$42)</f>
        <v>126</v>
      </c>
      <c r="AY45" s="30">
        <f ca="1">IFERROR(ROUND(AVERAGEIFS($Z$5:$Z$54,$AG$5:$AG$54,"="&amp;$AU45,$J$5:$J$54,"="&amp;$AX$43,$I$5:$I$54,"&gt;="&amp;$AV$42,$I$5:$I$54,"&lt;"&amp;$AZ$42),2),0)</f>
        <v>126</v>
      </c>
      <c r="AZ45" s="30">
        <f ca="1">SUMIFS($Z$5:$Z$54,$AG$5:$AG$54,"="&amp;$AU45,$J$5:$J$54,"="&amp;$AZ$43,$I$5:$I$54,"&gt;="&amp;$AZ$42,$I$5:$I$54,"&lt;"&amp;$BD$42)</f>
        <v>261</v>
      </c>
      <c r="BA45" s="30">
        <f ca="1">IFERROR(ROUND(AVERAGEIFS($Z$5:$Z$54,$AG$5:$AG$54,"="&amp;$AU45,$J$5:$J$54,"="&amp;$AZ$43,$I$5:$I$54,"&gt;="&amp;$AZ$42,$I$5:$I$54,"&lt;"&amp;$BD$42),2),0)</f>
        <v>130.5</v>
      </c>
      <c r="BB45" s="30">
        <f ca="1">SUMIFS($Z$5:$Z$54,$AG$5:$AG$54,"="&amp;$AU45,$J$5:$J$54,"="&amp;$BB$43,$I$5:$I$54,"&gt;="&amp;$AZ$42,$I$5:$I$54,"&lt;"&amp;$BD$42)</f>
        <v>104</v>
      </c>
      <c r="BC45" s="30">
        <f ca="1">IFERROR(ROUND(AVERAGEIFS($Z$5:$Z$54,$AG$5:$AG$54,"="&amp;$AU45,$J$5:$J$54,"="&amp;$BB$43,$I$5:$I$54,"&gt;="&amp;$AZ$42,$I$5:$I$54,"&lt;"&amp;$BD$42),2),0)</f>
        <v>104</v>
      </c>
      <c r="BD45" s="30">
        <f ca="1">SUMIFS($Z$5:$Z$54,$AG$5:$AG$54,"="&amp;$AU45,$J$5:$J$54,"="&amp;$BD$43,$I$5:$I$54,"&gt;="&amp;$BD$42,$I$5:$I$54,"&lt;"&amp;$BH$42)</f>
        <v>598</v>
      </c>
      <c r="BE45" s="30">
        <f ca="1">IFERROR(ROUND(AVERAGEIFS($Z$5:$Z$54,$AG$5:$AG$54,"="&amp;$AU45,$J$5:$J$54,"="&amp;$BD$43,$I$5:$I$54,"&gt;="&amp;$BD$42,$I$5:$I$54,"&lt;"&amp;$BH$42),2),0)</f>
        <v>149.5</v>
      </c>
      <c r="BF45" s="30">
        <f ca="1">SUMIFS($Z$5:$Z$54,$AG$5:$AG$54,"="&amp;$AU45,$J$5:$J$54,"="&amp;$BF$43,$I$5:$I$54,"&gt;="&amp;$BD$42,$I$5:$I$54,"&lt;"&amp;$BH$42)</f>
        <v>194</v>
      </c>
      <c r="BG45" s="30">
        <f ca="1">IFERROR(ROUND(AVERAGEIFS($Z$5:$Z$54,$AG$5:$AG$54,"="&amp;$AU45,$J$5:$J$54,"="&amp;$BF$43,$I$5:$I$54,"&gt;="&amp;$BD$42,$I$5:$I$54,"&lt;"&amp;$BH$42),2),0)</f>
        <v>194</v>
      </c>
      <c r="BH45" s="30">
        <f ca="1">SUMIFS($Z$5:$Z$54,$AG$5:$AG$54,"="&amp;$AU45,$J$5:$J$54,"="&amp;$BH$43,$I$5:$I$54,"&gt;="&amp;$BH$42)</f>
        <v>0</v>
      </c>
      <c r="BI45" s="30">
        <f ca="1">IFERROR(ROUND(AVERAGEIFS($Z$5:$Z$54,$AG$5:$AG$54,"="&amp;$AU45,$J$5:$J$54,"="&amp;$BH$43,$I$5:$I$54,"&gt;="&amp;$BH$42),2),0)</f>
        <v>0</v>
      </c>
      <c r="BJ45" s="30">
        <f ca="1">SUMIFS($Z$5:$Z$54,$AG$5:$AG$54,"="&amp;$AU45,$J$5:$J$54,"="&amp;$BJ$43,$I$5:$I$54,"&gt;="&amp;$BH$42)</f>
        <v>0</v>
      </c>
      <c r="BK45" s="30">
        <f ca="1">IFERROR(ROUND(AVERAGEIFS($Z$5:$Z$54,$AG$5:$AG$54,"="&amp;$AU45,$J$5:$J$54,"="&amp;$BJ$43,$I$5:$I$54,"&gt;="&amp;$BH$42),2),0)</f>
        <v>0</v>
      </c>
    </row>
    <row r="46" spans="1:63" x14ac:dyDescent="0.3">
      <c r="A46" s="25" t="str">
        <f t="shared" si="3"/>
        <v>인-5713</v>
      </c>
      <c r="B46" s="29" t="s">
        <v>58</v>
      </c>
      <c r="C46" s="25" t="s">
        <v>154</v>
      </c>
      <c r="D46" s="25" t="str">
        <f t="shared" si="4"/>
        <v>920324-2******</v>
      </c>
      <c r="E46" s="1">
        <f t="shared" si="5"/>
        <v>33687</v>
      </c>
      <c r="F46" s="25">
        <f t="shared" si="6"/>
        <v>1992</v>
      </c>
      <c r="G46" s="25">
        <f t="shared" si="7"/>
        <v>3</v>
      </c>
      <c r="H46" s="25">
        <f t="shared" si="8"/>
        <v>24</v>
      </c>
      <c r="I46" s="25">
        <f t="shared" ca="1" si="9"/>
        <v>27</v>
      </c>
      <c r="J46" s="25" t="str">
        <f t="shared" si="10"/>
        <v>여</v>
      </c>
      <c r="K46" s="4" t="s">
        <v>59</v>
      </c>
      <c r="L46" s="29" t="str">
        <f t="shared" si="11"/>
        <v>010-****-5713</v>
      </c>
      <c r="M46" s="1">
        <v>42142</v>
      </c>
      <c r="N46" s="67">
        <v>4</v>
      </c>
      <c r="O46" s="29">
        <f t="shared" ca="1" si="43"/>
        <v>6</v>
      </c>
      <c r="P46" s="29">
        <f t="shared" ca="1" si="44"/>
        <v>7</v>
      </c>
      <c r="Q46" s="1">
        <v>43477</v>
      </c>
      <c r="R46" s="36" t="str">
        <f t="shared" si="12"/>
        <v>토</v>
      </c>
      <c r="S46" s="25"/>
      <c r="T46" s="25">
        <v>38</v>
      </c>
      <c r="U46" s="25"/>
      <c r="V46" s="25"/>
      <c r="W46" s="25"/>
      <c r="X46" s="25"/>
      <c r="Y46" s="25">
        <v>7</v>
      </c>
      <c r="Z46" s="25">
        <f t="shared" si="13"/>
        <v>45</v>
      </c>
      <c r="AA46" s="25">
        <f t="shared" si="14"/>
        <v>21</v>
      </c>
      <c r="AB46" s="25">
        <f t="shared" si="15"/>
        <v>21</v>
      </c>
      <c r="AC46" s="25" t="b">
        <f t="shared" si="16"/>
        <v>0</v>
      </c>
      <c r="AD46" s="25">
        <f t="shared" si="17"/>
        <v>5</v>
      </c>
      <c r="AE46" s="9" t="str">
        <f t="shared" si="18"/>
        <v>D</v>
      </c>
      <c r="AF46" s="39" t="str">
        <f t="shared" si="19"/>
        <v>콘서트</v>
      </c>
      <c r="AG46" s="42" t="str">
        <f t="shared" si="20"/>
        <v>TRY</v>
      </c>
      <c r="AH46" s="25">
        <f>INDEX(혜택포인트!$B$3:$F$6,MATCH(AG46,혜택포인트!$A$3:$A$6,0),MATCH(N46,혜택포인트!$B$2:$F$2,1))</f>
        <v>0</v>
      </c>
      <c r="AU46" s="30" t="s">
        <v>175</v>
      </c>
      <c r="AV46" s="30">
        <f t="shared" ref="AV46:AV48" ca="1" si="45">SUMIFS($Z$5:$Z$54,$AG$5:$AG$54,"="&amp;$AU46,$J$5:$J$54,"="&amp;$AV$43,$I$5:$I$54,"&gt;="&amp;$AV$42,$I$5:$I$54,"&lt;"&amp;$AZ$42)</f>
        <v>0</v>
      </c>
      <c r="AW46" s="30">
        <f t="shared" ref="AW46:AW48" ca="1" si="46">IFERROR(ROUND(AVERAGEIFS($Z$5:$Z$54,$AG$5:$AG$54,"="&amp;$AU46,$J$5:$J$54,"="&amp;$AV$43,$I$5:$I$54,"&gt;="&amp;$AV$42,$I$5:$I$54,"&lt;"&amp;$AZ$42),2),0)</f>
        <v>0</v>
      </c>
      <c r="AX46" s="30">
        <f t="shared" ref="AX46:AX48" ca="1" si="47">SUMIFS($Z$5:$Z$54,$AG$5:$AG$54,"="&amp;$AU46,$J$5:$J$54,"="&amp;$AX$43,$I$5:$I$54,"&gt;="&amp;$AV$42,$I$5:$I$54,"&lt;"&amp;$AZ$42)</f>
        <v>0</v>
      </c>
      <c r="AY46" s="30">
        <f t="shared" ref="AY46:AY48" ca="1" si="48">IFERROR(ROUND(AVERAGEIFS($Z$5:$Z$54,$AG$5:$AG$54,"="&amp;$AU46,$J$5:$J$54,"="&amp;$AX$43,$I$5:$I$54,"&gt;="&amp;$AV$42,$I$5:$I$54,"&lt;"&amp;$AZ$42),2),0)</f>
        <v>0</v>
      </c>
      <c r="AZ46" s="30">
        <f t="shared" ref="AZ46:AZ48" ca="1" si="49">SUMIFS($Z$5:$Z$54,$AG$5:$AG$54,"="&amp;$AU46,$J$5:$J$54,"="&amp;$AZ$43,$I$5:$I$54,"&gt;="&amp;$AZ$42,$I$5:$I$54,"&lt;"&amp;$BD$42)</f>
        <v>100</v>
      </c>
      <c r="BA46" s="30">
        <f t="shared" ref="BA46:BA48" ca="1" si="50">IFERROR(ROUND(AVERAGEIFS($Z$5:$Z$54,$AG$5:$AG$54,"="&amp;$AU46,$J$5:$J$54,"="&amp;$AZ$43,$I$5:$I$54,"&gt;="&amp;$AZ$42,$I$5:$I$54,"&lt;"&amp;$BD$42),2),0)</f>
        <v>100</v>
      </c>
      <c r="BB46" s="30">
        <f t="shared" ref="BB46:BB48" ca="1" si="51">SUMIFS($Z$5:$Z$54,$AG$5:$AG$54,"="&amp;$AU46,$J$5:$J$54,"="&amp;$BB$43,$I$5:$I$54,"&gt;="&amp;$AZ$42,$I$5:$I$54,"&lt;"&amp;$BD$42)</f>
        <v>0</v>
      </c>
      <c r="BC46" s="30">
        <f t="shared" ref="BC46:BC48" ca="1" si="52">IFERROR(ROUND(AVERAGEIFS($Z$5:$Z$54,$AG$5:$AG$54,"="&amp;$AU46,$J$5:$J$54,"="&amp;$BB$43,$I$5:$I$54,"&gt;="&amp;$AZ$42,$I$5:$I$54,"&lt;"&amp;$BD$42),2),0)</f>
        <v>0</v>
      </c>
      <c r="BD46" s="30">
        <f t="shared" ref="BD46:BD48" ca="1" si="53">SUMIFS($Z$5:$Z$54,$AG$5:$AG$54,"="&amp;$AU46,$J$5:$J$54,"="&amp;$BD$43,$I$5:$I$54,"&gt;="&amp;$BD$42,$I$5:$I$54,"&lt;"&amp;$BH$42)</f>
        <v>129</v>
      </c>
      <c r="BE46" s="30">
        <f t="shared" ref="BE46:BE48" ca="1" si="54">IFERROR(ROUND(AVERAGEIFS($Z$5:$Z$54,$AG$5:$AG$54,"="&amp;$AU46,$J$5:$J$54,"="&amp;$BD$43,$I$5:$I$54,"&gt;="&amp;$BD$42,$I$5:$I$54,"&lt;"&amp;$BH$42),2),0)</f>
        <v>129</v>
      </c>
      <c r="BF46" s="30">
        <f t="shared" ref="BF46:BF48" ca="1" si="55">SUMIFS($Z$5:$Z$54,$AG$5:$AG$54,"="&amp;$AU46,$J$5:$J$54,"="&amp;$BF$43,$I$5:$I$54,"&gt;="&amp;$BD$42,$I$5:$I$54,"&lt;"&amp;$BH$42)</f>
        <v>100</v>
      </c>
      <c r="BG46" s="30">
        <f t="shared" ref="BG46:BG48" ca="1" si="56">IFERROR(ROUND(AVERAGEIFS($Z$5:$Z$54,$AG$5:$AG$54,"="&amp;$AU46,$J$5:$J$54,"="&amp;$BF$43,$I$5:$I$54,"&gt;="&amp;$BD$42,$I$5:$I$54,"&lt;"&amp;$BH$42),2),0)</f>
        <v>100</v>
      </c>
      <c r="BH46" s="30">
        <f t="shared" ref="BH46:BH48" ca="1" si="57">SUMIFS($Z$5:$Z$54,$AG$5:$AG$54,"="&amp;$AU46,$J$5:$J$54,"="&amp;$BH$43,$I$5:$I$54,"&gt;="&amp;$BH$42)</f>
        <v>0</v>
      </c>
      <c r="BI46" s="30">
        <f t="shared" ref="BI46:BI48" ca="1" si="58">IFERROR(ROUND(AVERAGEIFS($Z$5:$Z$54,$AG$5:$AG$54,"="&amp;$AU46,$J$5:$J$54,"="&amp;$BH$43,$I$5:$I$54,"&gt;="&amp;$BH$42),2),0)</f>
        <v>0</v>
      </c>
      <c r="BJ46" s="30">
        <f t="shared" ref="BJ46:BJ48" ca="1" si="59">SUMIFS($Z$5:$Z$54,$AG$5:$AG$54,"="&amp;$AU46,$J$5:$J$54,"="&amp;$BJ$43,$I$5:$I$54,"&gt;="&amp;$BH$42)</f>
        <v>0</v>
      </c>
      <c r="BK46" s="30">
        <f t="shared" ref="BK46:BK48" ca="1" si="60">IFERROR(ROUND(AVERAGEIFS($Z$5:$Z$54,$AG$5:$AG$54,"="&amp;$AU46,$J$5:$J$54,"="&amp;$BJ$43,$I$5:$I$54,"&gt;="&amp;$BH$42),2),0)</f>
        <v>0</v>
      </c>
    </row>
    <row r="47" spans="1:63" x14ac:dyDescent="0.3">
      <c r="A47" s="25" t="str">
        <f t="shared" si="3"/>
        <v>광-3274</v>
      </c>
      <c r="B47" s="29" t="s">
        <v>60</v>
      </c>
      <c r="C47" s="25" t="s">
        <v>155</v>
      </c>
      <c r="D47" s="25" t="str">
        <f t="shared" si="4"/>
        <v>870629-1******</v>
      </c>
      <c r="E47" s="1">
        <f t="shared" si="5"/>
        <v>31957</v>
      </c>
      <c r="F47" s="25">
        <f t="shared" si="6"/>
        <v>1987</v>
      </c>
      <c r="G47" s="25">
        <f t="shared" si="7"/>
        <v>6</v>
      </c>
      <c r="H47" s="25">
        <f t="shared" si="8"/>
        <v>29</v>
      </c>
      <c r="I47" s="25">
        <f t="shared" ca="1" si="9"/>
        <v>32</v>
      </c>
      <c r="J47" s="25" t="str">
        <f t="shared" si="10"/>
        <v>남</v>
      </c>
      <c r="K47" s="4" t="s">
        <v>61</v>
      </c>
      <c r="L47" s="29" t="str">
        <f t="shared" si="11"/>
        <v>010-****-3274</v>
      </c>
      <c r="M47" s="1">
        <v>43304</v>
      </c>
      <c r="N47" s="67">
        <v>1</v>
      </c>
      <c r="O47" s="29">
        <f t="shared" ca="1" si="43"/>
        <v>4</v>
      </c>
      <c r="P47" s="29">
        <f t="shared" ca="1" si="44"/>
        <v>2</v>
      </c>
      <c r="Q47" s="1">
        <v>43760</v>
      </c>
      <c r="R47" s="33" t="str">
        <f t="shared" si="12"/>
        <v>화</v>
      </c>
      <c r="S47" s="25">
        <v>3</v>
      </c>
      <c r="T47" s="25">
        <v>1</v>
      </c>
      <c r="U47" s="25">
        <v>1</v>
      </c>
      <c r="V47" s="25"/>
      <c r="W47" s="25">
        <v>5</v>
      </c>
      <c r="X47" s="25">
        <v>5</v>
      </c>
      <c r="Y47" s="25">
        <v>4</v>
      </c>
      <c r="Z47" s="25">
        <f t="shared" si="13"/>
        <v>19</v>
      </c>
      <c r="AA47" s="25">
        <f t="shared" si="14"/>
        <v>27</v>
      </c>
      <c r="AB47" s="25">
        <f t="shared" si="15"/>
        <v>27</v>
      </c>
      <c r="AC47" s="25" t="b">
        <f t="shared" si="16"/>
        <v>0</v>
      </c>
      <c r="AD47" s="25">
        <f t="shared" si="17"/>
        <v>5</v>
      </c>
      <c r="AE47" s="9" t="str">
        <f t="shared" si="18"/>
        <v>D</v>
      </c>
      <c r="AF47" s="43" t="str">
        <f t="shared" si="19"/>
        <v>뮤지컬</v>
      </c>
      <c r="AG47" s="42" t="str">
        <f t="shared" si="20"/>
        <v>TRY</v>
      </c>
      <c r="AH47" s="25">
        <f>INDEX(혜택포인트!$B$3:$F$6,MATCH(AG47,혜택포인트!$A$3:$A$6,0),MATCH(N47,혜택포인트!$B$2:$F$2,1))</f>
        <v>0</v>
      </c>
      <c r="AU47" s="30" t="s">
        <v>176</v>
      </c>
      <c r="AV47" s="30">
        <f t="shared" ca="1" si="45"/>
        <v>69</v>
      </c>
      <c r="AW47" s="30">
        <f t="shared" ca="1" si="46"/>
        <v>69</v>
      </c>
      <c r="AX47" s="30">
        <f t="shared" ca="1" si="47"/>
        <v>0</v>
      </c>
      <c r="AY47" s="30">
        <f t="shared" ca="1" si="48"/>
        <v>0</v>
      </c>
      <c r="AZ47" s="30">
        <f t="shared" ca="1" si="49"/>
        <v>212</v>
      </c>
      <c r="BA47" s="30">
        <f t="shared" ca="1" si="50"/>
        <v>70.67</v>
      </c>
      <c r="BB47" s="30">
        <f t="shared" ca="1" si="51"/>
        <v>182</v>
      </c>
      <c r="BC47" s="30">
        <f t="shared" ca="1" si="52"/>
        <v>60.67</v>
      </c>
      <c r="BD47" s="30">
        <f t="shared" ca="1" si="53"/>
        <v>0</v>
      </c>
      <c r="BE47" s="30">
        <f t="shared" ca="1" si="54"/>
        <v>0</v>
      </c>
      <c r="BF47" s="30">
        <f t="shared" ca="1" si="55"/>
        <v>0</v>
      </c>
      <c r="BG47" s="30">
        <f t="shared" ca="1" si="56"/>
        <v>0</v>
      </c>
      <c r="BH47" s="30">
        <f t="shared" ca="1" si="57"/>
        <v>0</v>
      </c>
      <c r="BI47" s="30">
        <f t="shared" ca="1" si="58"/>
        <v>0</v>
      </c>
      <c r="BJ47" s="30">
        <f t="shared" ca="1" si="59"/>
        <v>0</v>
      </c>
      <c r="BK47" s="30">
        <f t="shared" ca="1" si="60"/>
        <v>0</v>
      </c>
    </row>
    <row r="48" spans="1:63" x14ac:dyDescent="0.3">
      <c r="A48" s="25" t="str">
        <f t="shared" si="3"/>
        <v>충-6587</v>
      </c>
      <c r="B48" s="29" t="s">
        <v>62</v>
      </c>
      <c r="C48" s="25" t="s">
        <v>156</v>
      </c>
      <c r="D48" s="25" t="str">
        <f t="shared" si="4"/>
        <v>850201-1******</v>
      </c>
      <c r="E48" s="1">
        <f t="shared" si="5"/>
        <v>31079</v>
      </c>
      <c r="F48" s="25">
        <f t="shared" si="6"/>
        <v>1985</v>
      </c>
      <c r="G48" s="25">
        <f t="shared" si="7"/>
        <v>2</v>
      </c>
      <c r="H48" s="25">
        <f t="shared" si="8"/>
        <v>1</v>
      </c>
      <c r="I48" s="25">
        <f t="shared" ca="1" si="9"/>
        <v>34</v>
      </c>
      <c r="J48" s="25" t="str">
        <f t="shared" si="10"/>
        <v>남</v>
      </c>
      <c r="K48" s="4" t="s">
        <v>63</v>
      </c>
      <c r="L48" s="29" t="str">
        <f t="shared" si="11"/>
        <v>010-****-6587</v>
      </c>
      <c r="M48" s="1">
        <v>41181</v>
      </c>
      <c r="N48" s="67">
        <v>7</v>
      </c>
      <c r="O48" s="29">
        <f t="shared" ca="1" si="43"/>
        <v>1</v>
      </c>
      <c r="P48" s="29">
        <f t="shared" ca="1" si="44"/>
        <v>27</v>
      </c>
      <c r="Q48" s="1">
        <v>43751</v>
      </c>
      <c r="R48" s="31" t="str">
        <f t="shared" si="12"/>
        <v>일</v>
      </c>
      <c r="S48" s="25"/>
      <c r="T48" s="25">
        <v>8</v>
      </c>
      <c r="U48" s="25"/>
      <c r="V48" s="25"/>
      <c r="W48" s="25"/>
      <c r="X48" s="25"/>
      <c r="Y48" s="25"/>
      <c r="Z48" s="25">
        <f t="shared" si="13"/>
        <v>8</v>
      </c>
      <c r="AA48" s="25">
        <f t="shared" si="14"/>
        <v>29</v>
      </c>
      <c r="AB48" s="25">
        <f t="shared" si="15"/>
        <v>29.5</v>
      </c>
      <c r="AC48" s="25" t="b">
        <f t="shared" si="16"/>
        <v>0</v>
      </c>
      <c r="AD48" s="25">
        <f t="shared" si="17"/>
        <v>5</v>
      </c>
      <c r="AE48" s="9" t="str">
        <f t="shared" si="18"/>
        <v>D</v>
      </c>
      <c r="AF48" s="39" t="str">
        <f t="shared" si="19"/>
        <v>콘서트</v>
      </c>
      <c r="AG48" s="42" t="str">
        <f t="shared" si="20"/>
        <v>TRY</v>
      </c>
      <c r="AH48" s="25">
        <f>INDEX(혜택포인트!$B$3:$F$6,MATCH(AG48,혜택포인트!$A$3:$A$6,0),MATCH(N48,혜택포인트!$B$2:$F$2,1))</f>
        <v>0</v>
      </c>
      <c r="AU48" s="30" t="s">
        <v>177</v>
      </c>
      <c r="AV48" s="30">
        <f t="shared" ca="1" si="45"/>
        <v>54</v>
      </c>
      <c r="AW48" s="30">
        <f t="shared" ca="1" si="46"/>
        <v>9</v>
      </c>
      <c r="AX48" s="30">
        <f t="shared" ca="1" si="47"/>
        <v>50</v>
      </c>
      <c r="AY48" s="30">
        <f t="shared" ca="1" si="48"/>
        <v>16.670000000000002</v>
      </c>
      <c r="AZ48" s="30">
        <f t="shared" ca="1" si="49"/>
        <v>55</v>
      </c>
      <c r="BA48" s="30">
        <f t="shared" ca="1" si="50"/>
        <v>9.17</v>
      </c>
      <c r="BB48" s="30">
        <f t="shared" ca="1" si="51"/>
        <v>23</v>
      </c>
      <c r="BC48" s="30">
        <f t="shared" ca="1" si="52"/>
        <v>3.29</v>
      </c>
      <c r="BD48" s="30">
        <f t="shared" ca="1" si="53"/>
        <v>79</v>
      </c>
      <c r="BE48" s="30">
        <f t="shared" ca="1" si="54"/>
        <v>15.8</v>
      </c>
      <c r="BF48" s="30">
        <f t="shared" ca="1" si="55"/>
        <v>29</v>
      </c>
      <c r="BG48" s="30">
        <f t="shared" ca="1" si="56"/>
        <v>7.25</v>
      </c>
      <c r="BH48" s="30">
        <f t="shared" ca="1" si="57"/>
        <v>0</v>
      </c>
      <c r="BI48" s="30">
        <f t="shared" ca="1" si="58"/>
        <v>0</v>
      </c>
      <c r="BJ48" s="30">
        <f t="shared" ca="1" si="59"/>
        <v>0</v>
      </c>
      <c r="BK48" s="30">
        <f t="shared" ca="1" si="60"/>
        <v>0</v>
      </c>
    </row>
    <row r="49" spans="1:55" x14ac:dyDescent="0.3">
      <c r="A49" s="25" t="str">
        <f t="shared" si="3"/>
        <v>승-4267</v>
      </c>
      <c r="B49" s="29" t="s">
        <v>64</v>
      </c>
      <c r="C49" s="25" t="s">
        <v>157</v>
      </c>
      <c r="D49" s="25" t="str">
        <f t="shared" si="4"/>
        <v>780129-1******</v>
      </c>
      <c r="E49" s="1">
        <f t="shared" si="5"/>
        <v>28519</v>
      </c>
      <c r="F49" s="25">
        <f t="shared" si="6"/>
        <v>1978</v>
      </c>
      <c r="G49" s="25">
        <f t="shared" si="7"/>
        <v>1</v>
      </c>
      <c r="H49" s="25">
        <f t="shared" si="8"/>
        <v>29</v>
      </c>
      <c r="I49" s="25">
        <f t="shared" ca="1" si="9"/>
        <v>41</v>
      </c>
      <c r="J49" s="25" t="str">
        <f t="shared" si="10"/>
        <v>남</v>
      </c>
      <c r="K49" s="4" t="s">
        <v>65</v>
      </c>
      <c r="L49" s="29" t="str">
        <f t="shared" si="11"/>
        <v>010-****-4267</v>
      </c>
      <c r="M49" s="1">
        <v>38271</v>
      </c>
      <c r="N49" s="67">
        <v>15</v>
      </c>
      <c r="O49" s="29">
        <f t="shared" ca="1" si="43"/>
        <v>1</v>
      </c>
      <c r="P49" s="29">
        <f t="shared" ca="1" si="44"/>
        <v>14</v>
      </c>
      <c r="Q49" s="1">
        <v>43578</v>
      </c>
      <c r="R49" s="33" t="str">
        <f t="shared" si="12"/>
        <v>화</v>
      </c>
      <c r="S49" s="25"/>
      <c r="T49" s="25">
        <v>39</v>
      </c>
      <c r="U49" s="25"/>
      <c r="V49" s="25">
        <v>22</v>
      </c>
      <c r="W49" s="25"/>
      <c r="X49" s="25">
        <v>57</v>
      </c>
      <c r="Y49" s="25"/>
      <c r="Z49" s="25">
        <f t="shared" si="13"/>
        <v>118</v>
      </c>
      <c r="AA49" s="25">
        <f t="shared" si="14"/>
        <v>8</v>
      </c>
      <c r="AB49" s="25">
        <f t="shared" si="15"/>
        <v>8</v>
      </c>
      <c r="AC49" s="25" t="b">
        <f t="shared" si="16"/>
        <v>1</v>
      </c>
      <c r="AD49" s="25">
        <f t="shared" si="17"/>
        <v>3</v>
      </c>
      <c r="AE49" s="9" t="str">
        <f t="shared" si="18"/>
        <v>C</v>
      </c>
      <c r="AF49" s="45" t="str">
        <f t="shared" si="19"/>
        <v>영화</v>
      </c>
      <c r="AG49" s="44" t="str">
        <f t="shared" si="20"/>
        <v>MANIA</v>
      </c>
      <c r="AH49" s="25">
        <f>INDEX(혜택포인트!$B$3:$F$6,MATCH(AG49,혜택포인트!$A$3:$A$6,0),MATCH(N49,혜택포인트!$B$2:$F$2,1))</f>
        <v>0.35</v>
      </c>
    </row>
    <row r="50" spans="1:55" x14ac:dyDescent="0.3">
      <c r="A50" s="25" t="str">
        <f t="shared" si="3"/>
        <v>민-6425</v>
      </c>
      <c r="B50" s="29" t="s">
        <v>66</v>
      </c>
      <c r="C50" s="25" t="s">
        <v>158</v>
      </c>
      <c r="D50" s="25" t="str">
        <f t="shared" si="4"/>
        <v>840720-2******</v>
      </c>
      <c r="E50" s="1">
        <f t="shared" si="5"/>
        <v>30883</v>
      </c>
      <c r="F50" s="25">
        <f t="shared" si="6"/>
        <v>1984</v>
      </c>
      <c r="G50" s="25">
        <f t="shared" si="7"/>
        <v>7</v>
      </c>
      <c r="H50" s="25">
        <f t="shared" si="8"/>
        <v>20</v>
      </c>
      <c r="I50" s="25">
        <f t="shared" ca="1" si="9"/>
        <v>35</v>
      </c>
      <c r="J50" s="25" t="str">
        <f t="shared" si="10"/>
        <v>여</v>
      </c>
      <c r="K50" s="4" t="s">
        <v>67</v>
      </c>
      <c r="L50" s="29" t="str">
        <f t="shared" si="11"/>
        <v>010-****-6425</v>
      </c>
      <c r="M50" s="1">
        <v>38882</v>
      </c>
      <c r="N50" s="67">
        <v>13</v>
      </c>
      <c r="O50" s="29">
        <f t="shared" ca="1" si="43"/>
        <v>5</v>
      </c>
      <c r="P50" s="29">
        <f t="shared" ca="1" si="44"/>
        <v>11</v>
      </c>
      <c r="Q50" s="1">
        <v>43469</v>
      </c>
      <c r="R50" s="37" t="str">
        <f t="shared" si="12"/>
        <v>금</v>
      </c>
      <c r="S50" s="25">
        <v>37</v>
      </c>
      <c r="T50" s="25"/>
      <c r="U50" s="25"/>
      <c r="V50" s="25"/>
      <c r="W50" s="25"/>
      <c r="X50" s="25">
        <v>15</v>
      </c>
      <c r="Y50" s="25"/>
      <c r="Z50" s="25">
        <f t="shared" si="13"/>
        <v>52</v>
      </c>
      <c r="AA50" s="25">
        <f t="shared" si="14"/>
        <v>19</v>
      </c>
      <c r="AB50" s="25">
        <f t="shared" si="15"/>
        <v>19</v>
      </c>
      <c r="AC50" s="25" t="b">
        <f t="shared" si="16"/>
        <v>0</v>
      </c>
      <c r="AD50" s="25">
        <f t="shared" si="17"/>
        <v>4</v>
      </c>
      <c r="AE50" s="9" t="str">
        <f t="shared" si="18"/>
        <v>D</v>
      </c>
      <c r="AF50" s="46" t="str">
        <f t="shared" si="19"/>
        <v>클래식</v>
      </c>
      <c r="AG50" s="47" t="str">
        <f t="shared" si="20"/>
        <v>ALMOST</v>
      </c>
      <c r="AH50" s="25">
        <f>INDEX(혜택포인트!$B$3:$F$6,MATCH(AG50,혜택포인트!$A$3:$A$6,0),MATCH(N50,혜택포인트!$B$2:$F$2,1))</f>
        <v>0.1</v>
      </c>
      <c r="AU50" s="52" t="s">
        <v>214</v>
      </c>
      <c r="AV50" s="54" t="s">
        <v>174</v>
      </c>
      <c r="AW50" s="55"/>
      <c r="AX50" s="54" t="s">
        <v>175</v>
      </c>
      <c r="AY50" s="55"/>
      <c r="AZ50" s="54" t="s">
        <v>176</v>
      </c>
      <c r="BA50" s="55"/>
      <c r="BB50" s="54" t="s">
        <v>177</v>
      </c>
      <c r="BC50" s="55"/>
    </row>
    <row r="51" spans="1:55" x14ac:dyDescent="0.3">
      <c r="A51" s="25" t="str">
        <f t="shared" si="3"/>
        <v>서-9450</v>
      </c>
      <c r="B51" s="29" t="s">
        <v>68</v>
      </c>
      <c r="C51" s="25" t="s">
        <v>159</v>
      </c>
      <c r="D51" s="25" t="str">
        <f t="shared" si="4"/>
        <v>911203-1******</v>
      </c>
      <c r="E51" s="1">
        <f t="shared" si="5"/>
        <v>33575</v>
      </c>
      <c r="F51" s="25">
        <f t="shared" si="6"/>
        <v>1991</v>
      </c>
      <c r="G51" s="25">
        <f t="shared" si="7"/>
        <v>12</v>
      </c>
      <c r="H51" s="25">
        <f t="shared" si="8"/>
        <v>3</v>
      </c>
      <c r="I51" s="25">
        <f t="shared" ca="1" si="9"/>
        <v>27</v>
      </c>
      <c r="J51" s="25" t="str">
        <f t="shared" si="10"/>
        <v>남</v>
      </c>
      <c r="K51" s="4" t="s">
        <v>69</v>
      </c>
      <c r="L51" s="29" t="str">
        <f t="shared" si="11"/>
        <v>010-****-9450</v>
      </c>
      <c r="M51" s="1">
        <v>42785</v>
      </c>
      <c r="N51" s="67">
        <v>2</v>
      </c>
      <c r="O51" s="29">
        <f t="shared" ca="1" si="43"/>
        <v>9</v>
      </c>
      <c r="P51" s="29">
        <f t="shared" ca="1" si="44"/>
        <v>6</v>
      </c>
      <c r="Q51" s="1">
        <v>43482</v>
      </c>
      <c r="R51" s="35" t="str">
        <f t="shared" si="12"/>
        <v>목</v>
      </c>
      <c r="S51" s="25"/>
      <c r="T51" s="25"/>
      <c r="U51" s="25"/>
      <c r="V51" s="25"/>
      <c r="W51" s="25"/>
      <c r="X51" s="25">
        <v>69</v>
      </c>
      <c r="Y51" s="25"/>
      <c r="Z51" s="25">
        <f t="shared" si="13"/>
        <v>69</v>
      </c>
      <c r="AA51" s="25">
        <f t="shared" si="14"/>
        <v>14</v>
      </c>
      <c r="AB51" s="25">
        <f t="shared" si="15"/>
        <v>14</v>
      </c>
      <c r="AC51" s="25" t="b">
        <f t="shared" si="16"/>
        <v>0</v>
      </c>
      <c r="AD51" s="25">
        <f t="shared" si="17"/>
        <v>4</v>
      </c>
      <c r="AE51" s="9" t="str">
        <f t="shared" si="18"/>
        <v>C</v>
      </c>
      <c r="AF51" s="45" t="str">
        <f t="shared" si="19"/>
        <v>영화</v>
      </c>
      <c r="AG51" s="47" t="str">
        <f t="shared" si="20"/>
        <v>ALMOST</v>
      </c>
      <c r="AH51" s="25">
        <f>INDEX(혜택포인트!$B$3:$F$6,MATCH(AG51,혜택포인트!$A$3:$A$6,0),MATCH(N51,혜택포인트!$B$2:$F$2,1))</f>
        <v>0</v>
      </c>
      <c r="AU51" s="53"/>
      <c r="AV51" s="30" t="s">
        <v>212</v>
      </c>
      <c r="AW51" s="30" t="s">
        <v>213</v>
      </c>
      <c r="AX51" s="30" t="s">
        <v>212</v>
      </c>
      <c r="AY51" s="30" t="s">
        <v>213</v>
      </c>
      <c r="AZ51" s="30" t="s">
        <v>212</v>
      </c>
      <c r="BA51" s="30" t="s">
        <v>213</v>
      </c>
      <c r="BB51" s="30" t="s">
        <v>212</v>
      </c>
      <c r="BC51" s="30" t="s">
        <v>213</v>
      </c>
    </row>
    <row r="52" spans="1:55" x14ac:dyDescent="0.3">
      <c r="A52" s="25" t="str">
        <f t="shared" si="3"/>
        <v>민-8135</v>
      </c>
      <c r="B52" s="29" t="s">
        <v>70</v>
      </c>
      <c r="C52" s="25" t="s">
        <v>160</v>
      </c>
      <c r="D52" s="25" t="str">
        <f t="shared" si="4"/>
        <v>890917-1******</v>
      </c>
      <c r="E52" s="1">
        <f t="shared" si="5"/>
        <v>32768</v>
      </c>
      <c r="F52" s="25">
        <f t="shared" si="6"/>
        <v>1989</v>
      </c>
      <c r="G52" s="25">
        <f t="shared" si="7"/>
        <v>9</v>
      </c>
      <c r="H52" s="25">
        <f t="shared" si="8"/>
        <v>17</v>
      </c>
      <c r="I52" s="25">
        <f t="shared" ca="1" si="9"/>
        <v>30</v>
      </c>
      <c r="J52" s="25" t="str">
        <f t="shared" si="10"/>
        <v>남</v>
      </c>
      <c r="K52" s="4" t="s">
        <v>71</v>
      </c>
      <c r="L52" s="29" t="str">
        <f t="shared" si="11"/>
        <v>010-****-8135</v>
      </c>
      <c r="M52" s="1">
        <v>40325</v>
      </c>
      <c r="N52" s="67">
        <v>9</v>
      </c>
      <c r="O52" s="29">
        <f t="shared" ca="1" si="43"/>
        <v>5</v>
      </c>
      <c r="P52" s="29">
        <f t="shared" ca="1" si="44"/>
        <v>29</v>
      </c>
      <c r="Q52" s="1">
        <v>43111</v>
      </c>
      <c r="R52" s="35" t="str">
        <f t="shared" si="12"/>
        <v>목</v>
      </c>
      <c r="S52" s="25"/>
      <c r="T52" s="25"/>
      <c r="U52" s="25"/>
      <c r="V52" s="25"/>
      <c r="W52" s="25"/>
      <c r="X52" s="25"/>
      <c r="Y52" s="25"/>
      <c r="Z52" s="25">
        <f t="shared" si="13"/>
        <v>0</v>
      </c>
      <c r="AA52" s="25">
        <f t="shared" si="14"/>
        <v>33</v>
      </c>
      <c r="AB52" s="25">
        <f t="shared" si="15"/>
        <v>41.5</v>
      </c>
      <c r="AC52" s="25" t="b">
        <f t="shared" si="16"/>
        <v>0</v>
      </c>
      <c r="AD52" s="25">
        <f t="shared" si="17"/>
        <v>5</v>
      </c>
      <c r="AE52" s="9" t="str">
        <f t="shared" si="18"/>
        <v>D</v>
      </c>
      <c r="AF52" s="41" t="str">
        <f t="shared" si="19"/>
        <v>-</v>
      </c>
      <c r="AG52" s="42" t="str">
        <f t="shared" si="20"/>
        <v>TRY</v>
      </c>
      <c r="AH52" s="25">
        <f>INDEX(혜택포인트!$B$3:$F$6,MATCH(AG52,혜택포인트!$A$3:$A$6,0),MATCH(N52,혜택포인트!$B$2:$F$2,1))</f>
        <v>0</v>
      </c>
      <c r="AU52" s="30" t="s">
        <v>87</v>
      </c>
      <c r="AV52" s="30">
        <f>_xlfn.MAXIFS($Z$5:$Z$54,$AF$5:$AF$54,"="&amp;$AU52, $AG$5:$AG$54,"="&amp;$AV$50)</f>
        <v>112</v>
      </c>
      <c r="AW52" s="30">
        <f>_xlfn.MINIFS($Z$5:$Z$54,$AF$5:$AF$54,"="&amp;$AU52, $AG$5:$AG$54,"="&amp;$AV$50)</f>
        <v>112</v>
      </c>
      <c r="AX52" s="30">
        <f>_xlfn.MAXIFS($Z$5:$Z$54,$AF$5:$AF$54,"="&amp;$AU52, $AG$5:$AG$54,"="&amp;$AX$50)</f>
        <v>100</v>
      </c>
      <c r="AY52" s="30">
        <f>_xlfn.MINIFS($Z$5:$Z$54,$AF$5:$AF$54,"="&amp;$AU52, $AG$5:$AG$54,"="&amp;$AX$50)</f>
        <v>100</v>
      </c>
      <c r="AZ52" s="30">
        <f>_xlfn.MAXIFS($Z$5:$Z$54,$AF$5:$AF$54,"="&amp;$AU52, $AG$5:$AG$54,"="&amp;$AZ$50)</f>
        <v>65</v>
      </c>
      <c r="BA52" s="30">
        <f>_xlfn.MINIFS($Z$5:$Z$54,$AF$5:$AF$54,"="&amp;$AU52, $AG$5:$AG$54,"="&amp;$AZ$50)</f>
        <v>52</v>
      </c>
      <c r="BB52" s="30">
        <f>_xlfn.MAXIFS($Z$5:$Z$54,$AF$5:$AF$54,"="&amp;$AU52, $AG$5:$AG$54,"="&amp;$BB$50)</f>
        <v>47</v>
      </c>
      <c r="BC52" s="30">
        <f>_xlfn.MINIFS($Z$5:$Z$54,$AF$5:$AF$54,"="&amp;$AU52, $AG$5:$AG$54,"="&amp;$BB$50)</f>
        <v>47</v>
      </c>
    </row>
    <row r="53" spans="1:55" x14ac:dyDescent="0.3">
      <c r="A53" s="25" t="str">
        <f t="shared" si="3"/>
        <v>지-1352</v>
      </c>
      <c r="B53" s="29" t="s">
        <v>72</v>
      </c>
      <c r="C53" s="25" t="s">
        <v>161</v>
      </c>
      <c r="D53" s="25" t="str">
        <f t="shared" si="4"/>
        <v>710615-2******</v>
      </c>
      <c r="E53" s="1">
        <f t="shared" si="5"/>
        <v>26099</v>
      </c>
      <c r="F53" s="25">
        <f t="shared" si="6"/>
        <v>1971</v>
      </c>
      <c r="G53" s="25">
        <f t="shared" si="7"/>
        <v>6</v>
      </c>
      <c r="H53" s="25">
        <f t="shared" si="8"/>
        <v>15</v>
      </c>
      <c r="I53" s="25">
        <f t="shared" ca="1" si="9"/>
        <v>48</v>
      </c>
      <c r="J53" s="25" t="str">
        <f t="shared" si="10"/>
        <v>여</v>
      </c>
      <c r="K53" s="4" t="s">
        <v>73</v>
      </c>
      <c r="L53" s="29" t="str">
        <f t="shared" si="11"/>
        <v>010-****-1352</v>
      </c>
      <c r="M53" s="1">
        <v>38368</v>
      </c>
      <c r="N53" s="67">
        <v>14</v>
      </c>
      <c r="O53" s="29">
        <f t="shared" ca="1" si="43"/>
        <v>10</v>
      </c>
      <c r="P53" s="29">
        <f t="shared" ca="1" si="44"/>
        <v>9</v>
      </c>
      <c r="Q53" s="1">
        <v>41718</v>
      </c>
      <c r="R53" s="35" t="str">
        <f t="shared" si="12"/>
        <v>목</v>
      </c>
      <c r="S53" s="25"/>
      <c r="T53" s="25"/>
      <c r="U53" s="25"/>
      <c r="V53" s="25"/>
      <c r="W53" s="25"/>
      <c r="X53" s="25"/>
      <c r="Y53" s="25"/>
      <c r="Z53" s="25">
        <f t="shared" si="13"/>
        <v>0</v>
      </c>
      <c r="AA53" s="25">
        <f t="shared" si="14"/>
        <v>33</v>
      </c>
      <c r="AB53" s="25">
        <f t="shared" si="15"/>
        <v>41.5</v>
      </c>
      <c r="AC53" s="25" t="b">
        <f t="shared" si="16"/>
        <v>0</v>
      </c>
      <c r="AD53" s="25">
        <f t="shared" si="17"/>
        <v>5</v>
      </c>
      <c r="AE53" s="9" t="str">
        <f t="shared" si="18"/>
        <v>D</v>
      </c>
      <c r="AF53" s="41" t="str">
        <f t="shared" si="19"/>
        <v>-</v>
      </c>
      <c r="AG53" s="42" t="str">
        <f t="shared" si="20"/>
        <v>TRY</v>
      </c>
      <c r="AH53" s="25">
        <f>INDEX(혜택포인트!$B$3:$F$6,MATCH(AG53,혜택포인트!$A$3:$A$6,0),MATCH(N53,혜택포인트!$B$2:$F$2,1))</f>
        <v>0.03</v>
      </c>
      <c r="AU53" s="30" t="s">
        <v>88</v>
      </c>
      <c r="AV53" s="30">
        <f t="shared" ref="AV53:AV54" si="61">_xlfn.MAXIFS($Z$5:$Z$54,$AF$5:$AF$54,"="&amp;$AU53, $AG$5:$AG$54,"="&amp;$AV$50)</f>
        <v>0</v>
      </c>
      <c r="AW53" s="30">
        <f t="shared" ref="AW53:AW54" si="62">_xlfn.MINIFS($Z$5:$Z$54,$AF$5:$AF$54,"="&amp;$AU53, $AG$5:$AG$54,"="&amp;$AV$50)</f>
        <v>0</v>
      </c>
      <c r="AX53" s="30">
        <f t="shared" ref="AX53:AX54" si="63">_xlfn.MAXIFS($Z$5:$Z$54,$AF$5:$AF$54,"="&amp;$AU53, $AG$5:$AG$54,"="&amp;$AX$50)</f>
        <v>129</v>
      </c>
      <c r="AY53" s="30">
        <f t="shared" ref="AY53:AY54" si="64">_xlfn.MINIFS($Z$5:$Z$54,$AF$5:$AF$54,"="&amp;$AU53, $AG$5:$AG$54,"="&amp;$AX$50)</f>
        <v>129</v>
      </c>
      <c r="AZ53" s="30">
        <f t="shared" ref="AZ53:AZ54" si="65">_xlfn.MAXIFS($Z$5:$Z$54,$AF$5:$AF$54,"="&amp;$AU53, $AG$5:$AG$54,"="&amp;$AZ$50)</f>
        <v>92</v>
      </c>
      <c r="BA53" s="30">
        <f t="shared" ref="BA53:BA54" si="66">_xlfn.MINIFS($Z$5:$Z$54,$AF$5:$AF$54,"="&amp;$AU53, $AG$5:$AG$54,"="&amp;$AZ$50)</f>
        <v>67</v>
      </c>
      <c r="BB53" s="30">
        <f t="shared" ref="BB53:BB54" si="67">_xlfn.MAXIFS($Z$5:$Z$54,$AF$5:$AF$54,"="&amp;$AU53, $AG$5:$AG$54,"="&amp;$BB$50)</f>
        <v>45</v>
      </c>
      <c r="BC53" s="30">
        <f t="shared" ref="BC53:BC54" si="68">_xlfn.MINIFS($Z$5:$Z$54,$AF$5:$AF$54,"="&amp;$AU53, $AG$5:$AG$54,"="&amp;$BB$50)</f>
        <v>8</v>
      </c>
    </row>
    <row r="54" spans="1:55" x14ac:dyDescent="0.3">
      <c r="A54" s="25" t="str">
        <f t="shared" si="3"/>
        <v>동-7248</v>
      </c>
      <c r="B54" s="29" t="s">
        <v>74</v>
      </c>
      <c r="C54" s="25" t="s">
        <v>162</v>
      </c>
      <c r="D54" s="25" t="str">
        <f t="shared" si="4"/>
        <v>830321-1******</v>
      </c>
      <c r="E54" s="1">
        <f t="shared" si="5"/>
        <v>30396</v>
      </c>
      <c r="F54" s="25">
        <f t="shared" si="6"/>
        <v>1983</v>
      </c>
      <c r="G54" s="25">
        <f t="shared" si="7"/>
        <v>3</v>
      </c>
      <c r="H54" s="25">
        <f t="shared" si="8"/>
        <v>21</v>
      </c>
      <c r="I54" s="25">
        <f t="shared" ca="1" si="9"/>
        <v>36</v>
      </c>
      <c r="J54" s="25" t="str">
        <f t="shared" si="10"/>
        <v>남</v>
      </c>
      <c r="K54" s="4" t="s">
        <v>75</v>
      </c>
      <c r="L54" s="29" t="str">
        <f t="shared" si="11"/>
        <v>010-****-7248</v>
      </c>
      <c r="M54" s="1">
        <v>43464</v>
      </c>
      <c r="N54" s="67">
        <v>0</v>
      </c>
      <c r="O54" s="29">
        <f t="shared" ca="1" si="43"/>
        <v>10</v>
      </c>
      <c r="P54" s="29">
        <f t="shared" ca="1" si="44"/>
        <v>26</v>
      </c>
      <c r="Q54" s="1">
        <v>43697</v>
      </c>
      <c r="R54" s="33" t="str">
        <f t="shared" si="12"/>
        <v>화</v>
      </c>
      <c r="S54" s="25"/>
      <c r="T54" s="25"/>
      <c r="U54" s="25"/>
      <c r="V54" s="25"/>
      <c r="W54" s="25">
        <v>89</v>
      </c>
      <c r="X54" s="25"/>
      <c r="Y54" s="25">
        <v>47</v>
      </c>
      <c r="Z54" s="25">
        <f t="shared" si="13"/>
        <v>136</v>
      </c>
      <c r="AA54" s="25">
        <f t="shared" si="14"/>
        <v>4</v>
      </c>
      <c r="AB54" s="25">
        <f t="shared" si="15"/>
        <v>4</v>
      </c>
      <c r="AC54" s="25" t="b">
        <f t="shared" si="16"/>
        <v>1</v>
      </c>
      <c r="AD54" s="25">
        <f t="shared" si="17"/>
        <v>3</v>
      </c>
      <c r="AE54" s="9" t="str">
        <f t="shared" si="18"/>
        <v>D</v>
      </c>
      <c r="AF54" s="43" t="str">
        <f t="shared" si="19"/>
        <v>뮤지컬</v>
      </c>
      <c r="AG54" s="44" t="str">
        <f t="shared" si="20"/>
        <v>MANIA</v>
      </c>
      <c r="AH54" s="25">
        <f>INDEX(혜택포인트!$B$3:$F$6,MATCH(AG54,혜택포인트!$A$3:$A$6,0),MATCH(N54,혜택포인트!$B$2:$F$2,1))</f>
        <v>0.2</v>
      </c>
      <c r="AU54" s="30" t="s">
        <v>89</v>
      </c>
      <c r="AV54" s="30">
        <f t="shared" si="61"/>
        <v>0</v>
      </c>
      <c r="AW54" s="30">
        <f t="shared" si="62"/>
        <v>0</v>
      </c>
      <c r="AX54" s="30">
        <f t="shared" si="63"/>
        <v>0</v>
      </c>
      <c r="AY54" s="30">
        <f t="shared" si="64"/>
        <v>0</v>
      </c>
      <c r="AZ54" s="30">
        <f t="shared" si="65"/>
        <v>0</v>
      </c>
      <c r="BA54" s="30">
        <f t="shared" si="66"/>
        <v>0</v>
      </c>
      <c r="BB54" s="30">
        <f t="shared" si="67"/>
        <v>0</v>
      </c>
      <c r="BC54" s="30">
        <f t="shared" si="68"/>
        <v>0</v>
      </c>
    </row>
  </sheetData>
  <mergeCells count="42">
    <mergeCell ref="B1:Y1"/>
    <mergeCell ref="N3:P3"/>
    <mergeCell ref="AQ5:AR5"/>
    <mergeCell ref="AS5:AT5"/>
    <mergeCell ref="AV5:AW5"/>
    <mergeCell ref="AX5:AY5"/>
    <mergeCell ref="AZ5:BA5"/>
    <mergeCell ref="BB5:BC5"/>
    <mergeCell ref="AU15:AU16"/>
    <mergeCell ref="AV15:AY15"/>
    <mergeCell ref="AZ15:BC15"/>
    <mergeCell ref="AU5:AU6"/>
    <mergeCell ref="AU42:AU44"/>
    <mergeCell ref="AV42:AY42"/>
    <mergeCell ref="AZ42:BC42"/>
    <mergeCell ref="BD15:BG15"/>
    <mergeCell ref="BH15:BK15"/>
    <mergeCell ref="AU25:AU26"/>
    <mergeCell ref="AV25:AW25"/>
    <mergeCell ref="AX25:AY25"/>
    <mergeCell ref="AZ25:BA25"/>
    <mergeCell ref="BB25:BC25"/>
    <mergeCell ref="AU32:AU33"/>
    <mergeCell ref="AV32:AW32"/>
    <mergeCell ref="AX32:AY32"/>
    <mergeCell ref="AZ32:BA32"/>
    <mergeCell ref="BB32:BC32"/>
    <mergeCell ref="BD42:BG42"/>
    <mergeCell ref="BH42:BK42"/>
    <mergeCell ref="AV43:AW43"/>
    <mergeCell ref="AX43:AY43"/>
    <mergeCell ref="AZ43:BA43"/>
    <mergeCell ref="BB43:BC43"/>
    <mergeCell ref="BD43:BE43"/>
    <mergeCell ref="BF43:BG43"/>
    <mergeCell ref="BH43:BI43"/>
    <mergeCell ref="BJ43:BK43"/>
    <mergeCell ref="AU50:AU51"/>
    <mergeCell ref="AV50:AW50"/>
    <mergeCell ref="AX50:AY50"/>
    <mergeCell ref="AZ50:BA50"/>
    <mergeCell ref="BB50:BC5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CB02E-2BF2-4E8D-B23E-15931E900432}">
  <dimension ref="A1:BK67"/>
  <sheetViews>
    <sheetView workbookViewId="0">
      <pane xSplit="2" ySplit="5" topLeftCell="C6" activePane="bottomRight" state="frozen"/>
      <selection pane="topRight" activeCell="B1" sqref="B1"/>
      <selection pane="bottomLeft" activeCell="A5" sqref="A5"/>
      <selection pane="bottomRight" activeCell="A5" sqref="A5"/>
    </sheetView>
  </sheetViews>
  <sheetFormatPr defaultRowHeight="16.5" x14ac:dyDescent="0.3"/>
  <cols>
    <col min="1" max="1" width="10.625" style="11" customWidth="1"/>
    <col min="2" max="2" width="9" style="11"/>
    <col min="3" max="3" width="12.75" style="11" customWidth="1"/>
    <col min="4" max="4" width="12.75" style="11" hidden="1" customWidth="1"/>
    <col min="5" max="5" width="10.75" style="11" customWidth="1"/>
    <col min="6" max="6" width="7.625" style="11" hidden="1" customWidth="1"/>
    <col min="7" max="9" width="5.625" style="11" hidden="1" customWidth="1"/>
    <col min="10" max="10" width="5.625" style="11" customWidth="1"/>
    <col min="11" max="11" width="13.75" style="11" customWidth="1"/>
    <col min="12" max="12" width="13.75" style="11" hidden="1" customWidth="1"/>
    <col min="13" max="13" width="10.75" style="11" customWidth="1"/>
    <col min="14" max="16" width="5.625" style="11" customWidth="1"/>
    <col min="17" max="17" width="10.75" style="11" customWidth="1"/>
    <col min="18" max="18" width="8.625" style="11" customWidth="1"/>
    <col min="19" max="25" width="7.625" style="11" customWidth="1"/>
    <col min="26" max="26" width="9" style="11"/>
    <col min="27" max="27" width="9" style="11" customWidth="1"/>
    <col min="28" max="28" width="9" style="11" hidden="1" customWidth="1"/>
    <col min="29" max="29" width="10.625" style="11" hidden="1" customWidth="1"/>
    <col min="30" max="31" width="5.625" style="11" hidden="1" customWidth="1"/>
    <col min="32" max="34" width="8.625" style="11" customWidth="1"/>
    <col min="35" max="35" width="4.125" style="11" customWidth="1"/>
    <col min="36" max="46" width="9" style="11" hidden="1" customWidth="1"/>
    <col min="47" max="63" width="0" style="11" hidden="1" customWidth="1"/>
    <col min="64" max="16384" width="9" style="11"/>
  </cols>
  <sheetData>
    <row r="1" spans="1:63" ht="20.25" x14ac:dyDescent="0.3">
      <c r="B1" s="68" t="s">
        <v>32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</row>
    <row r="3" spans="1:63" x14ac:dyDescent="0.3"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70" t="s">
        <v>220</v>
      </c>
      <c r="T3" s="70"/>
      <c r="U3" s="70"/>
      <c r="V3" s="70"/>
      <c r="W3" s="70"/>
      <c r="X3" s="70"/>
      <c r="Y3" s="70"/>
    </row>
    <row r="4" spans="1:63" x14ac:dyDescent="0.3"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70" t="s">
        <v>168</v>
      </c>
      <c r="O4" s="70"/>
      <c r="P4" s="70"/>
      <c r="Q4" s="69"/>
      <c r="R4" s="69"/>
      <c r="S4" s="67" t="s">
        <v>80</v>
      </c>
      <c r="T4" s="67" t="s">
        <v>81</v>
      </c>
      <c r="U4" s="67" t="s">
        <v>82</v>
      </c>
      <c r="V4" s="67" t="s">
        <v>83</v>
      </c>
      <c r="W4" s="67" t="s">
        <v>84</v>
      </c>
      <c r="X4" s="67" t="s">
        <v>85</v>
      </c>
      <c r="Y4" s="67" t="s">
        <v>86</v>
      </c>
    </row>
    <row r="5" spans="1:63" ht="30" customHeight="1" x14ac:dyDescent="0.3">
      <c r="A5" s="22" t="s">
        <v>95</v>
      </c>
      <c r="B5" s="67" t="s">
        <v>0</v>
      </c>
      <c r="C5" s="67" t="s">
        <v>33</v>
      </c>
      <c r="D5" s="67" t="s">
        <v>179</v>
      </c>
      <c r="E5" s="67" t="s">
        <v>170</v>
      </c>
      <c r="F5" s="67" t="s">
        <v>171</v>
      </c>
      <c r="G5" s="67" t="s">
        <v>163</v>
      </c>
      <c r="H5" s="67" t="s">
        <v>164</v>
      </c>
      <c r="I5" s="67" t="s">
        <v>172</v>
      </c>
      <c r="J5" s="67" t="s">
        <v>94</v>
      </c>
      <c r="K5" s="71" t="s">
        <v>181</v>
      </c>
      <c r="L5" s="71" t="s">
        <v>180</v>
      </c>
      <c r="M5" s="67" t="s">
        <v>1</v>
      </c>
      <c r="N5" s="67" t="s">
        <v>165</v>
      </c>
      <c r="O5" s="67" t="s">
        <v>166</v>
      </c>
      <c r="P5" s="67" t="s">
        <v>167</v>
      </c>
      <c r="Q5" s="67" t="s">
        <v>2</v>
      </c>
      <c r="R5" s="72" t="s">
        <v>169</v>
      </c>
      <c r="S5" s="22" t="str">
        <f t="shared" ref="S5:Y5" si="0">HLOOKUP(S4,$AJ$7:$AP$8,2,FALSE)</f>
        <v>클래식</v>
      </c>
      <c r="T5" s="22" t="str">
        <f t="shared" si="0"/>
        <v>콘서트</v>
      </c>
      <c r="U5" s="22" t="str">
        <f t="shared" si="0"/>
        <v>무용</v>
      </c>
      <c r="V5" s="22" t="str">
        <f t="shared" si="0"/>
        <v>페스티벌</v>
      </c>
      <c r="W5" s="22" t="str">
        <f t="shared" si="0"/>
        <v>뮤지컬</v>
      </c>
      <c r="X5" s="22" t="str">
        <f t="shared" si="0"/>
        <v>영화</v>
      </c>
      <c r="Y5" s="22" t="str">
        <f t="shared" si="0"/>
        <v>연극</v>
      </c>
      <c r="Z5" s="67" t="s">
        <v>76</v>
      </c>
      <c r="AA5" s="67" t="s">
        <v>77</v>
      </c>
      <c r="AB5" s="67" t="s">
        <v>78</v>
      </c>
      <c r="AC5" s="72" t="s">
        <v>96</v>
      </c>
      <c r="AD5" s="72" t="s">
        <v>101</v>
      </c>
      <c r="AE5" s="73" t="s">
        <v>106</v>
      </c>
      <c r="AF5" s="72" t="s">
        <v>107</v>
      </c>
      <c r="AG5" s="72" t="s">
        <v>173</v>
      </c>
      <c r="AH5" s="72" t="s">
        <v>178</v>
      </c>
    </row>
    <row r="6" spans="1:63" x14ac:dyDescent="0.3">
      <c r="A6" s="22" t="str">
        <f>MID(B6,2,1)&amp;"-"&amp;RIGHT(K6,4)</f>
        <v>원-9814</v>
      </c>
      <c r="B6" s="74" t="s">
        <v>3</v>
      </c>
      <c r="C6" s="67" t="s">
        <v>113</v>
      </c>
      <c r="D6" s="67" t="str">
        <f>C6&amp;REPT("*",6)</f>
        <v>720816-1******</v>
      </c>
      <c r="E6" s="75">
        <f>DATE(LEFT(C6,2),MID(C6,3,2),MID(C6,5,2))</f>
        <v>26527</v>
      </c>
      <c r="F6" s="67">
        <f>YEAR(E6)</f>
        <v>1972</v>
      </c>
      <c r="G6" s="67">
        <f>MONTH(E6)</f>
        <v>8</v>
      </c>
      <c r="H6" s="67">
        <f>DAY(E6)</f>
        <v>16</v>
      </c>
      <c r="I6" s="67">
        <f ca="1">DATEDIF(E6,TODAY(),"Y")</f>
        <v>47</v>
      </c>
      <c r="J6" s="67" t="str">
        <f>CHOOSE(MID(C6,FIND("-",C6)+1,1),"남","여")</f>
        <v>남</v>
      </c>
      <c r="K6" s="71" t="s">
        <v>210</v>
      </c>
      <c r="L6" s="67" t="str">
        <f>REPLACE(K6,FIND("-",K6)+1,FIND("-",K6,5)-FIND("-",K6)-1,REPT("*",FIND("-",K6,5)-FIND("-",K6)-1))</f>
        <v>010-****-9814</v>
      </c>
      <c r="M6" s="75">
        <v>42424</v>
      </c>
      <c r="N6" s="67">
        <f ca="1">DATEDIF(M6,TODAY(),"Y")</f>
        <v>3</v>
      </c>
      <c r="O6" s="67">
        <f ca="1">DATEDIF(M6,TODAY(),"YM")</f>
        <v>9</v>
      </c>
      <c r="P6" s="67">
        <f ca="1">DATEDIF(M6,TODAY(),"MD")</f>
        <v>1</v>
      </c>
      <c r="Q6" s="75">
        <v>43527</v>
      </c>
      <c r="R6" s="76" t="str">
        <f>CHOOSE(WEEKDAY(Q6),"일","월","화","수","목","금","토")</f>
        <v>일</v>
      </c>
      <c r="S6" s="67"/>
      <c r="T6" s="67">
        <v>23</v>
      </c>
      <c r="U6" s="67"/>
      <c r="V6" s="67">
        <v>15</v>
      </c>
      <c r="W6" s="67">
        <v>58</v>
      </c>
      <c r="X6" s="67">
        <v>27</v>
      </c>
      <c r="Y6" s="67">
        <v>79</v>
      </c>
      <c r="Z6" s="22">
        <f>S6+T6+U6+V6+W6+X6+Y6</f>
        <v>202</v>
      </c>
      <c r="AA6" s="22">
        <f>_xlfn.RANK.EQ(Z6,$Z$6:$Z$55,0)</f>
        <v>1</v>
      </c>
      <c r="AB6" s="22">
        <f>_xlfn.RANK.AVG(Z6,$Z$6:$Z$55,0)</f>
        <v>1</v>
      </c>
      <c r="AC6" s="22" t="b">
        <f>AND(Z6&gt;=100, OR(S6&gt;=50,T6&gt;=50,U6&gt;=50,V6&gt;=50,W6&gt;=50,X6&gt;=50,Y6&gt;=50))</f>
        <v>1</v>
      </c>
      <c r="AD6" s="22">
        <f>HLOOKUP(Z6,$AJ$13:$AO$14,2,TRUE)</f>
        <v>1</v>
      </c>
      <c r="AE6" s="77" t="str">
        <f>VLOOKUP(X6,$AJ$16:$AK$20,2,TRUE)</f>
        <v>D</v>
      </c>
      <c r="AF6" s="67" t="str">
        <f>IF(MAX(S6:Y6)=0,"-",IF(MAX(S6:Y6)=S6,$S$5,IF(MAX(S6:Y6)=T6,$T$5,IF(MAX(S6:Y6)=U6,$U$5,IF(MAX(S6:Y6)=V6,$V$5,IF(MAX(S6:Y6)=W6,$W$5,IF(MAX(S6:Y6)=X6,$X$5,$Y$5)))))))</f>
        <v>연극</v>
      </c>
      <c r="AG6" s="78" t="str">
        <f>IF(AND(Z6&gt;=100,OR(S6&gt;=50,T6&gt;=50,U6&gt;=50,V6&gt;=50,W6&gt;=50,X6&gt;=50,Y6&gt;=50)),"MANIA",IF(Z6&gt;=100,"HOBBY",IF(AND(Z6&gt;=50,Z6&lt;100),"ALMOST","TRY")))</f>
        <v>MANIA</v>
      </c>
      <c r="AH6" s="22">
        <f ca="1">INDEX([1]혜택포인트!$B$3:$F$6,MATCH(AG6,[1]혜택포인트!$A$3:$A$6,0),MATCH(N6,[1]혜택포인트!$B$2:$F$2,1))</f>
        <v>0.2</v>
      </c>
      <c r="AQ6" s="79" t="s">
        <v>108</v>
      </c>
      <c r="AR6" s="79"/>
      <c r="AS6" s="79" t="s">
        <v>111</v>
      </c>
      <c r="AT6" s="79"/>
      <c r="AU6" s="52" t="s">
        <v>219</v>
      </c>
      <c r="AV6" s="54" t="s">
        <v>174</v>
      </c>
      <c r="AW6" s="55"/>
      <c r="AX6" s="54" t="s">
        <v>175</v>
      </c>
      <c r="AY6" s="55"/>
      <c r="AZ6" s="54" t="s">
        <v>176</v>
      </c>
      <c r="BA6" s="55"/>
      <c r="BB6" s="54" t="s">
        <v>177</v>
      </c>
      <c r="BC6" s="55"/>
    </row>
    <row r="7" spans="1:63" x14ac:dyDescent="0.3">
      <c r="A7" s="22" t="str">
        <f t="shared" ref="A7:A55" si="1">MID(B7,2,1)&amp;"-"&amp;RIGHT(K7,4)</f>
        <v>수-4276</v>
      </c>
      <c r="B7" s="74" t="s">
        <v>4</v>
      </c>
      <c r="C7" s="67" t="s">
        <v>114</v>
      </c>
      <c r="D7" s="67" t="str">
        <f t="shared" ref="D7:D55" si="2">C7&amp;REPT("*",6)</f>
        <v>860510-2******</v>
      </c>
      <c r="E7" s="75">
        <f t="shared" ref="E7:E55" si="3">DATE(LEFT(C7,2),MID(C7,3,2),MID(C7,5,2))</f>
        <v>31542</v>
      </c>
      <c r="F7" s="67">
        <f t="shared" ref="F7:F55" si="4">YEAR(E7)</f>
        <v>1986</v>
      </c>
      <c r="G7" s="67">
        <f t="shared" ref="G7:G55" si="5">MONTH(E7)</f>
        <v>5</v>
      </c>
      <c r="H7" s="67">
        <f t="shared" ref="H7:H55" si="6">DAY(E7)</f>
        <v>10</v>
      </c>
      <c r="I7" s="67">
        <f t="shared" ref="I7:I55" ca="1" si="7">DATEDIF(E7,TODAY(),"Y")</f>
        <v>33</v>
      </c>
      <c r="J7" s="67" t="str">
        <f t="shared" ref="J7:J55" si="8">CHOOSE(MID(C7,FIND("-",C7)+1,1),"남","여")</f>
        <v>여</v>
      </c>
      <c r="K7" s="71" t="s">
        <v>182</v>
      </c>
      <c r="L7" s="67" t="str">
        <f t="shared" ref="L7:L55" si="9">REPLACE(K7,FIND("-",K7)+1,FIND("-",K7,5)-FIND("-",K7)-1,REPT("*",FIND("-",K7,5)-FIND("-",K7)-1))</f>
        <v>010-****-4276</v>
      </c>
      <c r="M7" s="75">
        <v>39513</v>
      </c>
      <c r="N7" s="67">
        <f t="shared" ref="N7:N55" ca="1" si="10">DATEDIF(M7,TODAY(),"Y")</f>
        <v>11</v>
      </c>
      <c r="O7" s="67">
        <f t="shared" ref="O7:O55" ca="1" si="11">DATEDIF(M7,TODAY(),"YM")</f>
        <v>8</v>
      </c>
      <c r="P7" s="67">
        <f t="shared" ref="P7:P55" ca="1" si="12">DATEDIF(M7,TODAY(),"MD")</f>
        <v>19</v>
      </c>
      <c r="Q7" s="75">
        <v>43094</v>
      </c>
      <c r="R7" s="80" t="str">
        <f t="shared" ref="R7:R55" si="13">CHOOSE(WEEKDAY(Q7),"일","월","화","수","목","금","토")</f>
        <v>월</v>
      </c>
      <c r="S7" s="67"/>
      <c r="T7" s="67"/>
      <c r="U7" s="67"/>
      <c r="V7" s="67"/>
      <c r="W7" s="67"/>
      <c r="X7" s="67"/>
      <c r="Y7" s="67"/>
      <c r="Z7" s="22">
        <f t="shared" ref="Z7:Z55" si="14">S7+T7+U7+V7+W7+X7+Y7</f>
        <v>0</v>
      </c>
      <c r="AA7" s="22">
        <f t="shared" ref="AA7:AA55" si="15">_xlfn.RANK.EQ(Z7,$Z$6:$Z$55,0)</f>
        <v>33</v>
      </c>
      <c r="AB7" s="22">
        <f t="shared" ref="AB7:AB55" si="16">_xlfn.RANK.AVG(Z7,$Z$6:$Z$55,0)</f>
        <v>41.5</v>
      </c>
      <c r="AC7" s="22" t="b">
        <f t="shared" ref="AC7:AC55" si="17">AND(Z7&gt;=100, OR(S7&gt;=50,T7&gt;=50,U7&gt;=50,V7&gt;=50,W7&gt;=50,X7&gt;=50,Y7&gt;=50))</f>
        <v>0</v>
      </c>
      <c r="AD7" s="22">
        <f t="shared" ref="AD7:AD55" si="18">HLOOKUP(Z7,$AJ$13:$AO$14,2,TRUE)</f>
        <v>5</v>
      </c>
      <c r="AE7" s="77" t="str">
        <f t="shared" ref="AE7:AE55" si="19">VLOOKUP(X7,$AJ$16:$AK$20,2,TRUE)</f>
        <v>D</v>
      </c>
      <c r="AF7" s="67" t="str">
        <f t="shared" ref="AF7:AF55" si="20">IF(MAX(S7:Y7)=0,"-",IF(MAX(S7:Y7)=S7,$S$5,IF(MAX(S7:Y7)=T7,$T$5,IF(MAX(S7:Y7)=U7,$U$5,IF(MAX(S7:Y7)=V7,$V$5,IF(MAX(S7:Y7)=W7,$W$5,IF(MAX(S7:Y7)=X7,$X$5,$Y$5)))))))</f>
        <v>-</v>
      </c>
      <c r="AG7" s="81" t="str">
        <f t="shared" ref="AG7:AG55" si="21">IF(AND(Z7&gt;=100,OR(S7&gt;=50,T7&gt;=50,U7&gt;=50,V7&gt;=50,W7&gt;=50,X7&gt;=50,Y7&gt;=50)),"MANIA",IF(Z7&gt;=100,"HOBBY",IF(AND(Z7&gt;=50,Z7&lt;100),"ALMOST","TRY")))</f>
        <v>TRY</v>
      </c>
      <c r="AH7" s="22">
        <f ca="1">INDEX([1]혜택포인트!$B$3:$F$6,MATCH(AG7,[1]혜택포인트!$A$3:$A$6,0),MATCH(N7,[1]혜택포인트!$B$2:$F$2,1))</f>
        <v>0.03</v>
      </c>
      <c r="AJ7" s="67" t="s">
        <v>80</v>
      </c>
      <c r="AK7" s="67" t="s">
        <v>81</v>
      </c>
      <c r="AL7" s="67" t="s">
        <v>82</v>
      </c>
      <c r="AM7" s="67" t="s">
        <v>83</v>
      </c>
      <c r="AN7" s="67" t="s">
        <v>84</v>
      </c>
      <c r="AO7" s="67" t="s">
        <v>85</v>
      </c>
      <c r="AP7" s="82" t="s">
        <v>86</v>
      </c>
      <c r="AQ7" s="22" t="s">
        <v>109</v>
      </c>
      <c r="AR7" s="22" t="s">
        <v>110</v>
      </c>
      <c r="AS7" s="22" t="s">
        <v>76</v>
      </c>
      <c r="AT7" s="22" t="s">
        <v>79</v>
      </c>
      <c r="AU7" s="58"/>
      <c r="AV7" s="51" t="s">
        <v>97</v>
      </c>
      <c r="AW7" s="51" t="s">
        <v>98</v>
      </c>
      <c r="AX7" s="51" t="s">
        <v>97</v>
      </c>
      <c r="AY7" s="51" t="s">
        <v>98</v>
      </c>
      <c r="AZ7" s="51" t="s">
        <v>97</v>
      </c>
      <c r="BA7" s="51" t="s">
        <v>98</v>
      </c>
      <c r="BB7" s="51" t="s">
        <v>97</v>
      </c>
      <c r="BC7" s="51" t="s">
        <v>98</v>
      </c>
    </row>
    <row r="8" spans="1:63" x14ac:dyDescent="0.3">
      <c r="A8" s="22" t="str">
        <f t="shared" si="1"/>
        <v>승-8513</v>
      </c>
      <c r="B8" s="74" t="s">
        <v>5</v>
      </c>
      <c r="C8" s="67" t="s">
        <v>115</v>
      </c>
      <c r="D8" s="67" t="str">
        <f t="shared" si="2"/>
        <v>760423-1******</v>
      </c>
      <c r="E8" s="75">
        <f t="shared" si="3"/>
        <v>27873</v>
      </c>
      <c r="F8" s="67">
        <f t="shared" si="4"/>
        <v>1976</v>
      </c>
      <c r="G8" s="67">
        <f t="shared" si="5"/>
        <v>4</v>
      </c>
      <c r="H8" s="67">
        <f t="shared" si="6"/>
        <v>23</v>
      </c>
      <c r="I8" s="67">
        <f t="shared" ca="1" si="7"/>
        <v>43</v>
      </c>
      <c r="J8" s="67" t="str">
        <f t="shared" si="8"/>
        <v>남</v>
      </c>
      <c r="K8" s="71" t="s">
        <v>183</v>
      </c>
      <c r="L8" s="67" t="str">
        <f t="shared" si="9"/>
        <v>010-****-8513</v>
      </c>
      <c r="M8" s="75">
        <v>37216</v>
      </c>
      <c r="N8" s="67">
        <f t="shared" ca="1" si="10"/>
        <v>18</v>
      </c>
      <c r="O8" s="67">
        <f t="shared" ca="1" si="11"/>
        <v>0</v>
      </c>
      <c r="P8" s="67">
        <f t="shared" ca="1" si="12"/>
        <v>4</v>
      </c>
      <c r="Q8" s="75">
        <v>40836</v>
      </c>
      <c r="R8" s="81" t="str">
        <f t="shared" si="13"/>
        <v>목</v>
      </c>
      <c r="S8" s="67"/>
      <c r="T8" s="67"/>
      <c r="U8" s="67"/>
      <c r="V8" s="67"/>
      <c r="W8" s="67"/>
      <c r="X8" s="67"/>
      <c r="Y8" s="67"/>
      <c r="Z8" s="22">
        <f t="shared" si="14"/>
        <v>0</v>
      </c>
      <c r="AA8" s="22">
        <f t="shared" si="15"/>
        <v>33</v>
      </c>
      <c r="AB8" s="22">
        <f t="shared" si="16"/>
        <v>41.5</v>
      </c>
      <c r="AC8" s="22" t="b">
        <f t="shared" si="17"/>
        <v>0</v>
      </c>
      <c r="AD8" s="22">
        <f t="shared" si="18"/>
        <v>5</v>
      </c>
      <c r="AE8" s="77" t="str">
        <f t="shared" si="19"/>
        <v>D</v>
      </c>
      <c r="AF8" s="67" t="str">
        <f t="shared" si="20"/>
        <v>-</v>
      </c>
      <c r="AG8" s="81" t="str">
        <f t="shared" si="21"/>
        <v>TRY</v>
      </c>
      <c r="AH8" s="22">
        <f ca="1">INDEX([1]혜택포인트!$B$3:$F$6,MATCH(AG8,[1]혜택포인트!$A$3:$A$6,0),MATCH(N8,[1]혜택포인트!$B$2:$F$2,1))</f>
        <v>7.0000000000000007E-2</v>
      </c>
      <c r="AJ8" s="22" t="s">
        <v>87</v>
      </c>
      <c r="AK8" s="22" t="s">
        <v>88</v>
      </c>
      <c r="AL8" s="22" t="s">
        <v>89</v>
      </c>
      <c r="AM8" s="22" t="s">
        <v>90</v>
      </c>
      <c r="AN8" s="22" t="s">
        <v>91</v>
      </c>
      <c r="AO8" s="22" t="s">
        <v>92</v>
      </c>
      <c r="AP8" s="77" t="s">
        <v>93</v>
      </c>
      <c r="AQ8" s="22" t="s">
        <v>87</v>
      </c>
      <c r="AR8" s="22">
        <f>COUNTIF($AF$6:$AF$55,"="&amp;$AQ8)</f>
        <v>6</v>
      </c>
      <c r="AS8" s="22">
        <f>SUMIF($AF$6:$AF$55,"="&amp;S$5,S$6:S$55)</f>
        <v>320</v>
      </c>
      <c r="AT8" s="22">
        <f>ROUND(AVERAGEIF($AF$6:$AF$55,"="&amp;S$5,S$6:S$55),2)</f>
        <v>53.33</v>
      </c>
      <c r="AU8" s="51" t="s">
        <v>87</v>
      </c>
      <c r="AV8" s="51">
        <f>COUNTIFS($AF$6:$AF$55,"="&amp;$AU8, $AG$6:$AG$55,"="&amp;$AV$6,$J$6:$J$55, "="&amp;AV$7)</f>
        <v>1</v>
      </c>
      <c r="AW8" s="51">
        <f>COUNTIFS($AF$6:$AF$55,"="&amp;$AU8, $AG$6:$AG$55,"="&amp;$AV$6,$J$6:$J$55, "="&amp;AW$7)</f>
        <v>0</v>
      </c>
      <c r="AX8" s="51">
        <f>COUNTIFS($AF$6:$AF$55,"="&amp;$AU8, $AG$6:$AG$55,"="&amp;$AX$6,$J$6:$J$55, "="&amp;AX$7)</f>
        <v>0</v>
      </c>
      <c r="AY8" s="51">
        <f>COUNTIFS($AF$6:$AF$55,"="&amp;$AU8, $AG$6:$AG$55,"="&amp;$AX$6,$J$6:$J$55, "="&amp;AY$7)</f>
        <v>1</v>
      </c>
      <c r="AZ8" s="51">
        <f>COUNTIFS($AF$6:$AF$55,"="&amp;$AU8, $AG$6:$AG$55,"="&amp;$AZ$6,$J$6:$J$55, "="&amp;AZ$7)</f>
        <v>0</v>
      </c>
      <c r="BA8" s="51">
        <f>COUNTIFS($AF$6:$AF$55,"="&amp;$AU8, $AG$6:$AG$55,"="&amp;$AZ$6,$J$6:$J$55, "="&amp;BA$7)</f>
        <v>3</v>
      </c>
      <c r="BB8" s="51">
        <f>COUNTIFS($AF$6:$AF$55,"="&amp;$AU8, $AG$6:$AG$55,"="&amp;$BB$6,$J$6:$J$55, "="&amp;BB$7)</f>
        <v>1</v>
      </c>
      <c r="BC8" s="51">
        <f>COUNTIFS($AF$6:$AF$55,"="&amp;$AU8, $AG$6:$AG$55,"="&amp;$BB$6,$J$6:$J$55, "="&amp;BC$7)</f>
        <v>0</v>
      </c>
    </row>
    <row r="9" spans="1:63" x14ac:dyDescent="0.3">
      <c r="A9" s="22" t="str">
        <f t="shared" si="1"/>
        <v>제-8211</v>
      </c>
      <c r="B9" s="74" t="s">
        <v>6</v>
      </c>
      <c r="C9" s="67" t="s">
        <v>116</v>
      </c>
      <c r="D9" s="67" t="str">
        <f t="shared" si="2"/>
        <v>910910-1******</v>
      </c>
      <c r="E9" s="75">
        <f t="shared" si="3"/>
        <v>33491</v>
      </c>
      <c r="F9" s="67">
        <f t="shared" si="4"/>
        <v>1991</v>
      </c>
      <c r="G9" s="67">
        <f t="shared" si="5"/>
        <v>9</v>
      </c>
      <c r="H9" s="67">
        <f t="shared" si="6"/>
        <v>10</v>
      </c>
      <c r="I9" s="67">
        <f t="shared" ca="1" si="7"/>
        <v>28</v>
      </c>
      <c r="J9" s="67" t="str">
        <f t="shared" si="8"/>
        <v>남</v>
      </c>
      <c r="K9" s="71" t="s">
        <v>184</v>
      </c>
      <c r="L9" s="67" t="str">
        <f t="shared" si="9"/>
        <v>010-****-8211</v>
      </c>
      <c r="M9" s="75">
        <v>42081</v>
      </c>
      <c r="N9" s="67">
        <f t="shared" ca="1" si="10"/>
        <v>4</v>
      </c>
      <c r="O9" s="67">
        <f t="shared" ca="1" si="11"/>
        <v>8</v>
      </c>
      <c r="P9" s="67">
        <f t="shared" ca="1" si="12"/>
        <v>7</v>
      </c>
      <c r="Q9" s="75">
        <v>43459</v>
      </c>
      <c r="R9" s="83" t="str">
        <f t="shared" si="13"/>
        <v>화</v>
      </c>
      <c r="S9" s="67"/>
      <c r="T9" s="67"/>
      <c r="U9" s="67"/>
      <c r="V9" s="67"/>
      <c r="W9" s="67"/>
      <c r="X9" s="67"/>
      <c r="Y9" s="67"/>
      <c r="Z9" s="22">
        <f t="shared" si="14"/>
        <v>0</v>
      </c>
      <c r="AA9" s="22">
        <f t="shared" si="15"/>
        <v>33</v>
      </c>
      <c r="AB9" s="22">
        <f t="shared" si="16"/>
        <v>41.5</v>
      </c>
      <c r="AC9" s="22" t="b">
        <f t="shared" si="17"/>
        <v>0</v>
      </c>
      <c r="AD9" s="22">
        <f t="shared" si="18"/>
        <v>5</v>
      </c>
      <c r="AE9" s="77" t="str">
        <f t="shared" si="19"/>
        <v>D</v>
      </c>
      <c r="AF9" s="67" t="str">
        <f t="shared" si="20"/>
        <v>-</v>
      </c>
      <c r="AG9" s="81" t="str">
        <f t="shared" si="21"/>
        <v>TRY</v>
      </c>
      <c r="AH9" s="22">
        <f ca="1">INDEX([1]혜택포인트!$B$3:$F$6,MATCH(AG9,[1]혜택포인트!$A$3:$A$6,0),MATCH(N9,[1]혜택포인트!$B$2:$F$2,1))</f>
        <v>0</v>
      </c>
      <c r="AQ9" s="22" t="s">
        <v>88</v>
      </c>
      <c r="AR9" s="22">
        <f t="shared" ref="AR9:AR15" si="22">COUNTIF($AF$6:$AF$55,"="&amp;$AQ9)</f>
        <v>6</v>
      </c>
      <c r="AS9" s="22">
        <f>SUMIF($AF$6:$AF$55,"="&amp;T$5,T$6:T$55)</f>
        <v>253</v>
      </c>
      <c r="AT9" s="22">
        <f>ROUND(AVERAGEIF($AF$6:$AF$55,"="&amp;T$5,T$6:T$55),2)</f>
        <v>42.17</v>
      </c>
      <c r="AU9" s="51" t="s">
        <v>88</v>
      </c>
      <c r="AV9" s="51">
        <f t="shared" ref="AV9:AW14" si="23">COUNTIFS($AF$6:$AF$55,"="&amp;$AU9, $AG$6:$AG$55,"="&amp;$AV$6,$J$6:$J$55, "="&amp;AV$7)</f>
        <v>0</v>
      </c>
      <c r="AW9" s="51">
        <f t="shared" si="23"/>
        <v>0</v>
      </c>
      <c r="AX9" s="51">
        <f t="shared" ref="AX9:AY14" si="24">COUNTIFS($AF$6:$AF$55,"="&amp;$AU9, $AG$6:$AG$55,"="&amp;$AX$6,$J$6:$J$55, "="&amp;AX$7)</f>
        <v>1</v>
      </c>
      <c r="AY9" s="51">
        <f t="shared" si="24"/>
        <v>0</v>
      </c>
      <c r="AZ9" s="51">
        <f t="shared" ref="AZ9:BA14" si="25">COUNTIFS($AF$6:$AF$55,"="&amp;$AU9, $AG$6:$AG$55,"="&amp;$AZ$6,$J$6:$J$55, "="&amp;AZ$7)</f>
        <v>2</v>
      </c>
      <c r="BA9" s="51">
        <f t="shared" si="25"/>
        <v>0</v>
      </c>
      <c r="BB9" s="51">
        <f t="shared" ref="BB9:BC14" si="26">COUNTIFS($AF$6:$AF$55,"="&amp;$AU9, $AG$6:$AG$55,"="&amp;$BB$6,$J$6:$J$55, "="&amp;BB$7)</f>
        <v>1</v>
      </c>
      <c r="BC9" s="51">
        <f t="shared" si="26"/>
        <v>2</v>
      </c>
    </row>
    <row r="10" spans="1:63" x14ac:dyDescent="0.3">
      <c r="A10" s="22" t="str">
        <f t="shared" si="1"/>
        <v>주-0147</v>
      </c>
      <c r="B10" s="74" t="s">
        <v>7</v>
      </c>
      <c r="C10" s="67" t="s">
        <v>117</v>
      </c>
      <c r="D10" s="67" t="str">
        <f t="shared" si="2"/>
        <v>871205-2******</v>
      </c>
      <c r="E10" s="75">
        <f t="shared" si="3"/>
        <v>32116</v>
      </c>
      <c r="F10" s="67">
        <f t="shared" si="4"/>
        <v>1987</v>
      </c>
      <c r="G10" s="67">
        <f t="shared" si="5"/>
        <v>12</v>
      </c>
      <c r="H10" s="67">
        <f t="shared" si="6"/>
        <v>5</v>
      </c>
      <c r="I10" s="67">
        <f t="shared" ca="1" si="7"/>
        <v>31</v>
      </c>
      <c r="J10" s="67" t="str">
        <f t="shared" si="8"/>
        <v>여</v>
      </c>
      <c r="K10" s="71" t="s">
        <v>185</v>
      </c>
      <c r="L10" s="67" t="str">
        <f t="shared" si="9"/>
        <v>010-****-0147</v>
      </c>
      <c r="M10" s="75">
        <v>41509</v>
      </c>
      <c r="N10" s="67">
        <f t="shared" ca="1" si="10"/>
        <v>6</v>
      </c>
      <c r="O10" s="67">
        <f t="shared" ca="1" si="11"/>
        <v>3</v>
      </c>
      <c r="P10" s="67">
        <f t="shared" ca="1" si="12"/>
        <v>2</v>
      </c>
      <c r="Q10" s="75">
        <v>43653</v>
      </c>
      <c r="R10" s="76" t="str">
        <f t="shared" si="13"/>
        <v>일</v>
      </c>
      <c r="S10" s="67">
        <v>65</v>
      </c>
      <c r="T10" s="67"/>
      <c r="U10" s="67"/>
      <c r="V10" s="67"/>
      <c r="W10" s="67"/>
      <c r="X10" s="67"/>
      <c r="Y10" s="67"/>
      <c r="Z10" s="22">
        <f t="shared" si="14"/>
        <v>65</v>
      </c>
      <c r="AA10" s="22">
        <f t="shared" si="15"/>
        <v>16</v>
      </c>
      <c r="AB10" s="22">
        <f t="shared" si="16"/>
        <v>16.5</v>
      </c>
      <c r="AC10" s="22" t="b">
        <f t="shared" si="17"/>
        <v>0</v>
      </c>
      <c r="AD10" s="22">
        <f t="shared" si="18"/>
        <v>4</v>
      </c>
      <c r="AE10" s="77" t="str">
        <f t="shared" si="19"/>
        <v>D</v>
      </c>
      <c r="AF10" s="67" t="str">
        <f t="shared" si="20"/>
        <v>클래식</v>
      </c>
      <c r="AG10" s="84" t="str">
        <f t="shared" si="21"/>
        <v>ALMOST</v>
      </c>
      <c r="AH10" s="22">
        <f ca="1">INDEX([1]혜택포인트!$B$3:$F$6,MATCH(AG10,[1]혜택포인트!$A$3:$A$6,0),MATCH(N10,[1]혜택포인트!$B$2:$F$2,1))</f>
        <v>0.05</v>
      </c>
      <c r="AJ10" s="22">
        <v>1</v>
      </c>
      <c r="AK10" s="22" t="s">
        <v>97</v>
      </c>
      <c r="AQ10" s="22" t="s">
        <v>89</v>
      </c>
      <c r="AR10" s="22">
        <f t="shared" si="22"/>
        <v>0</v>
      </c>
      <c r="AS10" s="22">
        <f>SUMIF($AF$6:$AF$55,"="&amp;U$5,U$6:U$55)</f>
        <v>0</v>
      </c>
      <c r="AT10" s="22" t="e">
        <f>ROUND(AVERAGEIF($AF$6:$AF$55,"="&amp;U$5,U$6:U$55),2)</f>
        <v>#DIV/0!</v>
      </c>
      <c r="AU10" s="51" t="s">
        <v>89</v>
      </c>
      <c r="AV10" s="51">
        <f t="shared" si="23"/>
        <v>0</v>
      </c>
      <c r="AW10" s="51">
        <f t="shared" si="23"/>
        <v>0</v>
      </c>
      <c r="AX10" s="51">
        <f t="shared" si="24"/>
        <v>0</v>
      </c>
      <c r="AY10" s="51">
        <f t="shared" si="24"/>
        <v>0</v>
      </c>
      <c r="AZ10" s="51">
        <f t="shared" si="25"/>
        <v>0</v>
      </c>
      <c r="BA10" s="51">
        <f t="shared" si="25"/>
        <v>0</v>
      </c>
      <c r="BB10" s="51">
        <f t="shared" si="26"/>
        <v>0</v>
      </c>
      <c r="BC10" s="51">
        <f t="shared" si="26"/>
        <v>0</v>
      </c>
    </row>
    <row r="11" spans="1:63" x14ac:dyDescent="0.3">
      <c r="A11" s="22" t="str">
        <f t="shared" si="1"/>
        <v>승-4730</v>
      </c>
      <c r="B11" s="74" t="s">
        <v>8</v>
      </c>
      <c r="C11" s="67" t="s">
        <v>118</v>
      </c>
      <c r="D11" s="67" t="str">
        <f t="shared" si="2"/>
        <v>830619-2******</v>
      </c>
      <c r="E11" s="75">
        <f t="shared" si="3"/>
        <v>30486</v>
      </c>
      <c r="F11" s="67"/>
      <c r="G11" s="67">
        <f t="shared" si="5"/>
        <v>6</v>
      </c>
      <c r="H11" s="67">
        <f t="shared" si="6"/>
        <v>19</v>
      </c>
      <c r="I11" s="67">
        <f t="shared" ca="1" si="7"/>
        <v>36</v>
      </c>
      <c r="J11" s="67" t="str">
        <f t="shared" si="8"/>
        <v>여</v>
      </c>
      <c r="K11" s="71" t="s">
        <v>186</v>
      </c>
      <c r="L11" s="67" t="str">
        <f t="shared" si="9"/>
        <v>010-****-4730</v>
      </c>
      <c r="M11" s="75">
        <v>43570</v>
      </c>
      <c r="N11" s="67">
        <f t="shared" ca="1" si="10"/>
        <v>0</v>
      </c>
      <c r="O11" s="67">
        <f t="shared" ca="1" si="11"/>
        <v>7</v>
      </c>
      <c r="P11" s="67">
        <f t="shared" ca="1" si="12"/>
        <v>10</v>
      </c>
      <c r="Q11" s="75">
        <v>43693</v>
      </c>
      <c r="R11" s="85" t="str">
        <f t="shared" si="13"/>
        <v>금</v>
      </c>
      <c r="S11" s="67"/>
      <c r="T11" s="67"/>
      <c r="U11" s="67"/>
      <c r="V11" s="67"/>
      <c r="W11" s="67"/>
      <c r="X11" s="67">
        <v>104</v>
      </c>
      <c r="Y11" s="67"/>
      <c r="Z11" s="22">
        <f t="shared" si="14"/>
        <v>104</v>
      </c>
      <c r="AA11" s="22">
        <f t="shared" si="15"/>
        <v>10</v>
      </c>
      <c r="AB11" s="22">
        <f t="shared" si="16"/>
        <v>10</v>
      </c>
      <c r="AC11" s="22" t="b">
        <f t="shared" si="17"/>
        <v>1</v>
      </c>
      <c r="AD11" s="22">
        <f t="shared" si="18"/>
        <v>3</v>
      </c>
      <c r="AE11" s="77" t="str">
        <f t="shared" si="19"/>
        <v>B</v>
      </c>
      <c r="AF11" s="67" t="str">
        <f t="shared" si="20"/>
        <v>영화</v>
      </c>
      <c r="AG11" s="78" t="str">
        <f t="shared" si="21"/>
        <v>MANIA</v>
      </c>
      <c r="AH11" s="22">
        <f ca="1">INDEX([1]혜택포인트!$B$3:$F$6,MATCH(AG11,[1]혜택포인트!$A$3:$A$6,0),MATCH(N11,[1]혜택포인트!$B$2:$F$2,1))</f>
        <v>0.2</v>
      </c>
      <c r="AJ11" s="22">
        <v>2</v>
      </c>
      <c r="AK11" s="22" t="s">
        <v>98</v>
      </c>
      <c r="AQ11" s="22" t="s">
        <v>90</v>
      </c>
      <c r="AR11" s="22">
        <f t="shared" si="22"/>
        <v>2</v>
      </c>
      <c r="AS11" s="22">
        <f>SUMIF($AF$6:$AF$55,"="&amp;V$5,V$6:V$55)</f>
        <v>56</v>
      </c>
      <c r="AT11" s="22">
        <f>ROUND(AVERAGEIF($AF$6:$AF$55,"="&amp;V$5,V$6:V$55),2)</f>
        <v>28</v>
      </c>
      <c r="AU11" s="51" t="s">
        <v>90</v>
      </c>
      <c r="AV11" s="51">
        <f t="shared" si="23"/>
        <v>0</v>
      </c>
      <c r="AW11" s="51">
        <f t="shared" si="23"/>
        <v>0</v>
      </c>
      <c r="AX11" s="51">
        <f t="shared" si="24"/>
        <v>1</v>
      </c>
      <c r="AY11" s="51">
        <f t="shared" si="24"/>
        <v>0</v>
      </c>
      <c r="AZ11" s="51">
        <f t="shared" si="25"/>
        <v>0</v>
      </c>
      <c r="BA11" s="51">
        <f t="shared" si="25"/>
        <v>0</v>
      </c>
      <c r="BB11" s="51">
        <f t="shared" si="26"/>
        <v>1</v>
      </c>
      <c r="BC11" s="51">
        <f t="shared" si="26"/>
        <v>0</v>
      </c>
    </row>
    <row r="12" spans="1:63" x14ac:dyDescent="0.3">
      <c r="A12" s="22" t="str">
        <f t="shared" si="1"/>
        <v>선-7816</v>
      </c>
      <c r="B12" s="74" t="s">
        <v>9</v>
      </c>
      <c r="C12" s="67" t="s">
        <v>119</v>
      </c>
      <c r="D12" s="67" t="str">
        <f t="shared" si="2"/>
        <v>901106-1******</v>
      </c>
      <c r="E12" s="75">
        <f t="shared" si="3"/>
        <v>33183</v>
      </c>
      <c r="F12" s="67">
        <f t="shared" si="4"/>
        <v>1990</v>
      </c>
      <c r="G12" s="67">
        <f t="shared" si="5"/>
        <v>11</v>
      </c>
      <c r="H12" s="67">
        <f t="shared" si="6"/>
        <v>6</v>
      </c>
      <c r="I12" s="67">
        <f t="shared" ca="1" si="7"/>
        <v>29</v>
      </c>
      <c r="J12" s="67" t="str">
        <f t="shared" si="8"/>
        <v>남</v>
      </c>
      <c r="K12" s="71" t="s">
        <v>187</v>
      </c>
      <c r="L12" s="67" t="str">
        <f t="shared" si="9"/>
        <v>010-****-7816</v>
      </c>
      <c r="M12" s="75">
        <v>42560</v>
      </c>
      <c r="N12" s="67">
        <f t="shared" ca="1" si="10"/>
        <v>3</v>
      </c>
      <c r="O12" s="67">
        <f t="shared" ca="1" si="11"/>
        <v>4</v>
      </c>
      <c r="P12" s="67">
        <f t="shared" ca="1" si="12"/>
        <v>16</v>
      </c>
      <c r="Q12" s="75">
        <v>43719</v>
      </c>
      <c r="R12" s="86" t="str">
        <f t="shared" si="13"/>
        <v>수</v>
      </c>
      <c r="S12" s="67"/>
      <c r="T12" s="67"/>
      <c r="U12" s="67"/>
      <c r="V12" s="67">
        <v>16</v>
      </c>
      <c r="W12" s="67"/>
      <c r="X12" s="67">
        <v>15</v>
      </c>
      <c r="Y12" s="67"/>
      <c r="Z12" s="22">
        <f t="shared" si="14"/>
        <v>31</v>
      </c>
      <c r="AA12" s="22">
        <f t="shared" si="15"/>
        <v>23</v>
      </c>
      <c r="AB12" s="22">
        <f t="shared" si="16"/>
        <v>23</v>
      </c>
      <c r="AC12" s="22" t="b">
        <f t="shared" si="17"/>
        <v>0</v>
      </c>
      <c r="AD12" s="22">
        <f t="shared" si="18"/>
        <v>5</v>
      </c>
      <c r="AE12" s="77" t="str">
        <f t="shared" si="19"/>
        <v>D</v>
      </c>
      <c r="AF12" s="67" t="str">
        <f t="shared" si="20"/>
        <v>페스티벌</v>
      </c>
      <c r="AG12" s="81" t="str">
        <f t="shared" si="21"/>
        <v>TRY</v>
      </c>
      <c r="AH12" s="22">
        <f ca="1">INDEX([1]혜택포인트!$B$3:$F$6,MATCH(AG12,[1]혜택포인트!$A$3:$A$6,0),MATCH(N12,[1]혜택포인트!$B$2:$F$2,1))</f>
        <v>0</v>
      </c>
      <c r="AQ12" s="22" t="s">
        <v>91</v>
      </c>
      <c r="AR12" s="22">
        <f t="shared" si="22"/>
        <v>6</v>
      </c>
      <c r="AS12" s="22">
        <f>SUMIF($AF$6:$AF$55,"="&amp;W$5,W$6:W$55)</f>
        <v>184</v>
      </c>
      <c r="AT12" s="22">
        <f>ROUND(AVERAGEIF($AF$6:$AF$55,"="&amp;W$5,W$6:W$55),2)</f>
        <v>30.67</v>
      </c>
      <c r="AU12" s="51" t="s">
        <v>91</v>
      </c>
      <c r="AV12" s="51">
        <f t="shared" si="23"/>
        <v>1</v>
      </c>
      <c r="AW12" s="51">
        <f t="shared" si="23"/>
        <v>1</v>
      </c>
      <c r="AX12" s="51">
        <f t="shared" si="24"/>
        <v>0</v>
      </c>
      <c r="AY12" s="51">
        <f t="shared" si="24"/>
        <v>0</v>
      </c>
      <c r="AZ12" s="51">
        <f t="shared" si="25"/>
        <v>0</v>
      </c>
      <c r="BA12" s="51">
        <f t="shared" si="25"/>
        <v>0</v>
      </c>
      <c r="BB12" s="51">
        <f t="shared" si="26"/>
        <v>3</v>
      </c>
      <c r="BC12" s="51">
        <f t="shared" si="26"/>
        <v>1</v>
      </c>
    </row>
    <row r="13" spans="1:63" x14ac:dyDescent="0.3">
      <c r="A13" s="22" t="str">
        <f t="shared" si="1"/>
        <v>화-8317</v>
      </c>
      <c r="B13" s="74" t="s">
        <v>10</v>
      </c>
      <c r="C13" s="67" t="s">
        <v>120</v>
      </c>
      <c r="D13" s="67" t="str">
        <f t="shared" si="2"/>
        <v>740711-2******</v>
      </c>
      <c r="E13" s="75">
        <f t="shared" si="3"/>
        <v>27221</v>
      </c>
      <c r="F13" s="67">
        <f t="shared" si="4"/>
        <v>1974</v>
      </c>
      <c r="G13" s="67">
        <f t="shared" si="5"/>
        <v>7</v>
      </c>
      <c r="H13" s="67">
        <f t="shared" si="6"/>
        <v>11</v>
      </c>
      <c r="I13" s="67">
        <f t="shared" ca="1" si="7"/>
        <v>45</v>
      </c>
      <c r="J13" s="67" t="str">
        <f t="shared" si="8"/>
        <v>여</v>
      </c>
      <c r="K13" s="71" t="s">
        <v>188</v>
      </c>
      <c r="L13" s="67" t="str">
        <f t="shared" si="9"/>
        <v>010-****-8317</v>
      </c>
      <c r="M13" s="75">
        <v>36622</v>
      </c>
      <c r="N13" s="67">
        <f t="shared" ca="1" si="10"/>
        <v>19</v>
      </c>
      <c r="O13" s="67">
        <f t="shared" ca="1" si="11"/>
        <v>7</v>
      </c>
      <c r="P13" s="67">
        <f t="shared" ca="1" si="12"/>
        <v>19</v>
      </c>
      <c r="Q13" s="75">
        <v>43460</v>
      </c>
      <c r="R13" s="86" t="str">
        <f t="shared" si="13"/>
        <v>수</v>
      </c>
      <c r="S13" s="67"/>
      <c r="T13" s="67"/>
      <c r="U13" s="67"/>
      <c r="V13" s="67"/>
      <c r="W13" s="67"/>
      <c r="X13" s="67"/>
      <c r="Y13" s="67"/>
      <c r="Z13" s="22">
        <f t="shared" si="14"/>
        <v>0</v>
      </c>
      <c r="AA13" s="22">
        <f t="shared" si="15"/>
        <v>33</v>
      </c>
      <c r="AB13" s="22">
        <f t="shared" si="16"/>
        <v>41.5</v>
      </c>
      <c r="AC13" s="22" t="b">
        <f t="shared" si="17"/>
        <v>0</v>
      </c>
      <c r="AD13" s="22">
        <f t="shared" si="18"/>
        <v>5</v>
      </c>
      <c r="AE13" s="77" t="str">
        <f t="shared" si="19"/>
        <v>D</v>
      </c>
      <c r="AF13" s="67" t="str">
        <f t="shared" si="20"/>
        <v>-</v>
      </c>
      <c r="AG13" s="81" t="str">
        <f t="shared" si="21"/>
        <v>TRY</v>
      </c>
      <c r="AH13" s="22">
        <f ca="1">INDEX([1]혜택포인트!$B$3:$F$6,MATCH(AG13,[1]혜택포인트!$A$3:$A$6,0),MATCH(N13,[1]혜택포인트!$B$2:$F$2,1))</f>
        <v>7.0000000000000007E-2</v>
      </c>
      <c r="AJ13" s="22" t="s">
        <v>99</v>
      </c>
      <c r="AK13" s="22">
        <v>0</v>
      </c>
      <c r="AL13" s="22">
        <v>50</v>
      </c>
      <c r="AM13" s="22">
        <v>100</v>
      </c>
      <c r="AN13" s="22">
        <v>150</v>
      </c>
      <c r="AO13" s="22">
        <v>200</v>
      </c>
      <c r="AQ13" s="22" t="s">
        <v>92</v>
      </c>
      <c r="AR13" s="22">
        <f t="shared" si="22"/>
        <v>9</v>
      </c>
      <c r="AS13" s="22">
        <f>SUMIF($AF$6:$AF$55,"="&amp;X$5,X$6:X$55)</f>
        <v>677</v>
      </c>
      <c r="AT13" s="22">
        <f>ROUND(AVERAGEIF($AF$6:$AF$55,"="&amp;X$5,X$6:X$55),2)</f>
        <v>75.22</v>
      </c>
      <c r="AU13" s="51" t="s">
        <v>92</v>
      </c>
      <c r="AV13" s="51">
        <f t="shared" si="23"/>
        <v>3</v>
      </c>
      <c r="AW13" s="51">
        <f t="shared" si="23"/>
        <v>2</v>
      </c>
      <c r="AX13" s="51">
        <f t="shared" si="24"/>
        <v>0</v>
      </c>
      <c r="AY13" s="51">
        <f t="shared" si="24"/>
        <v>0</v>
      </c>
      <c r="AZ13" s="51">
        <f t="shared" si="25"/>
        <v>2</v>
      </c>
      <c r="BA13" s="51">
        <f t="shared" si="25"/>
        <v>0</v>
      </c>
      <c r="BB13" s="51">
        <f t="shared" si="26"/>
        <v>2</v>
      </c>
      <c r="BC13" s="51">
        <f t="shared" si="26"/>
        <v>0</v>
      </c>
    </row>
    <row r="14" spans="1:63" x14ac:dyDescent="0.3">
      <c r="A14" s="22" t="str">
        <f t="shared" si="1"/>
        <v>태-9510</v>
      </c>
      <c r="B14" s="74" t="s">
        <v>11</v>
      </c>
      <c r="C14" s="67" t="s">
        <v>121</v>
      </c>
      <c r="D14" s="67" t="str">
        <f t="shared" si="2"/>
        <v>881010-1******</v>
      </c>
      <c r="E14" s="75">
        <f t="shared" si="3"/>
        <v>32426</v>
      </c>
      <c r="F14" s="67">
        <f t="shared" si="4"/>
        <v>1988</v>
      </c>
      <c r="G14" s="67">
        <f t="shared" si="5"/>
        <v>10</v>
      </c>
      <c r="H14" s="67">
        <f t="shared" si="6"/>
        <v>10</v>
      </c>
      <c r="I14" s="67">
        <f t="shared" ca="1" si="7"/>
        <v>31</v>
      </c>
      <c r="J14" s="67" t="str">
        <f t="shared" si="8"/>
        <v>남</v>
      </c>
      <c r="K14" s="71" t="s">
        <v>189</v>
      </c>
      <c r="L14" s="67" t="str">
        <f t="shared" si="9"/>
        <v>010-****-9510</v>
      </c>
      <c r="M14" s="75">
        <v>40849</v>
      </c>
      <c r="N14" s="67">
        <f t="shared" ca="1" si="10"/>
        <v>8</v>
      </c>
      <c r="O14" s="67">
        <f t="shared" ca="1" si="11"/>
        <v>0</v>
      </c>
      <c r="P14" s="67">
        <f t="shared" ca="1" si="12"/>
        <v>23</v>
      </c>
      <c r="Q14" s="75">
        <v>43471</v>
      </c>
      <c r="R14" s="76" t="str">
        <f t="shared" si="13"/>
        <v>일</v>
      </c>
      <c r="S14" s="67"/>
      <c r="T14" s="67">
        <v>91</v>
      </c>
      <c r="U14" s="67"/>
      <c r="V14" s="67"/>
      <c r="W14" s="67"/>
      <c r="X14" s="67">
        <v>1</v>
      </c>
      <c r="Y14" s="67"/>
      <c r="Z14" s="22">
        <f t="shared" si="14"/>
        <v>92</v>
      </c>
      <c r="AA14" s="22">
        <f t="shared" si="15"/>
        <v>13</v>
      </c>
      <c r="AB14" s="22">
        <f t="shared" si="16"/>
        <v>13</v>
      </c>
      <c r="AC14" s="22" t="b">
        <f t="shared" si="17"/>
        <v>0</v>
      </c>
      <c r="AD14" s="22">
        <f t="shared" si="18"/>
        <v>4</v>
      </c>
      <c r="AE14" s="77" t="str">
        <f t="shared" si="19"/>
        <v>D</v>
      </c>
      <c r="AF14" s="67" t="str">
        <f t="shared" si="20"/>
        <v>콘서트</v>
      </c>
      <c r="AG14" s="84" t="str">
        <f t="shared" si="21"/>
        <v>ALMOST</v>
      </c>
      <c r="AH14" s="22">
        <f ca="1">INDEX([1]혜택포인트!$B$3:$F$6,MATCH(AG14,[1]혜택포인트!$A$3:$A$6,0),MATCH(N14,[1]혜택포인트!$B$2:$F$2,1))</f>
        <v>0.05</v>
      </c>
      <c r="AJ14" s="22" t="s">
        <v>100</v>
      </c>
      <c r="AK14" s="22">
        <v>5</v>
      </c>
      <c r="AL14" s="22">
        <v>4</v>
      </c>
      <c r="AM14" s="22">
        <v>3</v>
      </c>
      <c r="AN14" s="22">
        <v>2</v>
      </c>
      <c r="AO14" s="22">
        <v>1</v>
      </c>
      <c r="AQ14" s="22" t="s">
        <v>93</v>
      </c>
      <c r="AR14" s="22">
        <f t="shared" si="22"/>
        <v>3</v>
      </c>
      <c r="AS14" s="22">
        <f>SUMIF($AF$6:$AF$55,"="&amp;Y$5,Y$6:Y$55)</f>
        <v>103</v>
      </c>
      <c r="AT14" s="22">
        <f>ROUND(AVERAGEIF($AF$6:$AF$55,"="&amp;Y$5,Y$6:Y$55),2)</f>
        <v>34.33</v>
      </c>
      <c r="AU14" s="51" t="s">
        <v>93</v>
      </c>
      <c r="AV14" s="51">
        <f t="shared" si="23"/>
        <v>1</v>
      </c>
      <c r="AW14" s="51">
        <f t="shared" si="23"/>
        <v>0</v>
      </c>
      <c r="AX14" s="51">
        <f t="shared" si="24"/>
        <v>0</v>
      </c>
      <c r="AY14" s="51">
        <f t="shared" si="24"/>
        <v>0</v>
      </c>
      <c r="AZ14" s="51">
        <f t="shared" si="25"/>
        <v>0</v>
      </c>
      <c r="BA14" s="51">
        <f t="shared" si="25"/>
        <v>0</v>
      </c>
      <c r="BB14" s="51">
        <f t="shared" si="26"/>
        <v>1</v>
      </c>
      <c r="BC14" s="51">
        <f t="shared" si="26"/>
        <v>1</v>
      </c>
    </row>
    <row r="15" spans="1:63" x14ac:dyDescent="0.3">
      <c r="A15" s="22" t="str">
        <f t="shared" si="1"/>
        <v>명-7432</v>
      </c>
      <c r="B15" s="74" t="s">
        <v>12</v>
      </c>
      <c r="C15" s="67" t="s">
        <v>122</v>
      </c>
      <c r="D15" s="67" t="str">
        <f t="shared" si="2"/>
        <v>930425-1******</v>
      </c>
      <c r="E15" s="75">
        <f t="shared" si="3"/>
        <v>34084</v>
      </c>
      <c r="F15" s="67">
        <f t="shared" si="4"/>
        <v>1993</v>
      </c>
      <c r="G15" s="67">
        <f t="shared" si="5"/>
        <v>4</v>
      </c>
      <c r="H15" s="67">
        <f t="shared" si="6"/>
        <v>25</v>
      </c>
      <c r="I15" s="67">
        <f t="shared" ca="1" si="7"/>
        <v>26</v>
      </c>
      <c r="J15" s="67" t="str">
        <f t="shared" si="8"/>
        <v>남</v>
      </c>
      <c r="K15" s="71" t="s">
        <v>190</v>
      </c>
      <c r="L15" s="67" t="str">
        <f t="shared" si="9"/>
        <v>010-****-7432</v>
      </c>
      <c r="M15" s="75">
        <v>43184</v>
      </c>
      <c r="N15" s="67">
        <f t="shared" ca="1" si="10"/>
        <v>1</v>
      </c>
      <c r="O15" s="67">
        <f t="shared" ca="1" si="11"/>
        <v>8</v>
      </c>
      <c r="P15" s="67">
        <f t="shared" ca="1" si="12"/>
        <v>0</v>
      </c>
      <c r="Q15" s="75">
        <v>42805</v>
      </c>
      <c r="R15" s="87" t="str">
        <f t="shared" si="13"/>
        <v>토</v>
      </c>
      <c r="S15" s="67"/>
      <c r="T15" s="67"/>
      <c r="U15" s="67"/>
      <c r="V15" s="67"/>
      <c r="W15" s="67"/>
      <c r="X15" s="67"/>
      <c r="Y15" s="67"/>
      <c r="Z15" s="22">
        <f t="shared" si="14"/>
        <v>0</v>
      </c>
      <c r="AA15" s="22">
        <f t="shared" si="15"/>
        <v>33</v>
      </c>
      <c r="AB15" s="22">
        <f t="shared" si="16"/>
        <v>41.5</v>
      </c>
      <c r="AC15" s="22" t="b">
        <f t="shared" si="17"/>
        <v>0</v>
      </c>
      <c r="AD15" s="22">
        <f t="shared" si="18"/>
        <v>5</v>
      </c>
      <c r="AE15" s="77" t="str">
        <f t="shared" si="19"/>
        <v>D</v>
      </c>
      <c r="AF15" s="67" t="str">
        <f t="shared" si="20"/>
        <v>-</v>
      </c>
      <c r="AG15" s="81" t="str">
        <f t="shared" si="21"/>
        <v>TRY</v>
      </c>
      <c r="AH15" s="22">
        <f ca="1">INDEX([1]혜택포인트!$B$3:$F$6,MATCH(AG15,[1]혜택포인트!$A$3:$A$6,0),MATCH(N15,[1]혜택포인트!$B$2:$F$2,1))</f>
        <v>0</v>
      </c>
      <c r="AQ15" s="22" t="s">
        <v>112</v>
      </c>
      <c r="AR15" s="22">
        <f t="shared" si="22"/>
        <v>18</v>
      </c>
      <c r="AS15" s="22">
        <f>SUMIF($AF$6:$AF$55,"="&amp;AQ$15,Z$6:Z$55)</f>
        <v>0</v>
      </c>
      <c r="AT15" s="77" t="e">
        <f>ROUND(AVERAGEIF($AF$6:$AF$55,"="&amp;Z$5,Z$6:Z$55),2)</f>
        <v>#DIV/0!</v>
      </c>
    </row>
    <row r="16" spans="1:63" x14ac:dyDescent="0.3">
      <c r="A16" s="22" t="str">
        <f t="shared" si="1"/>
        <v>웅-8139</v>
      </c>
      <c r="B16" s="74" t="s">
        <v>13</v>
      </c>
      <c r="C16" s="67" t="s">
        <v>123</v>
      </c>
      <c r="D16" s="67" t="str">
        <f t="shared" si="2"/>
        <v>790223-1******</v>
      </c>
      <c r="E16" s="75">
        <f t="shared" si="3"/>
        <v>28909</v>
      </c>
      <c r="F16" s="67">
        <f t="shared" si="4"/>
        <v>1979</v>
      </c>
      <c r="G16" s="67">
        <f t="shared" si="5"/>
        <v>2</v>
      </c>
      <c r="H16" s="67">
        <f t="shared" si="6"/>
        <v>23</v>
      </c>
      <c r="I16" s="67">
        <f t="shared" ca="1" si="7"/>
        <v>40</v>
      </c>
      <c r="J16" s="67" t="str">
        <f t="shared" si="8"/>
        <v>남</v>
      </c>
      <c r="K16" s="71" t="s">
        <v>191</v>
      </c>
      <c r="L16" s="67" t="str">
        <f t="shared" si="9"/>
        <v>010-****-8139</v>
      </c>
      <c r="M16" s="75">
        <v>41955</v>
      </c>
      <c r="N16" s="67">
        <f t="shared" ca="1" si="10"/>
        <v>5</v>
      </c>
      <c r="O16" s="67">
        <f t="shared" ca="1" si="11"/>
        <v>0</v>
      </c>
      <c r="P16" s="67">
        <f t="shared" ca="1" si="12"/>
        <v>13</v>
      </c>
      <c r="Q16" s="75">
        <v>43622</v>
      </c>
      <c r="R16" s="81" t="str">
        <f t="shared" si="13"/>
        <v>목</v>
      </c>
      <c r="S16" s="67"/>
      <c r="T16" s="67"/>
      <c r="U16" s="67"/>
      <c r="V16" s="67"/>
      <c r="W16" s="67"/>
      <c r="X16" s="67">
        <v>163</v>
      </c>
      <c r="Y16" s="67">
        <v>3</v>
      </c>
      <c r="Z16" s="22">
        <f t="shared" si="14"/>
        <v>166</v>
      </c>
      <c r="AA16" s="22">
        <f t="shared" si="15"/>
        <v>3</v>
      </c>
      <c r="AB16" s="22">
        <f t="shared" si="16"/>
        <v>3</v>
      </c>
      <c r="AC16" s="22" t="b">
        <f t="shared" si="17"/>
        <v>1</v>
      </c>
      <c r="AD16" s="22">
        <f t="shared" si="18"/>
        <v>2</v>
      </c>
      <c r="AE16" s="77" t="str">
        <f t="shared" si="19"/>
        <v>A</v>
      </c>
      <c r="AF16" s="67" t="str">
        <f t="shared" si="20"/>
        <v>영화</v>
      </c>
      <c r="AG16" s="78" t="str">
        <f t="shared" si="21"/>
        <v>MANIA</v>
      </c>
      <c r="AH16" s="22">
        <f ca="1">INDEX([1]혜택포인트!$B$3:$F$6,MATCH(AG16,[1]혜택포인트!$A$3:$A$6,0),MATCH(N16,[1]혜택포인트!$B$2:$F$2,1))</f>
        <v>0.25</v>
      </c>
      <c r="AJ16" s="22" t="s">
        <v>99</v>
      </c>
      <c r="AK16" s="22" t="s">
        <v>100</v>
      </c>
      <c r="AU16" s="52" t="s">
        <v>218</v>
      </c>
      <c r="AV16" s="54">
        <v>20</v>
      </c>
      <c r="AW16" s="56"/>
      <c r="AX16" s="56"/>
      <c r="AY16" s="55"/>
      <c r="AZ16" s="54">
        <v>30</v>
      </c>
      <c r="BA16" s="56"/>
      <c r="BB16" s="56"/>
      <c r="BC16" s="55"/>
      <c r="BD16" s="54">
        <v>40</v>
      </c>
      <c r="BE16" s="56"/>
      <c r="BF16" s="56"/>
      <c r="BG16" s="55"/>
      <c r="BH16" s="54">
        <v>50</v>
      </c>
      <c r="BI16" s="56"/>
      <c r="BJ16" s="56"/>
      <c r="BK16" s="55"/>
    </row>
    <row r="17" spans="1:63" x14ac:dyDescent="0.3">
      <c r="A17" s="22" t="str">
        <f t="shared" si="1"/>
        <v>혜-3014</v>
      </c>
      <c r="B17" s="74" t="s">
        <v>14</v>
      </c>
      <c r="C17" s="67" t="s">
        <v>124</v>
      </c>
      <c r="D17" s="67" t="str">
        <f t="shared" si="2"/>
        <v>850118-2******</v>
      </c>
      <c r="E17" s="75">
        <f t="shared" si="3"/>
        <v>31065</v>
      </c>
      <c r="F17" s="67">
        <f t="shared" si="4"/>
        <v>1985</v>
      </c>
      <c r="G17" s="67">
        <f t="shared" si="5"/>
        <v>1</v>
      </c>
      <c r="H17" s="67">
        <f t="shared" si="6"/>
        <v>18</v>
      </c>
      <c r="I17" s="67">
        <f t="shared" ca="1" si="7"/>
        <v>34</v>
      </c>
      <c r="J17" s="67" t="str">
        <f t="shared" si="8"/>
        <v>여</v>
      </c>
      <c r="K17" s="71" t="s">
        <v>192</v>
      </c>
      <c r="L17" s="67" t="str">
        <f t="shared" si="9"/>
        <v>010-****-3014</v>
      </c>
      <c r="M17" s="75">
        <v>40089</v>
      </c>
      <c r="N17" s="67">
        <f t="shared" ca="1" si="10"/>
        <v>10</v>
      </c>
      <c r="O17" s="67">
        <f t="shared" ca="1" si="11"/>
        <v>1</v>
      </c>
      <c r="P17" s="67">
        <f t="shared" ca="1" si="12"/>
        <v>22</v>
      </c>
      <c r="Q17" s="75">
        <v>43376</v>
      </c>
      <c r="R17" s="86" t="str">
        <f t="shared" si="13"/>
        <v>수</v>
      </c>
      <c r="S17" s="67"/>
      <c r="T17" s="67"/>
      <c r="U17" s="67"/>
      <c r="V17" s="67"/>
      <c r="W17" s="67"/>
      <c r="X17" s="67"/>
      <c r="Y17" s="67"/>
      <c r="Z17" s="22">
        <f t="shared" si="14"/>
        <v>0</v>
      </c>
      <c r="AA17" s="22">
        <f t="shared" si="15"/>
        <v>33</v>
      </c>
      <c r="AB17" s="22">
        <f t="shared" si="16"/>
        <v>41.5</v>
      </c>
      <c r="AC17" s="22" t="b">
        <f t="shared" si="17"/>
        <v>0</v>
      </c>
      <c r="AD17" s="22">
        <f t="shared" si="18"/>
        <v>5</v>
      </c>
      <c r="AE17" s="77" t="str">
        <f t="shared" si="19"/>
        <v>D</v>
      </c>
      <c r="AF17" s="67" t="str">
        <f t="shared" si="20"/>
        <v>-</v>
      </c>
      <c r="AG17" s="81" t="str">
        <f t="shared" si="21"/>
        <v>TRY</v>
      </c>
      <c r="AH17" s="22">
        <f ca="1">INDEX([1]혜택포인트!$B$3:$F$6,MATCH(AG17,[1]혜택포인트!$A$3:$A$6,0),MATCH(N17,[1]혜택포인트!$B$2:$F$2,1))</f>
        <v>0.03</v>
      </c>
      <c r="AJ17" s="22">
        <v>0</v>
      </c>
      <c r="AK17" s="22" t="s">
        <v>102</v>
      </c>
      <c r="AQ17" s="22" t="s">
        <v>94</v>
      </c>
      <c r="AR17" s="22" t="s">
        <v>110</v>
      </c>
      <c r="AS17" s="22" t="s">
        <v>76</v>
      </c>
      <c r="AT17" s="77" t="s">
        <v>79</v>
      </c>
      <c r="AU17" s="53"/>
      <c r="AV17" s="51" t="s">
        <v>174</v>
      </c>
      <c r="AW17" s="51" t="s">
        <v>175</v>
      </c>
      <c r="AX17" s="51" t="s">
        <v>176</v>
      </c>
      <c r="AY17" s="51" t="s">
        <v>177</v>
      </c>
      <c r="AZ17" s="51" t="s">
        <v>174</v>
      </c>
      <c r="BA17" s="51" t="s">
        <v>175</v>
      </c>
      <c r="BB17" s="51" t="s">
        <v>176</v>
      </c>
      <c r="BC17" s="51" t="s">
        <v>177</v>
      </c>
      <c r="BD17" s="51" t="s">
        <v>174</v>
      </c>
      <c r="BE17" s="51" t="s">
        <v>175</v>
      </c>
      <c r="BF17" s="51" t="s">
        <v>176</v>
      </c>
      <c r="BG17" s="51" t="s">
        <v>177</v>
      </c>
      <c r="BH17" s="51" t="s">
        <v>174</v>
      </c>
      <c r="BI17" s="51" t="s">
        <v>175</v>
      </c>
      <c r="BJ17" s="51" t="s">
        <v>176</v>
      </c>
      <c r="BK17" s="51" t="s">
        <v>177</v>
      </c>
    </row>
    <row r="18" spans="1:63" x14ac:dyDescent="0.3">
      <c r="A18" s="22" t="str">
        <f t="shared" si="1"/>
        <v>근-9910</v>
      </c>
      <c r="B18" s="74" t="s">
        <v>15</v>
      </c>
      <c r="C18" s="67" t="s">
        <v>125</v>
      </c>
      <c r="D18" s="67" t="str">
        <f t="shared" si="2"/>
        <v>780922-1******</v>
      </c>
      <c r="E18" s="75">
        <f t="shared" si="3"/>
        <v>28755</v>
      </c>
      <c r="F18" s="67">
        <f t="shared" si="4"/>
        <v>1978</v>
      </c>
      <c r="G18" s="67">
        <f t="shared" si="5"/>
        <v>9</v>
      </c>
      <c r="H18" s="67">
        <f t="shared" si="6"/>
        <v>22</v>
      </c>
      <c r="I18" s="67">
        <f t="shared" ca="1" si="7"/>
        <v>41</v>
      </c>
      <c r="J18" s="67" t="str">
        <f t="shared" si="8"/>
        <v>남</v>
      </c>
      <c r="K18" s="71" t="s">
        <v>193</v>
      </c>
      <c r="L18" s="67" t="str">
        <f t="shared" si="9"/>
        <v>010-****-9910</v>
      </c>
      <c r="M18" s="75">
        <v>39668</v>
      </c>
      <c r="N18" s="67">
        <f t="shared" ca="1" si="10"/>
        <v>11</v>
      </c>
      <c r="O18" s="67">
        <f t="shared" ca="1" si="11"/>
        <v>3</v>
      </c>
      <c r="P18" s="67">
        <f t="shared" ca="1" si="12"/>
        <v>17</v>
      </c>
      <c r="Q18" s="75">
        <v>43498</v>
      </c>
      <c r="R18" s="87" t="str">
        <f t="shared" si="13"/>
        <v>토</v>
      </c>
      <c r="S18" s="67">
        <v>41</v>
      </c>
      <c r="T18" s="67">
        <v>46</v>
      </c>
      <c r="U18" s="67">
        <v>42</v>
      </c>
      <c r="V18" s="67"/>
      <c r="W18" s="67"/>
      <c r="X18" s="67"/>
      <c r="Y18" s="67"/>
      <c r="Z18" s="22">
        <f t="shared" si="14"/>
        <v>129</v>
      </c>
      <c r="AA18" s="22">
        <f t="shared" si="15"/>
        <v>5</v>
      </c>
      <c r="AB18" s="22">
        <f t="shared" si="16"/>
        <v>5</v>
      </c>
      <c r="AC18" s="22" t="b">
        <f t="shared" si="17"/>
        <v>0</v>
      </c>
      <c r="AD18" s="22">
        <f t="shared" si="18"/>
        <v>3</v>
      </c>
      <c r="AE18" s="77" t="str">
        <f t="shared" si="19"/>
        <v>D</v>
      </c>
      <c r="AF18" s="67" t="str">
        <f t="shared" si="20"/>
        <v>콘서트</v>
      </c>
      <c r="AG18" s="86" t="str">
        <f t="shared" si="21"/>
        <v>HOBBY</v>
      </c>
      <c r="AH18" s="22">
        <f ca="1">INDEX([1]혜택포인트!$B$3:$F$6,MATCH(AG18,[1]혜택포인트!$A$3:$A$6,0),MATCH(N18,[1]혜택포인트!$B$2:$F$2,1))</f>
        <v>0.2</v>
      </c>
      <c r="AJ18" s="22">
        <v>50</v>
      </c>
      <c r="AK18" s="22" t="s">
        <v>103</v>
      </c>
      <c r="AQ18" s="22" t="s">
        <v>97</v>
      </c>
      <c r="AR18" s="22">
        <f>COUNTIF($J$6:$J$55, "="&amp;$AQ$18)</f>
        <v>29</v>
      </c>
      <c r="AS18" s="22">
        <f>SUMIF($J$6:$J$55,"="&amp;$AQ$18,$Z$6:$Z$55)</f>
        <v>1557</v>
      </c>
      <c r="AT18" s="77">
        <f>ROUND(AVERAGEIF($J$6:$J$55,"="&amp;$AQ$18,$Z$6:$Z$55),2)</f>
        <v>53.69</v>
      </c>
      <c r="AU18" s="51" t="s">
        <v>87</v>
      </c>
      <c r="AV18" s="51">
        <f t="shared" ref="AV18:AY24" ca="1" si="27">COUNTIFS($AF$6:$AF$55,"="&amp;$AU18, $AG$6:$AG$55,"="&amp;AV$17,$I$6:$I$55,"&gt;="&amp;$AV$16,$I$6:$I$55,"&lt;"&amp;$AZ$16)</f>
        <v>0</v>
      </c>
      <c r="AW18" s="51">
        <f t="shared" ca="1" si="27"/>
        <v>0</v>
      </c>
      <c r="AX18" s="51">
        <f t="shared" ca="1" si="27"/>
        <v>0</v>
      </c>
      <c r="AY18" s="51">
        <f t="shared" ca="1" si="27"/>
        <v>0</v>
      </c>
      <c r="AZ18" s="51">
        <f t="shared" ref="AZ18:BC24" ca="1" si="28">COUNTIFS($AF$6:$AF$55,"="&amp;$AU18, $AG$6:$AG$55,"="&amp;AZ$17,$I$6:$I$55,"&gt;="&amp;$AZ$16,$I$6:$I$55,"&lt;"&amp;$BD$16)</f>
        <v>0</v>
      </c>
      <c r="BA18" s="51">
        <f t="shared" ca="1" si="28"/>
        <v>0</v>
      </c>
      <c r="BB18" s="51">
        <f t="shared" ca="1" si="28"/>
        <v>3</v>
      </c>
      <c r="BC18" s="51">
        <f t="shared" ca="1" si="28"/>
        <v>0</v>
      </c>
      <c r="BD18" s="51">
        <f t="shared" ref="BD18:BG24" ca="1" si="29">COUNTIFS($AF$6:$AF$55,"="&amp;$AU18, $AG$6:$AG$55,"="&amp;BD$17,$I$6:$I$55,"&gt;="&amp;$BD$16,$I$6:$I$55,"&lt;"&amp;$BH$16)</f>
        <v>1</v>
      </c>
      <c r="BE18" s="51">
        <f t="shared" ca="1" si="29"/>
        <v>1</v>
      </c>
      <c r="BF18" s="51">
        <f t="shared" ca="1" si="29"/>
        <v>0</v>
      </c>
      <c r="BG18" s="51">
        <f t="shared" ca="1" si="29"/>
        <v>1</v>
      </c>
      <c r="BH18" s="51">
        <f t="shared" ref="BH18:BK24" ca="1" si="30">COUNTIFS($AF$6:$AF$55,"="&amp;$AU18, $AG$6:$AG$55,"="&amp;BH$17,$I$6:$I$55,"&gt;="&amp;$BH$16)</f>
        <v>0</v>
      </c>
      <c r="BI18" s="51">
        <f t="shared" ca="1" si="30"/>
        <v>0</v>
      </c>
      <c r="BJ18" s="51">
        <f t="shared" ca="1" si="30"/>
        <v>0</v>
      </c>
      <c r="BK18" s="51">
        <f t="shared" ca="1" si="30"/>
        <v>0</v>
      </c>
    </row>
    <row r="19" spans="1:63" x14ac:dyDescent="0.3">
      <c r="A19" s="22" t="str">
        <f t="shared" si="1"/>
        <v>현-8410</v>
      </c>
      <c r="B19" s="74" t="s">
        <v>16</v>
      </c>
      <c r="C19" s="67" t="s">
        <v>126</v>
      </c>
      <c r="D19" s="67" t="str">
        <f t="shared" si="2"/>
        <v>860723-1******</v>
      </c>
      <c r="E19" s="75">
        <f t="shared" si="3"/>
        <v>31616</v>
      </c>
      <c r="F19" s="67">
        <f t="shared" si="4"/>
        <v>1986</v>
      </c>
      <c r="G19" s="67">
        <f t="shared" si="5"/>
        <v>7</v>
      </c>
      <c r="H19" s="67">
        <f t="shared" si="6"/>
        <v>23</v>
      </c>
      <c r="I19" s="67">
        <f t="shared" ca="1" si="7"/>
        <v>33</v>
      </c>
      <c r="J19" s="67" t="str">
        <f t="shared" si="8"/>
        <v>남</v>
      </c>
      <c r="K19" s="71" t="s">
        <v>194</v>
      </c>
      <c r="L19" s="67" t="str">
        <f t="shared" si="9"/>
        <v>010-****-8410</v>
      </c>
      <c r="M19" s="75">
        <v>40361</v>
      </c>
      <c r="N19" s="67">
        <f t="shared" ca="1" si="10"/>
        <v>9</v>
      </c>
      <c r="O19" s="67">
        <f t="shared" ca="1" si="11"/>
        <v>4</v>
      </c>
      <c r="P19" s="67">
        <f t="shared" ca="1" si="12"/>
        <v>23</v>
      </c>
      <c r="Q19" s="75">
        <v>43748</v>
      </c>
      <c r="R19" s="81" t="str">
        <f t="shared" si="13"/>
        <v>목</v>
      </c>
      <c r="S19" s="67"/>
      <c r="T19" s="67">
        <v>35</v>
      </c>
      <c r="U19" s="67"/>
      <c r="V19" s="67">
        <v>40</v>
      </c>
      <c r="W19" s="67"/>
      <c r="X19" s="67">
        <v>25</v>
      </c>
      <c r="Y19" s="67"/>
      <c r="Z19" s="22">
        <f t="shared" si="14"/>
        <v>100</v>
      </c>
      <c r="AA19" s="22">
        <f t="shared" si="15"/>
        <v>11</v>
      </c>
      <c r="AB19" s="22">
        <f t="shared" si="16"/>
        <v>11.5</v>
      </c>
      <c r="AC19" s="22" t="b">
        <f t="shared" si="17"/>
        <v>0</v>
      </c>
      <c r="AD19" s="22">
        <f t="shared" si="18"/>
        <v>3</v>
      </c>
      <c r="AE19" s="77" t="str">
        <f t="shared" si="19"/>
        <v>D</v>
      </c>
      <c r="AF19" s="67" t="str">
        <f t="shared" si="20"/>
        <v>페스티벌</v>
      </c>
      <c r="AG19" s="86" t="str">
        <f t="shared" si="21"/>
        <v>HOBBY</v>
      </c>
      <c r="AH19" s="22">
        <f ca="1">INDEX([1]혜택포인트!$B$3:$F$6,MATCH(AG19,[1]혜택포인트!$A$3:$A$6,0),MATCH(N19,[1]혜택포인트!$B$2:$F$2,1))</f>
        <v>0.15</v>
      </c>
      <c r="AJ19" s="22">
        <v>100</v>
      </c>
      <c r="AK19" s="22" t="s">
        <v>104</v>
      </c>
      <c r="AQ19" s="22" t="s">
        <v>98</v>
      </c>
      <c r="AR19" s="22">
        <f>COUNTIF($J$6:$J$55, "="&amp;$AQ$19)</f>
        <v>21</v>
      </c>
      <c r="AS19" s="22">
        <f>SUMIF($J$6:$J$55,"="&amp;$AQ$19,$Z$6:$Z$55)</f>
        <v>808</v>
      </c>
      <c r="AT19" s="77">
        <f>ROUND(AVERAGEIF($J$6:$J$55,"="&amp;$AQ$19,$Z$6:$Z$55),2)</f>
        <v>38.479999999999997</v>
      </c>
      <c r="AU19" s="51" t="s">
        <v>88</v>
      </c>
      <c r="AV19" s="51">
        <f t="shared" si="27"/>
        <v>0</v>
      </c>
      <c r="AW19" s="51">
        <f t="shared" ca="1" si="27"/>
        <v>0</v>
      </c>
      <c r="AX19" s="51">
        <f t="shared" ca="1" si="27"/>
        <v>0</v>
      </c>
      <c r="AY19" s="51">
        <f t="shared" ca="1" si="27"/>
        <v>1</v>
      </c>
      <c r="AZ19" s="51">
        <f t="shared" si="28"/>
        <v>0</v>
      </c>
      <c r="BA19" s="51">
        <f t="shared" ca="1" si="28"/>
        <v>0</v>
      </c>
      <c r="BB19" s="51">
        <f t="shared" ca="1" si="28"/>
        <v>2</v>
      </c>
      <c r="BC19" s="51">
        <f t="shared" ca="1" si="28"/>
        <v>1</v>
      </c>
      <c r="BD19" s="51">
        <f t="shared" si="29"/>
        <v>0</v>
      </c>
      <c r="BE19" s="51">
        <f t="shared" ca="1" si="29"/>
        <v>1</v>
      </c>
      <c r="BF19" s="51">
        <f t="shared" ca="1" si="29"/>
        <v>0</v>
      </c>
      <c r="BG19" s="51">
        <f t="shared" ca="1" si="29"/>
        <v>1</v>
      </c>
      <c r="BH19" s="51">
        <f t="shared" si="30"/>
        <v>0</v>
      </c>
      <c r="BI19" s="51">
        <f t="shared" ca="1" si="30"/>
        <v>0</v>
      </c>
      <c r="BJ19" s="51">
        <f t="shared" ca="1" si="30"/>
        <v>0</v>
      </c>
      <c r="BK19" s="51">
        <f t="shared" ca="1" si="30"/>
        <v>0</v>
      </c>
    </row>
    <row r="20" spans="1:63" x14ac:dyDescent="0.3">
      <c r="A20" s="22" t="str">
        <f t="shared" si="1"/>
        <v>나-5317</v>
      </c>
      <c r="B20" s="74" t="s">
        <v>17</v>
      </c>
      <c r="C20" s="67" t="s">
        <v>127</v>
      </c>
      <c r="D20" s="67" t="str">
        <f t="shared" si="2"/>
        <v>940404-2******</v>
      </c>
      <c r="E20" s="75">
        <f t="shared" si="3"/>
        <v>34428</v>
      </c>
      <c r="F20" s="67">
        <f t="shared" si="4"/>
        <v>1994</v>
      </c>
      <c r="G20" s="67">
        <f t="shared" si="5"/>
        <v>4</v>
      </c>
      <c r="H20" s="67">
        <f t="shared" si="6"/>
        <v>4</v>
      </c>
      <c r="I20" s="67">
        <f t="shared" ca="1" si="7"/>
        <v>25</v>
      </c>
      <c r="J20" s="67" t="str">
        <f t="shared" si="8"/>
        <v>여</v>
      </c>
      <c r="K20" s="71" t="s">
        <v>195</v>
      </c>
      <c r="L20" s="67" t="str">
        <f t="shared" si="9"/>
        <v>010-****-5317</v>
      </c>
      <c r="M20" s="75">
        <v>43475</v>
      </c>
      <c r="N20" s="67">
        <f t="shared" ca="1" si="10"/>
        <v>0</v>
      </c>
      <c r="O20" s="67">
        <f t="shared" ca="1" si="11"/>
        <v>10</v>
      </c>
      <c r="P20" s="67">
        <f t="shared" ca="1" si="12"/>
        <v>15</v>
      </c>
      <c r="Q20" s="75">
        <v>43249</v>
      </c>
      <c r="R20" s="83" t="str">
        <f t="shared" si="13"/>
        <v>화</v>
      </c>
      <c r="S20" s="67"/>
      <c r="T20" s="67"/>
      <c r="U20" s="67"/>
      <c r="V20" s="67"/>
      <c r="W20" s="67"/>
      <c r="X20" s="67"/>
      <c r="Y20" s="67"/>
      <c r="Z20" s="22">
        <f t="shared" si="14"/>
        <v>0</v>
      </c>
      <c r="AA20" s="22">
        <f t="shared" si="15"/>
        <v>33</v>
      </c>
      <c r="AB20" s="22">
        <f t="shared" si="16"/>
        <v>41.5</v>
      </c>
      <c r="AC20" s="22" t="b">
        <f t="shared" si="17"/>
        <v>0</v>
      </c>
      <c r="AD20" s="22">
        <f t="shared" si="18"/>
        <v>5</v>
      </c>
      <c r="AE20" s="77" t="str">
        <f t="shared" si="19"/>
        <v>D</v>
      </c>
      <c r="AF20" s="67" t="str">
        <f t="shared" si="20"/>
        <v>-</v>
      </c>
      <c r="AG20" s="81" t="str">
        <f t="shared" si="21"/>
        <v>TRY</v>
      </c>
      <c r="AH20" s="22">
        <f ca="1">INDEX([1]혜택포인트!$B$3:$F$6,MATCH(AG20,[1]혜택포인트!$A$3:$A$6,0),MATCH(N20,[1]혜택포인트!$B$2:$F$2,1))</f>
        <v>0</v>
      </c>
      <c r="AJ20" s="22">
        <v>150</v>
      </c>
      <c r="AK20" s="22" t="s">
        <v>105</v>
      </c>
      <c r="AU20" s="51" t="s">
        <v>89</v>
      </c>
      <c r="AV20" s="51">
        <f t="shared" si="27"/>
        <v>0</v>
      </c>
      <c r="AW20" s="51">
        <f t="shared" si="27"/>
        <v>0</v>
      </c>
      <c r="AX20" s="51">
        <f t="shared" si="27"/>
        <v>0</v>
      </c>
      <c r="AY20" s="51">
        <f t="shared" si="27"/>
        <v>0</v>
      </c>
      <c r="AZ20" s="51">
        <f t="shared" si="28"/>
        <v>0</v>
      </c>
      <c r="BA20" s="51">
        <f t="shared" si="28"/>
        <v>0</v>
      </c>
      <c r="BB20" s="51">
        <f t="shared" si="28"/>
        <v>0</v>
      </c>
      <c r="BC20" s="51">
        <f t="shared" si="28"/>
        <v>0</v>
      </c>
      <c r="BD20" s="51">
        <f t="shared" si="29"/>
        <v>0</v>
      </c>
      <c r="BE20" s="51">
        <f t="shared" si="29"/>
        <v>0</v>
      </c>
      <c r="BF20" s="51">
        <f t="shared" si="29"/>
        <v>0</v>
      </c>
      <c r="BG20" s="51">
        <f t="shared" si="29"/>
        <v>0</v>
      </c>
      <c r="BH20" s="51">
        <f t="shared" si="30"/>
        <v>0</v>
      </c>
      <c r="BI20" s="51">
        <f t="shared" si="30"/>
        <v>0</v>
      </c>
      <c r="BJ20" s="51">
        <f t="shared" si="30"/>
        <v>0</v>
      </c>
      <c r="BK20" s="51">
        <f t="shared" si="30"/>
        <v>0</v>
      </c>
    </row>
    <row r="21" spans="1:63" x14ac:dyDescent="0.3">
      <c r="A21" s="22" t="str">
        <f t="shared" si="1"/>
        <v>준-8544</v>
      </c>
      <c r="B21" s="74" t="s">
        <v>18</v>
      </c>
      <c r="C21" s="67" t="s">
        <v>128</v>
      </c>
      <c r="D21" s="67" t="str">
        <f t="shared" si="2"/>
        <v>820113-1******</v>
      </c>
      <c r="E21" s="75">
        <f t="shared" si="3"/>
        <v>29964</v>
      </c>
      <c r="F21" s="67">
        <f t="shared" si="4"/>
        <v>1982</v>
      </c>
      <c r="G21" s="67">
        <f t="shared" si="5"/>
        <v>1</v>
      </c>
      <c r="H21" s="67">
        <f t="shared" si="6"/>
        <v>13</v>
      </c>
      <c r="I21" s="67">
        <f t="shared" ca="1" si="7"/>
        <v>37</v>
      </c>
      <c r="J21" s="67" t="str">
        <f t="shared" si="8"/>
        <v>남</v>
      </c>
      <c r="K21" s="71" t="s">
        <v>196</v>
      </c>
      <c r="L21" s="67" t="str">
        <f t="shared" si="9"/>
        <v>010-****-8544</v>
      </c>
      <c r="M21" s="75">
        <v>41627</v>
      </c>
      <c r="N21" s="67">
        <f t="shared" ca="1" si="10"/>
        <v>5</v>
      </c>
      <c r="O21" s="67">
        <f t="shared" ca="1" si="11"/>
        <v>11</v>
      </c>
      <c r="P21" s="67">
        <f t="shared" ca="1" si="12"/>
        <v>6</v>
      </c>
      <c r="Q21" s="75">
        <v>43735</v>
      </c>
      <c r="R21" s="85" t="str">
        <f t="shared" si="13"/>
        <v>금</v>
      </c>
      <c r="S21" s="67">
        <v>3</v>
      </c>
      <c r="T21" s="67">
        <v>7</v>
      </c>
      <c r="U21" s="67">
        <v>1</v>
      </c>
      <c r="V21" s="67">
        <v>1</v>
      </c>
      <c r="W21" s="67">
        <v>2</v>
      </c>
      <c r="X21" s="67">
        <v>32</v>
      </c>
      <c r="Y21" s="67">
        <v>7</v>
      </c>
      <c r="Z21" s="22">
        <f t="shared" si="14"/>
        <v>53</v>
      </c>
      <c r="AA21" s="22">
        <f t="shared" si="15"/>
        <v>18</v>
      </c>
      <c r="AB21" s="22">
        <f t="shared" si="16"/>
        <v>18</v>
      </c>
      <c r="AC21" s="22" t="b">
        <f t="shared" si="17"/>
        <v>0</v>
      </c>
      <c r="AD21" s="22">
        <f t="shared" si="18"/>
        <v>4</v>
      </c>
      <c r="AE21" s="77" t="str">
        <f t="shared" si="19"/>
        <v>D</v>
      </c>
      <c r="AF21" s="67" t="str">
        <f t="shared" si="20"/>
        <v>영화</v>
      </c>
      <c r="AG21" s="84" t="str">
        <f t="shared" si="21"/>
        <v>ALMOST</v>
      </c>
      <c r="AH21" s="22">
        <f ca="1">INDEX([1]혜택포인트!$B$3:$F$6,MATCH(AG21,[1]혜택포인트!$A$3:$A$6,0),MATCH(N21,[1]혜택포인트!$B$2:$F$2,1))</f>
        <v>0.05</v>
      </c>
      <c r="AU21" s="51" t="s">
        <v>90</v>
      </c>
      <c r="AV21" s="51">
        <f t="shared" si="27"/>
        <v>0</v>
      </c>
      <c r="AW21" s="51">
        <f t="shared" ca="1" si="27"/>
        <v>0</v>
      </c>
      <c r="AX21" s="51">
        <f t="shared" si="27"/>
        <v>0</v>
      </c>
      <c r="AY21" s="51">
        <f t="shared" ca="1" si="27"/>
        <v>1</v>
      </c>
      <c r="AZ21" s="51">
        <f t="shared" si="28"/>
        <v>0</v>
      </c>
      <c r="BA21" s="51">
        <f t="shared" ca="1" si="28"/>
        <v>1</v>
      </c>
      <c r="BB21" s="51">
        <f t="shared" si="28"/>
        <v>0</v>
      </c>
      <c r="BC21" s="51">
        <f t="shared" ca="1" si="28"/>
        <v>0</v>
      </c>
      <c r="BD21" s="51">
        <f t="shared" si="29"/>
        <v>0</v>
      </c>
      <c r="BE21" s="51">
        <f t="shared" ca="1" si="29"/>
        <v>0</v>
      </c>
      <c r="BF21" s="51">
        <f t="shared" si="29"/>
        <v>0</v>
      </c>
      <c r="BG21" s="51">
        <f t="shared" ca="1" si="29"/>
        <v>0</v>
      </c>
      <c r="BH21" s="51">
        <f t="shared" si="30"/>
        <v>0</v>
      </c>
      <c r="BI21" s="51">
        <f t="shared" ca="1" si="30"/>
        <v>0</v>
      </c>
      <c r="BJ21" s="51">
        <f t="shared" si="30"/>
        <v>0</v>
      </c>
      <c r="BK21" s="51">
        <f t="shared" ca="1" si="30"/>
        <v>0</v>
      </c>
    </row>
    <row r="22" spans="1:63" x14ac:dyDescent="0.3">
      <c r="A22" s="22" t="str">
        <f t="shared" si="1"/>
        <v>재-3978</v>
      </c>
      <c r="B22" s="74" t="s">
        <v>19</v>
      </c>
      <c r="C22" s="67" t="s">
        <v>129</v>
      </c>
      <c r="D22" s="67" t="str">
        <f t="shared" si="2"/>
        <v>881117-1******</v>
      </c>
      <c r="E22" s="75">
        <f t="shared" si="3"/>
        <v>32464</v>
      </c>
      <c r="F22" s="67">
        <f t="shared" si="4"/>
        <v>1988</v>
      </c>
      <c r="G22" s="67">
        <f t="shared" si="5"/>
        <v>11</v>
      </c>
      <c r="H22" s="67">
        <f t="shared" si="6"/>
        <v>17</v>
      </c>
      <c r="I22" s="67">
        <f t="shared" ca="1" si="7"/>
        <v>31</v>
      </c>
      <c r="J22" s="67" t="str">
        <f t="shared" si="8"/>
        <v>남</v>
      </c>
      <c r="K22" s="71" t="s">
        <v>197</v>
      </c>
      <c r="L22" s="67" t="str">
        <f t="shared" si="9"/>
        <v>010-****-3978</v>
      </c>
      <c r="M22" s="75">
        <v>40309</v>
      </c>
      <c r="N22" s="67">
        <f t="shared" ca="1" si="10"/>
        <v>9</v>
      </c>
      <c r="O22" s="67">
        <f t="shared" ca="1" si="11"/>
        <v>6</v>
      </c>
      <c r="P22" s="67">
        <f t="shared" ca="1" si="12"/>
        <v>14</v>
      </c>
      <c r="Q22" s="75">
        <v>42903</v>
      </c>
      <c r="R22" s="87" t="str">
        <f t="shared" si="13"/>
        <v>토</v>
      </c>
      <c r="S22" s="67"/>
      <c r="T22" s="67"/>
      <c r="U22" s="67"/>
      <c r="V22" s="67"/>
      <c r="W22" s="67"/>
      <c r="X22" s="67"/>
      <c r="Y22" s="67"/>
      <c r="Z22" s="22">
        <f t="shared" si="14"/>
        <v>0</v>
      </c>
      <c r="AA22" s="22">
        <f t="shared" si="15"/>
        <v>33</v>
      </c>
      <c r="AB22" s="22">
        <f t="shared" si="16"/>
        <v>41.5</v>
      </c>
      <c r="AC22" s="22" t="b">
        <f t="shared" si="17"/>
        <v>0</v>
      </c>
      <c r="AD22" s="22">
        <f t="shared" si="18"/>
        <v>5</v>
      </c>
      <c r="AE22" s="77" t="str">
        <f t="shared" si="19"/>
        <v>D</v>
      </c>
      <c r="AF22" s="67" t="str">
        <f t="shared" si="20"/>
        <v>-</v>
      </c>
      <c r="AG22" s="81" t="str">
        <f t="shared" si="21"/>
        <v>TRY</v>
      </c>
      <c r="AH22" s="22">
        <f ca="1">INDEX([1]혜택포인트!$B$3:$F$6,MATCH(AG22,[1]혜택포인트!$A$3:$A$6,0),MATCH(N22,[1]혜택포인트!$B$2:$F$2,1))</f>
        <v>0</v>
      </c>
      <c r="AU22" s="51" t="s">
        <v>91</v>
      </c>
      <c r="AV22" s="51">
        <f t="shared" ca="1" si="27"/>
        <v>0</v>
      </c>
      <c r="AW22" s="51">
        <f t="shared" si="27"/>
        <v>0</v>
      </c>
      <c r="AX22" s="51">
        <f t="shared" si="27"/>
        <v>0</v>
      </c>
      <c r="AY22" s="51">
        <f t="shared" ca="1" si="27"/>
        <v>2</v>
      </c>
      <c r="AZ22" s="51">
        <f t="shared" ca="1" si="28"/>
        <v>1</v>
      </c>
      <c r="BA22" s="51">
        <f t="shared" si="28"/>
        <v>0</v>
      </c>
      <c r="BB22" s="51">
        <f t="shared" si="28"/>
        <v>0</v>
      </c>
      <c r="BC22" s="51">
        <f t="shared" ca="1" si="28"/>
        <v>2</v>
      </c>
      <c r="BD22" s="51">
        <f t="shared" ca="1" si="29"/>
        <v>1</v>
      </c>
      <c r="BE22" s="51">
        <f t="shared" si="29"/>
        <v>0</v>
      </c>
      <c r="BF22" s="51">
        <f t="shared" si="29"/>
        <v>0</v>
      </c>
      <c r="BG22" s="51">
        <f t="shared" ca="1" si="29"/>
        <v>0</v>
      </c>
      <c r="BH22" s="51">
        <f t="shared" ca="1" si="30"/>
        <v>0</v>
      </c>
      <c r="BI22" s="51">
        <f t="shared" si="30"/>
        <v>0</v>
      </c>
      <c r="BJ22" s="51">
        <f t="shared" si="30"/>
        <v>0</v>
      </c>
      <c r="BK22" s="51">
        <f t="shared" ca="1" si="30"/>
        <v>0</v>
      </c>
    </row>
    <row r="23" spans="1:63" x14ac:dyDescent="0.3">
      <c r="A23" s="22" t="str">
        <f t="shared" si="1"/>
        <v>기-2331</v>
      </c>
      <c r="B23" s="74" t="s">
        <v>20</v>
      </c>
      <c r="C23" s="67" t="s">
        <v>130</v>
      </c>
      <c r="D23" s="67" t="str">
        <f t="shared" si="2"/>
        <v>860406-2******</v>
      </c>
      <c r="E23" s="75">
        <f t="shared" si="3"/>
        <v>31508</v>
      </c>
      <c r="F23" s="67">
        <f t="shared" si="4"/>
        <v>1986</v>
      </c>
      <c r="G23" s="67">
        <f t="shared" si="5"/>
        <v>4</v>
      </c>
      <c r="H23" s="67">
        <f t="shared" si="6"/>
        <v>6</v>
      </c>
      <c r="I23" s="67">
        <f t="shared" ca="1" si="7"/>
        <v>33</v>
      </c>
      <c r="J23" s="67" t="str">
        <f t="shared" si="8"/>
        <v>여</v>
      </c>
      <c r="K23" s="71" t="s">
        <v>198</v>
      </c>
      <c r="L23" s="67" t="str">
        <f t="shared" si="9"/>
        <v>010-****-2331</v>
      </c>
      <c r="M23" s="75">
        <v>40997</v>
      </c>
      <c r="N23" s="67">
        <f t="shared" ca="1" si="10"/>
        <v>7</v>
      </c>
      <c r="O23" s="67">
        <f t="shared" ca="1" si="11"/>
        <v>7</v>
      </c>
      <c r="P23" s="67">
        <f t="shared" ca="1" si="12"/>
        <v>27</v>
      </c>
      <c r="Q23" s="75">
        <v>42453</v>
      </c>
      <c r="R23" s="81" t="str">
        <f t="shared" si="13"/>
        <v>목</v>
      </c>
      <c r="S23" s="67"/>
      <c r="T23" s="67"/>
      <c r="U23" s="67"/>
      <c r="V23" s="67"/>
      <c r="W23" s="67"/>
      <c r="X23" s="67"/>
      <c r="Y23" s="67"/>
      <c r="Z23" s="22">
        <f t="shared" si="14"/>
        <v>0</v>
      </c>
      <c r="AA23" s="22">
        <f t="shared" si="15"/>
        <v>33</v>
      </c>
      <c r="AB23" s="22">
        <f t="shared" si="16"/>
        <v>41.5</v>
      </c>
      <c r="AC23" s="22" t="b">
        <f t="shared" si="17"/>
        <v>0</v>
      </c>
      <c r="AD23" s="22">
        <f t="shared" si="18"/>
        <v>5</v>
      </c>
      <c r="AE23" s="77" t="str">
        <f t="shared" si="19"/>
        <v>D</v>
      </c>
      <c r="AF23" s="67" t="str">
        <f t="shared" si="20"/>
        <v>-</v>
      </c>
      <c r="AG23" s="81" t="str">
        <f t="shared" si="21"/>
        <v>TRY</v>
      </c>
      <c r="AH23" s="22">
        <f ca="1">INDEX([1]혜택포인트!$B$3:$F$6,MATCH(AG23,[1]혜택포인트!$A$3:$A$6,0),MATCH(N23,[1]혜택포인트!$B$2:$F$2,1))</f>
        <v>0</v>
      </c>
      <c r="AU23" s="51" t="s">
        <v>92</v>
      </c>
      <c r="AV23" s="51">
        <f t="shared" ca="1" si="27"/>
        <v>1</v>
      </c>
      <c r="AW23" s="51">
        <f t="shared" si="27"/>
        <v>0</v>
      </c>
      <c r="AX23" s="51">
        <f t="shared" ca="1" si="27"/>
        <v>1</v>
      </c>
      <c r="AY23" s="51">
        <f t="shared" ca="1" si="27"/>
        <v>1</v>
      </c>
      <c r="AZ23" s="51">
        <f t="shared" ca="1" si="28"/>
        <v>2</v>
      </c>
      <c r="BA23" s="51">
        <f t="shared" si="28"/>
        <v>0</v>
      </c>
      <c r="BB23" s="51">
        <f t="shared" ca="1" si="28"/>
        <v>1</v>
      </c>
      <c r="BC23" s="51">
        <f t="shared" ca="1" si="28"/>
        <v>0</v>
      </c>
      <c r="BD23" s="51">
        <f t="shared" ca="1" si="29"/>
        <v>2</v>
      </c>
      <c r="BE23" s="51">
        <f t="shared" si="29"/>
        <v>0</v>
      </c>
      <c r="BF23" s="51">
        <f t="shared" ca="1" si="29"/>
        <v>0</v>
      </c>
      <c r="BG23" s="51">
        <f t="shared" ca="1" si="29"/>
        <v>1</v>
      </c>
      <c r="BH23" s="51">
        <f t="shared" ca="1" si="30"/>
        <v>0</v>
      </c>
      <c r="BI23" s="51">
        <f t="shared" si="30"/>
        <v>0</v>
      </c>
      <c r="BJ23" s="51">
        <f t="shared" ca="1" si="30"/>
        <v>0</v>
      </c>
      <c r="BK23" s="51">
        <f t="shared" ca="1" si="30"/>
        <v>0</v>
      </c>
    </row>
    <row r="24" spans="1:63" x14ac:dyDescent="0.3">
      <c r="A24" s="22" t="str">
        <f t="shared" si="1"/>
        <v>정-1311</v>
      </c>
      <c r="B24" s="74" t="s">
        <v>21</v>
      </c>
      <c r="C24" s="67" t="s">
        <v>131</v>
      </c>
      <c r="D24" s="67" t="str">
        <f t="shared" si="2"/>
        <v>791230-2******</v>
      </c>
      <c r="E24" s="75">
        <f t="shared" si="3"/>
        <v>29219</v>
      </c>
      <c r="F24" s="67">
        <f t="shared" si="4"/>
        <v>1979</v>
      </c>
      <c r="G24" s="67">
        <f t="shared" si="5"/>
        <v>12</v>
      </c>
      <c r="H24" s="67">
        <f t="shared" si="6"/>
        <v>30</v>
      </c>
      <c r="I24" s="67">
        <f t="shared" ca="1" si="7"/>
        <v>39</v>
      </c>
      <c r="J24" s="67" t="str">
        <f t="shared" si="8"/>
        <v>여</v>
      </c>
      <c r="K24" s="71" t="s">
        <v>199</v>
      </c>
      <c r="L24" s="67" t="str">
        <f t="shared" si="9"/>
        <v>010-****-1311</v>
      </c>
      <c r="M24" s="75">
        <v>37497</v>
      </c>
      <c r="N24" s="67">
        <f t="shared" ca="1" si="10"/>
        <v>17</v>
      </c>
      <c r="O24" s="67">
        <f t="shared" ca="1" si="11"/>
        <v>2</v>
      </c>
      <c r="P24" s="67">
        <f t="shared" ca="1" si="12"/>
        <v>27</v>
      </c>
      <c r="Q24" s="75">
        <v>43504</v>
      </c>
      <c r="R24" s="85" t="str">
        <f t="shared" si="13"/>
        <v>금</v>
      </c>
      <c r="S24" s="67">
        <v>65</v>
      </c>
      <c r="T24" s="67"/>
      <c r="U24" s="67"/>
      <c r="V24" s="67"/>
      <c r="W24" s="67"/>
      <c r="X24" s="67"/>
      <c r="Y24" s="67"/>
      <c r="Z24" s="22">
        <f t="shared" si="14"/>
        <v>65</v>
      </c>
      <c r="AA24" s="22">
        <f t="shared" si="15"/>
        <v>16</v>
      </c>
      <c r="AB24" s="22">
        <f t="shared" si="16"/>
        <v>16.5</v>
      </c>
      <c r="AC24" s="22" t="b">
        <f t="shared" si="17"/>
        <v>0</v>
      </c>
      <c r="AD24" s="22">
        <f t="shared" si="18"/>
        <v>4</v>
      </c>
      <c r="AE24" s="77" t="str">
        <f t="shared" si="19"/>
        <v>D</v>
      </c>
      <c r="AF24" s="67" t="str">
        <f t="shared" si="20"/>
        <v>클래식</v>
      </c>
      <c r="AG24" s="84" t="str">
        <f t="shared" si="21"/>
        <v>ALMOST</v>
      </c>
      <c r="AH24" s="22">
        <f ca="1">INDEX([1]혜택포인트!$B$3:$F$6,MATCH(AG24,[1]혜택포인트!$A$3:$A$6,0),MATCH(N24,[1]혜택포인트!$B$2:$F$2,1))</f>
        <v>0.15</v>
      </c>
      <c r="AU24" s="51" t="s">
        <v>93</v>
      </c>
      <c r="AV24" s="51">
        <f t="shared" ca="1" si="27"/>
        <v>0</v>
      </c>
      <c r="AW24" s="51">
        <f t="shared" si="27"/>
        <v>0</v>
      </c>
      <c r="AX24" s="51">
        <f t="shared" si="27"/>
        <v>0</v>
      </c>
      <c r="AY24" s="51">
        <f t="shared" ca="1" si="27"/>
        <v>1</v>
      </c>
      <c r="AZ24" s="51">
        <f t="shared" ca="1" si="28"/>
        <v>0</v>
      </c>
      <c r="BA24" s="51">
        <f t="shared" si="28"/>
        <v>0</v>
      </c>
      <c r="BB24" s="51">
        <f t="shared" si="28"/>
        <v>0</v>
      </c>
      <c r="BC24" s="51">
        <f t="shared" ca="1" si="28"/>
        <v>1</v>
      </c>
      <c r="BD24" s="51">
        <f t="shared" ca="1" si="29"/>
        <v>1</v>
      </c>
      <c r="BE24" s="51">
        <f t="shared" si="29"/>
        <v>0</v>
      </c>
      <c r="BF24" s="51">
        <f t="shared" si="29"/>
        <v>0</v>
      </c>
      <c r="BG24" s="51">
        <f t="shared" ca="1" si="29"/>
        <v>0</v>
      </c>
      <c r="BH24" s="51">
        <f t="shared" ca="1" si="30"/>
        <v>0</v>
      </c>
      <c r="BI24" s="51">
        <f t="shared" si="30"/>
        <v>0</v>
      </c>
      <c r="BJ24" s="51">
        <f t="shared" si="30"/>
        <v>0</v>
      </c>
      <c r="BK24" s="51">
        <f t="shared" ca="1" si="30"/>
        <v>0</v>
      </c>
    </row>
    <row r="25" spans="1:63" x14ac:dyDescent="0.3">
      <c r="A25" s="22" t="str">
        <f t="shared" si="1"/>
        <v>도-8651</v>
      </c>
      <c r="B25" s="74" t="s">
        <v>22</v>
      </c>
      <c r="C25" s="67" t="s">
        <v>132</v>
      </c>
      <c r="D25" s="67" t="str">
        <f t="shared" si="2"/>
        <v>870228-2******</v>
      </c>
      <c r="E25" s="75">
        <f t="shared" si="3"/>
        <v>31836</v>
      </c>
      <c r="F25" s="67">
        <f t="shared" si="4"/>
        <v>1987</v>
      </c>
      <c r="G25" s="67">
        <f t="shared" si="5"/>
        <v>2</v>
      </c>
      <c r="H25" s="67">
        <f t="shared" si="6"/>
        <v>28</v>
      </c>
      <c r="I25" s="67">
        <f t="shared" ca="1" si="7"/>
        <v>32</v>
      </c>
      <c r="J25" s="67" t="str">
        <f t="shared" si="8"/>
        <v>여</v>
      </c>
      <c r="K25" s="71" t="s">
        <v>200</v>
      </c>
      <c r="L25" s="67" t="str">
        <f t="shared" si="9"/>
        <v>010-****-8651</v>
      </c>
      <c r="M25" s="75">
        <v>39343</v>
      </c>
      <c r="N25" s="67">
        <f t="shared" ca="1" si="10"/>
        <v>12</v>
      </c>
      <c r="O25" s="67">
        <f t="shared" ca="1" si="11"/>
        <v>2</v>
      </c>
      <c r="P25" s="67">
        <f t="shared" ca="1" si="12"/>
        <v>7</v>
      </c>
      <c r="Q25" s="75">
        <v>42697</v>
      </c>
      <c r="R25" s="86" t="str">
        <f t="shared" si="13"/>
        <v>수</v>
      </c>
      <c r="S25" s="67"/>
      <c r="T25" s="67"/>
      <c r="U25" s="67"/>
      <c r="V25" s="67"/>
      <c r="W25" s="67"/>
      <c r="X25" s="67"/>
      <c r="Y25" s="67"/>
      <c r="Z25" s="22">
        <f t="shared" si="14"/>
        <v>0</v>
      </c>
      <c r="AA25" s="22">
        <f t="shared" si="15"/>
        <v>33</v>
      </c>
      <c r="AB25" s="22">
        <f t="shared" si="16"/>
        <v>41.5</v>
      </c>
      <c r="AC25" s="22" t="b">
        <f t="shared" si="17"/>
        <v>0</v>
      </c>
      <c r="AD25" s="22">
        <f t="shared" si="18"/>
        <v>5</v>
      </c>
      <c r="AE25" s="77" t="str">
        <f t="shared" si="19"/>
        <v>D</v>
      </c>
      <c r="AF25" s="67" t="str">
        <f t="shared" si="20"/>
        <v>-</v>
      </c>
      <c r="AG25" s="81" t="str">
        <f t="shared" si="21"/>
        <v>TRY</v>
      </c>
      <c r="AH25" s="22">
        <f ca="1">INDEX([1]혜택포인트!$B$3:$F$6,MATCH(AG25,[1]혜택포인트!$A$3:$A$6,0),MATCH(N25,[1]혜택포인트!$B$2:$F$2,1))</f>
        <v>0.03</v>
      </c>
    </row>
    <row r="26" spans="1:63" x14ac:dyDescent="0.3">
      <c r="A26" s="22" t="str">
        <f t="shared" si="1"/>
        <v>유-2384</v>
      </c>
      <c r="B26" s="74" t="s">
        <v>23</v>
      </c>
      <c r="C26" s="67" t="s">
        <v>133</v>
      </c>
      <c r="D26" s="67" t="str">
        <f t="shared" si="2"/>
        <v>900926-1******</v>
      </c>
      <c r="E26" s="75">
        <f t="shared" si="3"/>
        <v>33142</v>
      </c>
      <c r="F26" s="67">
        <f t="shared" si="4"/>
        <v>1990</v>
      </c>
      <c r="G26" s="67">
        <f t="shared" si="5"/>
        <v>9</v>
      </c>
      <c r="H26" s="67">
        <f t="shared" si="6"/>
        <v>26</v>
      </c>
      <c r="I26" s="67">
        <f t="shared" ca="1" si="7"/>
        <v>29</v>
      </c>
      <c r="J26" s="67" t="str">
        <f t="shared" si="8"/>
        <v>남</v>
      </c>
      <c r="K26" s="71" t="s">
        <v>201</v>
      </c>
      <c r="L26" s="67" t="str">
        <f t="shared" si="9"/>
        <v>010-****-2384</v>
      </c>
      <c r="M26" s="75">
        <v>42117</v>
      </c>
      <c r="N26" s="67">
        <f t="shared" ca="1" si="10"/>
        <v>4</v>
      </c>
      <c r="O26" s="67">
        <f t="shared" ca="1" si="11"/>
        <v>7</v>
      </c>
      <c r="P26" s="67">
        <f t="shared" ca="1" si="12"/>
        <v>2</v>
      </c>
      <c r="Q26" s="75">
        <v>43685</v>
      </c>
      <c r="R26" s="81" t="str">
        <f t="shared" si="13"/>
        <v>목</v>
      </c>
      <c r="S26" s="67"/>
      <c r="T26" s="67">
        <v>2</v>
      </c>
      <c r="U26" s="67"/>
      <c r="V26" s="67">
        <v>2</v>
      </c>
      <c r="W26" s="67">
        <v>3</v>
      </c>
      <c r="X26" s="67"/>
      <c r="Y26" s="67">
        <v>1</v>
      </c>
      <c r="Z26" s="22">
        <f t="shared" si="14"/>
        <v>8</v>
      </c>
      <c r="AA26" s="22">
        <f t="shared" si="15"/>
        <v>29</v>
      </c>
      <c r="AB26" s="22">
        <f t="shared" si="16"/>
        <v>29.5</v>
      </c>
      <c r="AC26" s="22" t="b">
        <f t="shared" si="17"/>
        <v>0</v>
      </c>
      <c r="AD26" s="22">
        <f t="shared" si="18"/>
        <v>5</v>
      </c>
      <c r="AE26" s="77" t="str">
        <f t="shared" si="19"/>
        <v>D</v>
      </c>
      <c r="AF26" s="67" t="str">
        <f t="shared" si="20"/>
        <v>뮤지컬</v>
      </c>
      <c r="AG26" s="81" t="str">
        <f t="shared" si="21"/>
        <v>TRY</v>
      </c>
      <c r="AH26" s="22">
        <f ca="1">INDEX([1]혜택포인트!$B$3:$F$6,MATCH(AG26,[1]혜택포인트!$A$3:$A$6,0),MATCH(N26,[1]혜택포인트!$B$2:$F$2,1))</f>
        <v>0</v>
      </c>
      <c r="AU26" s="52" t="s">
        <v>217</v>
      </c>
      <c r="AV26" s="54">
        <v>20</v>
      </c>
      <c r="AW26" s="55"/>
      <c r="AX26" s="54">
        <v>30</v>
      </c>
      <c r="AY26" s="55"/>
      <c r="AZ26" s="54">
        <v>40</v>
      </c>
      <c r="BA26" s="55"/>
      <c r="BB26" s="54">
        <v>50</v>
      </c>
      <c r="BC26" s="55"/>
    </row>
    <row r="27" spans="1:63" x14ac:dyDescent="0.3">
      <c r="A27" s="22" t="str">
        <f t="shared" si="1"/>
        <v>예-2101</v>
      </c>
      <c r="B27" s="74" t="s">
        <v>24</v>
      </c>
      <c r="C27" s="67" t="s">
        <v>134</v>
      </c>
      <c r="D27" s="67" t="str">
        <f t="shared" si="2"/>
        <v>720826-2******</v>
      </c>
      <c r="E27" s="75">
        <f t="shared" si="3"/>
        <v>26537</v>
      </c>
      <c r="F27" s="67">
        <f t="shared" si="4"/>
        <v>1972</v>
      </c>
      <c r="G27" s="67">
        <f t="shared" si="5"/>
        <v>8</v>
      </c>
      <c r="H27" s="67">
        <f t="shared" si="6"/>
        <v>26</v>
      </c>
      <c r="I27" s="67">
        <f t="shared" ca="1" si="7"/>
        <v>47</v>
      </c>
      <c r="J27" s="67" t="str">
        <f t="shared" si="8"/>
        <v>여</v>
      </c>
      <c r="K27" s="71" t="s">
        <v>202</v>
      </c>
      <c r="L27" s="67" t="str">
        <f t="shared" si="9"/>
        <v>010-****-2101</v>
      </c>
      <c r="M27" s="75">
        <v>36812</v>
      </c>
      <c r="N27" s="67">
        <f t="shared" ca="1" si="10"/>
        <v>19</v>
      </c>
      <c r="O27" s="67">
        <f t="shared" ca="1" si="11"/>
        <v>1</v>
      </c>
      <c r="P27" s="67">
        <f t="shared" ca="1" si="12"/>
        <v>12</v>
      </c>
      <c r="Q27" s="75">
        <v>43739</v>
      </c>
      <c r="R27" s="83" t="str">
        <f t="shared" si="13"/>
        <v>화</v>
      </c>
      <c r="S27" s="67"/>
      <c r="T27" s="67">
        <v>29</v>
      </c>
      <c r="U27" s="67"/>
      <c r="V27" s="67"/>
      <c r="W27" s="67"/>
      <c r="X27" s="67"/>
      <c r="Y27" s="67"/>
      <c r="Z27" s="22">
        <f t="shared" si="14"/>
        <v>29</v>
      </c>
      <c r="AA27" s="22">
        <f t="shared" si="15"/>
        <v>24</v>
      </c>
      <c r="AB27" s="22">
        <f t="shared" si="16"/>
        <v>24</v>
      </c>
      <c r="AC27" s="22" t="b">
        <f t="shared" si="17"/>
        <v>0</v>
      </c>
      <c r="AD27" s="22">
        <f t="shared" si="18"/>
        <v>5</v>
      </c>
      <c r="AE27" s="77" t="str">
        <f t="shared" si="19"/>
        <v>D</v>
      </c>
      <c r="AF27" s="67" t="str">
        <f t="shared" si="20"/>
        <v>콘서트</v>
      </c>
      <c r="AG27" s="81" t="str">
        <f t="shared" si="21"/>
        <v>TRY</v>
      </c>
      <c r="AH27" s="22">
        <f ca="1">INDEX([1]혜택포인트!$B$3:$F$6,MATCH(AG27,[1]혜택포인트!$A$3:$A$6,0),MATCH(N27,[1]혜택포인트!$B$2:$F$2,1))</f>
        <v>7.0000000000000007E-2</v>
      </c>
      <c r="AU27" s="53"/>
      <c r="AV27" s="51" t="s">
        <v>97</v>
      </c>
      <c r="AW27" s="51" t="s">
        <v>98</v>
      </c>
      <c r="AX27" s="51" t="s">
        <v>97</v>
      </c>
      <c r="AY27" s="51" t="s">
        <v>98</v>
      </c>
      <c r="AZ27" s="51" t="s">
        <v>97</v>
      </c>
      <c r="BA27" s="51" t="s">
        <v>98</v>
      </c>
      <c r="BB27" s="51" t="s">
        <v>97</v>
      </c>
      <c r="BC27" s="51" t="s">
        <v>98</v>
      </c>
    </row>
    <row r="28" spans="1:63" x14ac:dyDescent="0.3">
      <c r="A28" s="22" t="str">
        <f t="shared" si="1"/>
        <v>태-8499</v>
      </c>
      <c r="B28" s="74" t="s">
        <v>25</v>
      </c>
      <c r="C28" s="67" t="s">
        <v>135</v>
      </c>
      <c r="D28" s="67" t="str">
        <f t="shared" si="2"/>
        <v>930730-1******</v>
      </c>
      <c r="E28" s="75">
        <f t="shared" si="3"/>
        <v>34180</v>
      </c>
      <c r="F28" s="67">
        <f t="shared" si="4"/>
        <v>1993</v>
      </c>
      <c r="G28" s="67">
        <f t="shared" si="5"/>
        <v>7</v>
      </c>
      <c r="H28" s="67">
        <f t="shared" si="6"/>
        <v>30</v>
      </c>
      <c r="I28" s="67">
        <f t="shared" ca="1" si="7"/>
        <v>26</v>
      </c>
      <c r="J28" s="67" t="str">
        <f t="shared" si="8"/>
        <v>남</v>
      </c>
      <c r="K28" s="71" t="s">
        <v>203</v>
      </c>
      <c r="L28" s="67" t="str">
        <f t="shared" si="9"/>
        <v>010-****-8499</v>
      </c>
      <c r="M28" s="75">
        <v>43528</v>
      </c>
      <c r="N28" s="67">
        <f t="shared" ca="1" si="10"/>
        <v>0</v>
      </c>
      <c r="O28" s="67">
        <f t="shared" ca="1" si="11"/>
        <v>8</v>
      </c>
      <c r="P28" s="67">
        <f t="shared" ca="1" si="12"/>
        <v>21</v>
      </c>
      <c r="Q28" s="75">
        <v>43758</v>
      </c>
      <c r="R28" s="76" t="str">
        <f t="shared" si="13"/>
        <v>일</v>
      </c>
      <c r="S28" s="67"/>
      <c r="T28" s="67"/>
      <c r="U28" s="67"/>
      <c r="V28" s="67"/>
      <c r="W28" s="67">
        <v>1</v>
      </c>
      <c r="X28" s="67">
        <v>1</v>
      </c>
      <c r="Y28" s="67">
        <v>1</v>
      </c>
      <c r="Z28" s="22">
        <f t="shared" si="14"/>
        <v>3</v>
      </c>
      <c r="AA28" s="22">
        <f t="shared" si="15"/>
        <v>32</v>
      </c>
      <c r="AB28" s="22">
        <f t="shared" si="16"/>
        <v>32</v>
      </c>
      <c r="AC28" s="22" t="b">
        <f t="shared" si="17"/>
        <v>0</v>
      </c>
      <c r="AD28" s="22">
        <f t="shared" si="18"/>
        <v>5</v>
      </c>
      <c r="AE28" s="77" t="str">
        <f t="shared" si="19"/>
        <v>D</v>
      </c>
      <c r="AF28" s="67" t="str">
        <f t="shared" si="20"/>
        <v>뮤지컬</v>
      </c>
      <c r="AG28" s="81" t="str">
        <f t="shared" si="21"/>
        <v>TRY</v>
      </c>
      <c r="AH28" s="22">
        <f ca="1">INDEX([1]혜택포인트!$B$3:$F$6,MATCH(AG28,[1]혜택포인트!$A$3:$A$6,0),MATCH(N28,[1]혜택포인트!$B$2:$F$2,1))</f>
        <v>0</v>
      </c>
      <c r="AU28" s="51" t="s">
        <v>174</v>
      </c>
      <c r="AV28" s="51">
        <f ca="1">COUNTIFS($AG$6:$AG$55,"="&amp;$AU28,$I$6:$I$55,"&gt;="&amp;$AV$26,$I$6:$I$55,"&lt;"&amp;$AX$26,$J$6:$J$55,"="&amp;AV$27)</f>
        <v>0</v>
      </c>
      <c r="AW28" s="51">
        <f t="shared" ref="AW28:AW31" ca="1" si="31">COUNTIFS($AG$6:$AG$55,"="&amp;$AU28,$I$6:$I$55,"&gt;="&amp;$AV$26,$I$6:$I$55,"&lt;"&amp;$AX$26,$J$6:$J$55,"="&amp;AW$27)</f>
        <v>1</v>
      </c>
      <c r="AX28" s="51">
        <f ca="1">COUNTIFS($AG$6:$AG$55,"="&amp;$AU28,$I$6:$I$55,"&gt;="&amp;$AX$26,$I$6:$I$55,"&lt;"&amp;$AZ$26,$J$6:$J$55,"="&amp;AX$27)</f>
        <v>2</v>
      </c>
      <c r="AY28" s="51">
        <f ca="1">COUNTIFS($AG$6:$AG$55,"="&amp;$AU28,$I$6:$I$55,"&gt;="&amp;$AX$26,$I$6:$I$55,"&lt;"&amp;$AZ$26,$J$6:$J$55,"="&amp;AY$27)</f>
        <v>1</v>
      </c>
      <c r="AZ28" s="51">
        <f ca="1">COUNTIFS($AG$6:$AG$55,"="&amp;$AU28,$I$6:$I$55,"&gt;="&amp;$AZ$26,$I$6:$I$55,"&lt;"&amp;$BB$26,$J$6:$J$55,"="&amp;AZ$27)</f>
        <v>4</v>
      </c>
      <c r="BA28" s="51">
        <f ca="1">COUNTIFS($AG$6:$AG$55,"="&amp;$AU28,$I$6:$I$55,"&gt;="&amp;$AZ$26,$I$6:$I$55,"&lt;"&amp;$BB$26,$J$6:$J$55,"="&amp;BA$27)</f>
        <v>1</v>
      </c>
      <c r="BB28" s="51">
        <f ca="1">COUNTIFS($AG$6:$AG$55,"="&amp;$AU28,$I$6:$I$55,"&gt;="&amp;$AZ$26,$J$6:$J$55,"="&amp;BB$27)</f>
        <v>4</v>
      </c>
      <c r="BC28" s="51">
        <f ca="1">COUNTIFS($AG$6:$AG$55,"="&amp;$AU28,$I$6:$I$55,"&gt;="&amp;$AZ$26,$J$6:$J$55,"="&amp;BC$27)</f>
        <v>1</v>
      </c>
    </row>
    <row r="29" spans="1:63" x14ac:dyDescent="0.3">
      <c r="A29" s="22" t="str">
        <f t="shared" si="1"/>
        <v>선-7748</v>
      </c>
      <c r="B29" s="74" t="s">
        <v>26</v>
      </c>
      <c r="C29" s="67" t="s">
        <v>136</v>
      </c>
      <c r="D29" s="67" t="str">
        <f t="shared" si="2"/>
        <v>860103-2******</v>
      </c>
      <c r="E29" s="75">
        <f t="shared" si="3"/>
        <v>31415</v>
      </c>
      <c r="F29" s="67">
        <f t="shared" si="4"/>
        <v>1986</v>
      </c>
      <c r="G29" s="67">
        <f t="shared" si="5"/>
        <v>1</v>
      </c>
      <c r="H29" s="67">
        <f t="shared" si="6"/>
        <v>3</v>
      </c>
      <c r="I29" s="67">
        <f t="shared" ca="1" si="7"/>
        <v>33</v>
      </c>
      <c r="J29" s="67" t="str">
        <f t="shared" si="8"/>
        <v>여</v>
      </c>
      <c r="K29" s="71" t="s">
        <v>204</v>
      </c>
      <c r="L29" s="67" t="str">
        <f t="shared" si="9"/>
        <v>010-****-7748</v>
      </c>
      <c r="M29" s="75">
        <v>40814</v>
      </c>
      <c r="N29" s="67">
        <f t="shared" ca="1" si="10"/>
        <v>8</v>
      </c>
      <c r="O29" s="67">
        <f t="shared" ca="1" si="11"/>
        <v>1</v>
      </c>
      <c r="P29" s="67">
        <f t="shared" ca="1" si="12"/>
        <v>28</v>
      </c>
      <c r="Q29" s="75">
        <v>42073</v>
      </c>
      <c r="R29" s="83" t="str">
        <f t="shared" si="13"/>
        <v>화</v>
      </c>
      <c r="S29" s="67"/>
      <c r="T29" s="67"/>
      <c r="U29" s="67"/>
      <c r="V29" s="67"/>
      <c r="W29" s="67"/>
      <c r="X29" s="67"/>
      <c r="Y29" s="67"/>
      <c r="Z29" s="22">
        <f t="shared" si="14"/>
        <v>0</v>
      </c>
      <c r="AA29" s="22">
        <f t="shared" si="15"/>
        <v>33</v>
      </c>
      <c r="AB29" s="22">
        <f t="shared" si="16"/>
        <v>41.5</v>
      </c>
      <c r="AC29" s="22" t="b">
        <f t="shared" si="17"/>
        <v>0</v>
      </c>
      <c r="AD29" s="22">
        <f t="shared" si="18"/>
        <v>5</v>
      </c>
      <c r="AE29" s="77" t="str">
        <f t="shared" si="19"/>
        <v>D</v>
      </c>
      <c r="AF29" s="67" t="str">
        <f t="shared" si="20"/>
        <v>-</v>
      </c>
      <c r="AG29" s="81" t="str">
        <f t="shared" si="21"/>
        <v>TRY</v>
      </c>
      <c r="AH29" s="22">
        <f ca="1">INDEX([1]혜택포인트!$B$3:$F$6,MATCH(AG29,[1]혜택포인트!$A$3:$A$6,0),MATCH(N29,[1]혜택포인트!$B$2:$F$2,1))</f>
        <v>0</v>
      </c>
      <c r="AU29" s="51" t="s">
        <v>175</v>
      </c>
      <c r="AV29" s="51">
        <f t="shared" ref="AV29:AV31" ca="1" si="32">COUNTIFS($AG$6:$AG$55,"="&amp;$AU29,$I$6:$I$55,"&gt;="&amp;$AV$26,$I$6:$I$55,"&lt;"&amp;$AX$26,$J$6:$J$55,"="&amp;AV$27)</f>
        <v>0</v>
      </c>
      <c r="AW29" s="51">
        <f t="shared" ca="1" si="31"/>
        <v>0</v>
      </c>
      <c r="AX29" s="51">
        <f t="shared" ref="AX29:AY31" ca="1" si="33">COUNTIFS($AG$6:$AG$55,"="&amp;$AU29,$I$6:$I$55,"&gt;="&amp;$AX$26,$I$6:$I$55,"&lt;"&amp;$AZ$26,$J$6:$J$55,"="&amp;AX$27)</f>
        <v>1</v>
      </c>
      <c r="AY29" s="51">
        <f t="shared" ca="1" si="33"/>
        <v>0</v>
      </c>
      <c r="AZ29" s="51">
        <f t="shared" ref="AZ29:BA31" ca="1" si="34">COUNTIFS($AG$6:$AG$55,"="&amp;$AU29,$I$6:$I$55,"&gt;="&amp;$AZ$26,$I$6:$I$55,"&lt;"&amp;$BB$26,$J$6:$J$55,"="&amp;AZ$27)</f>
        <v>1</v>
      </c>
      <c r="BA29" s="51">
        <f t="shared" ca="1" si="34"/>
        <v>1</v>
      </c>
      <c r="BB29" s="51">
        <f t="shared" ref="BB29:BC31" ca="1" si="35">COUNTIFS($AG$6:$AG$55,"="&amp;$AU29,$I$6:$I$55,"&gt;="&amp;$AZ$26,$J$6:$J$55,"="&amp;BB$27)</f>
        <v>1</v>
      </c>
      <c r="BC29" s="51">
        <f t="shared" ca="1" si="35"/>
        <v>1</v>
      </c>
    </row>
    <row r="30" spans="1:63" x14ac:dyDescent="0.3">
      <c r="A30" s="22" t="str">
        <f t="shared" si="1"/>
        <v>승-1643</v>
      </c>
      <c r="B30" s="74" t="s">
        <v>27</v>
      </c>
      <c r="C30" s="67" t="s">
        <v>137</v>
      </c>
      <c r="D30" s="67" t="str">
        <f t="shared" si="2"/>
        <v>821129-1******</v>
      </c>
      <c r="E30" s="75">
        <f t="shared" si="3"/>
        <v>30284</v>
      </c>
      <c r="F30" s="67">
        <f t="shared" si="4"/>
        <v>1982</v>
      </c>
      <c r="G30" s="67">
        <f t="shared" si="5"/>
        <v>11</v>
      </c>
      <c r="H30" s="67">
        <f t="shared" si="6"/>
        <v>29</v>
      </c>
      <c r="I30" s="67">
        <f t="shared" ca="1" si="7"/>
        <v>36</v>
      </c>
      <c r="J30" s="67" t="str">
        <f t="shared" si="8"/>
        <v>남</v>
      </c>
      <c r="K30" s="71" t="s">
        <v>205</v>
      </c>
      <c r="L30" s="67" t="str">
        <f t="shared" si="9"/>
        <v>010-****-1643</v>
      </c>
      <c r="M30" s="75">
        <v>41587</v>
      </c>
      <c r="N30" s="67">
        <f t="shared" ca="1" si="10"/>
        <v>6</v>
      </c>
      <c r="O30" s="67">
        <f t="shared" ca="1" si="11"/>
        <v>0</v>
      </c>
      <c r="P30" s="67">
        <f t="shared" ca="1" si="12"/>
        <v>16</v>
      </c>
      <c r="Q30" s="75">
        <v>43753</v>
      </c>
      <c r="R30" s="83" t="str">
        <f t="shared" si="13"/>
        <v>화</v>
      </c>
      <c r="S30" s="67">
        <v>26</v>
      </c>
      <c r="T30" s="67">
        <v>41</v>
      </c>
      <c r="U30" s="67"/>
      <c r="V30" s="67"/>
      <c r="W30" s="67"/>
      <c r="X30" s="67"/>
      <c r="Y30" s="67"/>
      <c r="Z30" s="22">
        <f t="shared" si="14"/>
        <v>67</v>
      </c>
      <c r="AA30" s="22">
        <f t="shared" si="15"/>
        <v>15</v>
      </c>
      <c r="AB30" s="22">
        <f t="shared" si="16"/>
        <v>15</v>
      </c>
      <c r="AC30" s="22" t="b">
        <f t="shared" si="17"/>
        <v>0</v>
      </c>
      <c r="AD30" s="22">
        <f t="shared" si="18"/>
        <v>4</v>
      </c>
      <c r="AE30" s="77" t="str">
        <f t="shared" si="19"/>
        <v>D</v>
      </c>
      <c r="AF30" s="67" t="str">
        <f t="shared" si="20"/>
        <v>콘서트</v>
      </c>
      <c r="AG30" s="84" t="str">
        <f t="shared" si="21"/>
        <v>ALMOST</v>
      </c>
      <c r="AH30" s="22">
        <f ca="1">INDEX([1]혜택포인트!$B$3:$F$6,MATCH(AG30,[1]혜택포인트!$A$3:$A$6,0),MATCH(N30,[1]혜택포인트!$B$2:$F$2,1))</f>
        <v>0.05</v>
      </c>
      <c r="AU30" s="51" t="s">
        <v>176</v>
      </c>
      <c r="AV30" s="51">
        <f t="shared" ca="1" si="32"/>
        <v>1</v>
      </c>
      <c r="AW30" s="51">
        <f t="shared" ca="1" si="31"/>
        <v>0</v>
      </c>
      <c r="AX30" s="51">
        <f t="shared" ca="1" si="33"/>
        <v>3</v>
      </c>
      <c r="AY30" s="51">
        <f t="shared" ca="1" si="33"/>
        <v>3</v>
      </c>
      <c r="AZ30" s="51">
        <f t="shared" ca="1" si="34"/>
        <v>0</v>
      </c>
      <c r="BA30" s="51">
        <f t="shared" ca="1" si="34"/>
        <v>0</v>
      </c>
      <c r="BB30" s="51">
        <f t="shared" ca="1" si="35"/>
        <v>0</v>
      </c>
      <c r="BC30" s="51">
        <f t="shared" ca="1" si="35"/>
        <v>0</v>
      </c>
    </row>
    <row r="31" spans="1:63" x14ac:dyDescent="0.3">
      <c r="A31" s="22" t="str">
        <f t="shared" si="1"/>
        <v>준-5510</v>
      </c>
      <c r="B31" s="74" t="s">
        <v>28</v>
      </c>
      <c r="C31" s="67" t="s">
        <v>138</v>
      </c>
      <c r="D31" s="67" t="str">
        <f t="shared" si="2"/>
        <v>830620-1******</v>
      </c>
      <c r="E31" s="75">
        <f t="shared" si="3"/>
        <v>30487</v>
      </c>
      <c r="F31" s="67">
        <f t="shared" si="4"/>
        <v>1983</v>
      </c>
      <c r="G31" s="67">
        <f t="shared" si="5"/>
        <v>6</v>
      </c>
      <c r="H31" s="67">
        <f t="shared" si="6"/>
        <v>20</v>
      </c>
      <c r="I31" s="67">
        <f t="shared" ca="1" si="7"/>
        <v>36</v>
      </c>
      <c r="J31" s="67" t="str">
        <f t="shared" si="8"/>
        <v>남</v>
      </c>
      <c r="K31" s="71" t="s">
        <v>206</v>
      </c>
      <c r="L31" s="67" t="str">
        <f t="shared" si="9"/>
        <v>010-****-5510</v>
      </c>
      <c r="M31" s="75">
        <v>39943</v>
      </c>
      <c r="N31" s="67">
        <f t="shared" ca="1" si="10"/>
        <v>10</v>
      </c>
      <c r="O31" s="67">
        <f t="shared" ca="1" si="11"/>
        <v>6</v>
      </c>
      <c r="P31" s="67">
        <f t="shared" ca="1" si="12"/>
        <v>15</v>
      </c>
      <c r="Q31" s="75">
        <v>43740</v>
      </c>
      <c r="R31" s="86" t="str">
        <f t="shared" si="13"/>
        <v>수</v>
      </c>
      <c r="S31" s="67">
        <v>1</v>
      </c>
      <c r="T31" s="67">
        <v>7</v>
      </c>
      <c r="U31" s="67">
        <v>1</v>
      </c>
      <c r="V31" s="67"/>
      <c r="W31" s="67"/>
      <c r="X31" s="67"/>
      <c r="Y31" s="67">
        <v>19</v>
      </c>
      <c r="Z31" s="22">
        <f t="shared" si="14"/>
        <v>28</v>
      </c>
      <c r="AA31" s="22">
        <f t="shared" si="15"/>
        <v>25</v>
      </c>
      <c r="AB31" s="22">
        <f t="shared" si="16"/>
        <v>25</v>
      </c>
      <c r="AC31" s="22" t="b">
        <f t="shared" si="17"/>
        <v>0</v>
      </c>
      <c r="AD31" s="22">
        <f t="shared" si="18"/>
        <v>5</v>
      </c>
      <c r="AE31" s="77" t="str">
        <f t="shared" si="19"/>
        <v>D</v>
      </c>
      <c r="AF31" s="67" t="str">
        <f t="shared" si="20"/>
        <v>연극</v>
      </c>
      <c r="AG31" s="81" t="str">
        <f t="shared" si="21"/>
        <v>TRY</v>
      </c>
      <c r="AH31" s="22">
        <f ca="1">INDEX([1]혜택포인트!$B$3:$F$6,MATCH(AG31,[1]혜택포인트!$A$3:$A$6,0),MATCH(N31,[1]혜택포인트!$B$2:$F$2,1))</f>
        <v>0.03</v>
      </c>
      <c r="AU31" s="51" t="s">
        <v>177</v>
      </c>
      <c r="AV31" s="51">
        <f t="shared" ca="1" si="32"/>
        <v>6</v>
      </c>
      <c r="AW31" s="51">
        <f t="shared" ca="1" si="31"/>
        <v>3</v>
      </c>
      <c r="AX31" s="51">
        <f t="shared" ca="1" si="33"/>
        <v>6</v>
      </c>
      <c r="AY31" s="51">
        <f t="shared" ca="1" si="33"/>
        <v>7</v>
      </c>
      <c r="AZ31" s="51">
        <f t="shared" ca="1" si="34"/>
        <v>5</v>
      </c>
      <c r="BA31" s="51">
        <f t="shared" ca="1" si="34"/>
        <v>4</v>
      </c>
      <c r="BB31" s="51">
        <f t="shared" ca="1" si="35"/>
        <v>5</v>
      </c>
      <c r="BC31" s="51">
        <f t="shared" ca="1" si="35"/>
        <v>4</v>
      </c>
    </row>
    <row r="32" spans="1:63" x14ac:dyDescent="0.3">
      <c r="A32" s="22" t="str">
        <f t="shared" si="1"/>
        <v>세-8193</v>
      </c>
      <c r="B32" s="74" t="s">
        <v>29</v>
      </c>
      <c r="C32" s="67" t="s">
        <v>139</v>
      </c>
      <c r="D32" s="67" t="str">
        <f t="shared" si="2"/>
        <v>740817-2******</v>
      </c>
      <c r="E32" s="75">
        <f t="shared" si="3"/>
        <v>27258</v>
      </c>
      <c r="F32" s="67">
        <f t="shared" si="4"/>
        <v>1974</v>
      </c>
      <c r="G32" s="67">
        <f t="shared" si="5"/>
        <v>8</v>
      </c>
      <c r="H32" s="67">
        <f t="shared" si="6"/>
        <v>17</v>
      </c>
      <c r="I32" s="67">
        <f t="shared" ca="1" si="7"/>
        <v>45</v>
      </c>
      <c r="J32" s="67" t="str">
        <f t="shared" si="8"/>
        <v>여</v>
      </c>
      <c r="K32" s="71" t="s">
        <v>207</v>
      </c>
      <c r="L32" s="67" t="str">
        <f t="shared" si="9"/>
        <v>010-****-8193</v>
      </c>
      <c r="M32" s="75">
        <v>39058</v>
      </c>
      <c r="N32" s="67">
        <f t="shared" ca="1" si="10"/>
        <v>12</v>
      </c>
      <c r="O32" s="67">
        <f t="shared" ca="1" si="11"/>
        <v>11</v>
      </c>
      <c r="P32" s="67">
        <f t="shared" ca="1" si="12"/>
        <v>18</v>
      </c>
      <c r="Q32" s="75">
        <v>43254</v>
      </c>
      <c r="R32" s="76" t="str">
        <f t="shared" si="13"/>
        <v>일</v>
      </c>
      <c r="S32" s="67"/>
      <c r="T32" s="67"/>
      <c r="U32" s="67"/>
      <c r="V32" s="67"/>
      <c r="W32" s="67"/>
      <c r="X32" s="67"/>
      <c r="Y32" s="67"/>
      <c r="Z32" s="22">
        <f t="shared" si="14"/>
        <v>0</v>
      </c>
      <c r="AA32" s="22">
        <f t="shared" si="15"/>
        <v>33</v>
      </c>
      <c r="AB32" s="22">
        <f t="shared" si="16"/>
        <v>41.5</v>
      </c>
      <c r="AC32" s="22" t="b">
        <f t="shared" si="17"/>
        <v>0</v>
      </c>
      <c r="AD32" s="22">
        <f t="shared" si="18"/>
        <v>5</v>
      </c>
      <c r="AE32" s="77" t="str">
        <f t="shared" si="19"/>
        <v>D</v>
      </c>
      <c r="AF32" s="67" t="str">
        <f t="shared" si="20"/>
        <v>-</v>
      </c>
      <c r="AG32" s="81" t="str">
        <f t="shared" si="21"/>
        <v>TRY</v>
      </c>
      <c r="AH32" s="22">
        <f ca="1">INDEX([1]혜택포인트!$B$3:$F$6,MATCH(AG32,[1]혜택포인트!$A$3:$A$6,0),MATCH(N32,[1]혜택포인트!$B$2:$F$2,1))</f>
        <v>0.03</v>
      </c>
      <c r="AU32" s="88"/>
      <c r="AV32" s="88"/>
      <c r="AW32" s="88"/>
      <c r="AX32" s="88"/>
      <c r="AY32" s="88"/>
      <c r="AZ32" s="88"/>
      <c r="BA32" s="88"/>
      <c r="BB32" s="88"/>
      <c r="BC32" s="88"/>
    </row>
    <row r="33" spans="1:63" x14ac:dyDescent="0.3">
      <c r="A33" s="22" t="str">
        <f t="shared" si="1"/>
        <v>진-7366</v>
      </c>
      <c r="B33" s="74" t="s">
        <v>30</v>
      </c>
      <c r="C33" s="67" t="s">
        <v>140</v>
      </c>
      <c r="D33" s="67" t="str">
        <f t="shared" si="2"/>
        <v>751031-1******</v>
      </c>
      <c r="E33" s="75">
        <f t="shared" si="3"/>
        <v>27698</v>
      </c>
      <c r="F33" s="67">
        <f t="shared" si="4"/>
        <v>1975</v>
      </c>
      <c r="G33" s="67">
        <f t="shared" si="5"/>
        <v>10</v>
      </c>
      <c r="H33" s="67">
        <f t="shared" si="6"/>
        <v>31</v>
      </c>
      <c r="I33" s="67">
        <f t="shared" ca="1" si="7"/>
        <v>44</v>
      </c>
      <c r="J33" s="67" t="str">
        <f t="shared" si="8"/>
        <v>남</v>
      </c>
      <c r="K33" s="71" t="s">
        <v>208</v>
      </c>
      <c r="L33" s="67" t="str">
        <f t="shared" si="9"/>
        <v>010-****-7366</v>
      </c>
      <c r="M33" s="75">
        <v>41318</v>
      </c>
      <c r="N33" s="67">
        <f t="shared" ca="1" si="10"/>
        <v>6</v>
      </c>
      <c r="O33" s="67">
        <f t="shared" ca="1" si="11"/>
        <v>9</v>
      </c>
      <c r="P33" s="67">
        <f t="shared" ca="1" si="12"/>
        <v>12</v>
      </c>
      <c r="Q33" s="75">
        <v>42767</v>
      </c>
      <c r="R33" s="86" t="str">
        <f t="shared" si="13"/>
        <v>수</v>
      </c>
      <c r="S33" s="67"/>
      <c r="T33" s="67"/>
      <c r="U33" s="67"/>
      <c r="V33" s="67"/>
      <c r="W33" s="67"/>
      <c r="X33" s="67"/>
      <c r="Y33" s="67"/>
      <c r="Z33" s="22">
        <f t="shared" si="14"/>
        <v>0</v>
      </c>
      <c r="AA33" s="22">
        <f t="shared" si="15"/>
        <v>33</v>
      </c>
      <c r="AB33" s="22">
        <f t="shared" si="16"/>
        <v>41.5</v>
      </c>
      <c r="AC33" s="22" t="b">
        <f t="shared" si="17"/>
        <v>0</v>
      </c>
      <c r="AD33" s="22">
        <f t="shared" si="18"/>
        <v>5</v>
      </c>
      <c r="AE33" s="77" t="str">
        <f t="shared" si="19"/>
        <v>D</v>
      </c>
      <c r="AF33" s="67" t="str">
        <f t="shared" si="20"/>
        <v>-</v>
      </c>
      <c r="AG33" s="81" t="str">
        <f t="shared" si="21"/>
        <v>TRY</v>
      </c>
      <c r="AH33" s="22">
        <f ca="1">INDEX([1]혜택포인트!$B$3:$F$6,MATCH(AG33,[1]혜택포인트!$A$3:$A$6,0),MATCH(N33,[1]혜택포인트!$B$2:$F$2,1))</f>
        <v>0</v>
      </c>
      <c r="AU33" s="52" t="s">
        <v>216</v>
      </c>
      <c r="AV33" s="54" t="s">
        <v>174</v>
      </c>
      <c r="AW33" s="55"/>
      <c r="AX33" s="54" t="s">
        <v>175</v>
      </c>
      <c r="AY33" s="55"/>
      <c r="AZ33" s="54" t="s">
        <v>176</v>
      </c>
      <c r="BA33" s="55"/>
      <c r="BB33" s="54" t="s">
        <v>177</v>
      </c>
      <c r="BC33" s="55"/>
    </row>
    <row r="34" spans="1:63" x14ac:dyDescent="0.3">
      <c r="A34" s="22" t="str">
        <f t="shared" si="1"/>
        <v>민-9132</v>
      </c>
      <c r="B34" s="89" t="s">
        <v>31</v>
      </c>
      <c r="C34" s="90" t="s">
        <v>141</v>
      </c>
      <c r="D34" s="67" t="str">
        <f t="shared" si="2"/>
        <v>940903-1******</v>
      </c>
      <c r="E34" s="75">
        <f t="shared" si="3"/>
        <v>34580</v>
      </c>
      <c r="F34" s="67">
        <f t="shared" si="4"/>
        <v>1994</v>
      </c>
      <c r="G34" s="67">
        <f t="shared" si="5"/>
        <v>9</v>
      </c>
      <c r="H34" s="67">
        <f t="shared" si="6"/>
        <v>3</v>
      </c>
      <c r="I34" s="67">
        <f t="shared" ca="1" si="7"/>
        <v>25</v>
      </c>
      <c r="J34" s="67" t="str">
        <f t="shared" si="8"/>
        <v>남</v>
      </c>
      <c r="K34" s="91" t="s">
        <v>209</v>
      </c>
      <c r="L34" s="67" t="str">
        <f t="shared" si="9"/>
        <v>010-****-9132</v>
      </c>
      <c r="M34" s="92">
        <v>42167</v>
      </c>
      <c r="N34" s="67">
        <f t="shared" ca="1" si="10"/>
        <v>4</v>
      </c>
      <c r="O34" s="67">
        <f t="shared" ca="1" si="11"/>
        <v>5</v>
      </c>
      <c r="P34" s="67">
        <f t="shared" ca="1" si="12"/>
        <v>13</v>
      </c>
      <c r="Q34" s="92">
        <v>43734</v>
      </c>
      <c r="R34" s="81" t="str">
        <f t="shared" si="13"/>
        <v>목</v>
      </c>
      <c r="S34" s="90">
        <v>3</v>
      </c>
      <c r="T34" s="90"/>
      <c r="U34" s="90"/>
      <c r="V34" s="90"/>
      <c r="W34" s="90"/>
      <c r="X34" s="90">
        <v>9</v>
      </c>
      <c r="Y34" s="90"/>
      <c r="Z34" s="22">
        <f t="shared" si="14"/>
        <v>12</v>
      </c>
      <c r="AA34" s="22">
        <f t="shared" si="15"/>
        <v>28</v>
      </c>
      <c r="AB34" s="22">
        <f t="shared" si="16"/>
        <v>28</v>
      </c>
      <c r="AC34" s="22" t="b">
        <f t="shared" si="17"/>
        <v>0</v>
      </c>
      <c r="AD34" s="22">
        <f t="shared" si="18"/>
        <v>5</v>
      </c>
      <c r="AE34" s="77" t="str">
        <f t="shared" si="19"/>
        <v>D</v>
      </c>
      <c r="AF34" s="67" t="str">
        <f t="shared" si="20"/>
        <v>영화</v>
      </c>
      <c r="AG34" s="81" t="str">
        <f t="shared" si="21"/>
        <v>TRY</v>
      </c>
      <c r="AH34" s="22">
        <f ca="1">INDEX([1]혜택포인트!$B$3:$F$6,MATCH(AG34,[1]혜택포인트!$A$3:$A$6,0),MATCH(N34,[1]혜택포인트!$B$2:$F$2,1))</f>
        <v>0</v>
      </c>
      <c r="AU34" s="53"/>
      <c r="AV34" s="51" t="s">
        <v>76</v>
      </c>
      <c r="AW34" s="51" t="s">
        <v>79</v>
      </c>
      <c r="AX34" s="51" t="s">
        <v>76</v>
      </c>
      <c r="AY34" s="51" t="s">
        <v>79</v>
      </c>
      <c r="AZ34" s="51" t="s">
        <v>76</v>
      </c>
      <c r="BA34" s="51" t="s">
        <v>79</v>
      </c>
      <c r="BB34" s="51" t="s">
        <v>76</v>
      </c>
      <c r="BC34" s="51" t="s">
        <v>79</v>
      </c>
    </row>
    <row r="35" spans="1:63" x14ac:dyDescent="0.3">
      <c r="A35" s="22" t="str">
        <f t="shared" si="1"/>
        <v>민-9124</v>
      </c>
      <c r="B35" s="67" t="s">
        <v>34</v>
      </c>
      <c r="C35" s="67" t="s">
        <v>142</v>
      </c>
      <c r="D35" s="67" t="str">
        <f t="shared" si="2"/>
        <v>801226-1******</v>
      </c>
      <c r="E35" s="75">
        <f t="shared" si="3"/>
        <v>29581</v>
      </c>
      <c r="F35" s="67">
        <f t="shared" si="4"/>
        <v>1980</v>
      </c>
      <c r="G35" s="67">
        <f t="shared" si="5"/>
        <v>12</v>
      </c>
      <c r="H35" s="67">
        <f t="shared" si="6"/>
        <v>26</v>
      </c>
      <c r="I35" s="67">
        <f t="shared" ca="1" si="7"/>
        <v>38</v>
      </c>
      <c r="J35" s="67" t="str">
        <f t="shared" si="8"/>
        <v>남</v>
      </c>
      <c r="K35" s="71" t="s">
        <v>35</v>
      </c>
      <c r="L35" s="67" t="str">
        <f t="shared" si="9"/>
        <v>010-****-9124</v>
      </c>
      <c r="M35" s="75">
        <v>40095</v>
      </c>
      <c r="N35" s="67">
        <f t="shared" ca="1" si="10"/>
        <v>10</v>
      </c>
      <c r="O35" s="67">
        <f t="shared" ca="1" si="11"/>
        <v>1</v>
      </c>
      <c r="P35" s="67">
        <f t="shared" ca="1" si="12"/>
        <v>16</v>
      </c>
      <c r="Q35" s="75">
        <v>43463</v>
      </c>
      <c r="R35" s="87" t="str">
        <f t="shared" si="13"/>
        <v>토</v>
      </c>
      <c r="S35" s="67"/>
      <c r="T35" s="67"/>
      <c r="U35" s="67"/>
      <c r="V35" s="67"/>
      <c r="W35" s="67"/>
      <c r="X35" s="67"/>
      <c r="Y35" s="67"/>
      <c r="Z35" s="22">
        <f t="shared" si="14"/>
        <v>0</v>
      </c>
      <c r="AA35" s="22">
        <f t="shared" si="15"/>
        <v>33</v>
      </c>
      <c r="AB35" s="22">
        <f t="shared" si="16"/>
        <v>41.5</v>
      </c>
      <c r="AC35" s="22" t="b">
        <f t="shared" si="17"/>
        <v>0</v>
      </c>
      <c r="AD35" s="22">
        <f t="shared" si="18"/>
        <v>5</v>
      </c>
      <c r="AE35" s="77" t="str">
        <f t="shared" si="19"/>
        <v>D</v>
      </c>
      <c r="AF35" s="67" t="str">
        <f t="shared" si="20"/>
        <v>-</v>
      </c>
      <c r="AG35" s="81" t="str">
        <f t="shared" si="21"/>
        <v>TRY</v>
      </c>
      <c r="AH35" s="22">
        <f ca="1">INDEX([1]혜택포인트!$B$3:$F$6,MATCH(AG35,[1]혜택포인트!$A$3:$A$6,0),MATCH(N35,[1]혜택포인트!$B$2:$F$2,1))</f>
        <v>0.03</v>
      </c>
      <c r="AU35" s="51" t="s">
        <v>87</v>
      </c>
      <c r="AV35" s="51">
        <f>SUMIFS($Z$6:$Z$55,$AF$6:$AF$55,"="&amp;$AU35,$AG$6:$AG$55,"="&amp;$AV$33)</f>
        <v>112</v>
      </c>
      <c r="AW35" s="51">
        <f>IFERROR(ROUND(AVERAGEIFS($Z$6:$Z$55,$AF$6:$AF$55,"="&amp;$AU35,$AG$6:$AG$55,"="&amp;$AV$33),2),0)</f>
        <v>112</v>
      </c>
      <c r="AX35" s="51">
        <f>SUMIFS($Z$6:$Z$55,$AF$6:$AF$55,"="&amp;$AU35,$AG$6:$AG$55,"="&amp;$AX$33)</f>
        <v>100</v>
      </c>
      <c r="AY35" s="51">
        <f>IFERROR(ROUND(AVERAGEIFS($Z$6:$Z$55,$AF$6:$AF$55,"="&amp;$AU35,$AG$6:$AG$55,"="&amp;$AX$33),2),0)</f>
        <v>100</v>
      </c>
      <c r="AZ35" s="51">
        <f>SUMIFS($Z$6:$Z$55,$AF$6:$AF$55,"="&amp;$AU35,$AG$6:$AG$55,"="&amp;$AZ$33)</f>
        <v>182</v>
      </c>
      <c r="BA35" s="51">
        <f>IFERROR(ROUND(AVERAGEIFS($Z$6:$Z$55,$AF$6:$AF$55,"="&amp;$AU35,$AG$6:$AG$55,"="&amp;$AZ$33),2),0)</f>
        <v>60.67</v>
      </c>
      <c r="BB35" s="51">
        <f>SUMIFS($Z$6:$Z$55,$AF$6:$AF$55,"="&amp;$AU35,$AG$6:$AG$55,"="&amp;$BB$33)</f>
        <v>47</v>
      </c>
      <c r="BC35" s="51">
        <f>IFERROR(ROUND(AVERAGEIFS($Z$6:$Z$55,$AF$6:$AF$55,"="&amp;$AU35,$AG$6:$AG$55,"="&amp;$BB$33),2),0)</f>
        <v>47</v>
      </c>
    </row>
    <row r="36" spans="1:63" x14ac:dyDescent="0.3">
      <c r="A36" s="22" t="str">
        <f t="shared" si="1"/>
        <v>수-3985</v>
      </c>
      <c r="B36" s="67" t="s">
        <v>36</v>
      </c>
      <c r="C36" s="67" t="s">
        <v>143</v>
      </c>
      <c r="D36" s="67" t="str">
        <f t="shared" si="2"/>
        <v>770519-2******</v>
      </c>
      <c r="E36" s="75">
        <f t="shared" si="3"/>
        <v>28264</v>
      </c>
      <c r="F36" s="67">
        <f t="shared" si="4"/>
        <v>1977</v>
      </c>
      <c r="G36" s="67">
        <f t="shared" si="5"/>
        <v>5</v>
      </c>
      <c r="H36" s="67">
        <f t="shared" si="6"/>
        <v>19</v>
      </c>
      <c r="I36" s="67">
        <f t="shared" ca="1" si="7"/>
        <v>42</v>
      </c>
      <c r="J36" s="67" t="str">
        <f t="shared" si="8"/>
        <v>여</v>
      </c>
      <c r="K36" s="71" t="s">
        <v>37</v>
      </c>
      <c r="L36" s="67" t="str">
        <f t="shared" si="9"/>
        <v>010-****-3985</v>
      </c>
      <c r="M36" s="75">
        <v>37962</v>
      </c>
      <c r="N36" s="67">
        <f t="shared" ca="1" si="10"/>
        <v>15</v>
      </c>
      <c r="O36" s="67">
        <f t="shared" ca="1" si="11"/>
        <v>11</v>
      </c>
      <c r="P36" s="67">
        <f t="shared" ca="1" si="12"/>
        <v>18</v>
      </c>
      <c r="Q36" s="75">
        <v>43669</v>
      </c>
      <c r="R36" s="83" t="str">
        <f t="shared" si="13"/>
        <v>화</v>
      </c>
      <c r="S36" s="67">
        <v>8</v>
      </c>
      <c r="T36" s="67">
        <v>25</v>
      </c>
      <c r="U36" s="67"/>
      <c r="V36" s="67">
        <v>5</v>
      </c>
      <c r="W36" s="67">
        <v>63</v>
      </c>
      <c r="X36" s="67">
        <v>59</v>
      </c>
      <c r="Y36" s="67">
        <v>34</v>
      </c>
      <c r="Z36" s="22">
        <f t="shared" si="14"/>
        <v>194</v>
      </c>
      <c r="AA36" s="22">
        <f t="shared" si="15"/>
        <v>2</v>
      </c>
      <c r="AB36" s="22">
        <f t="shared" si="16"/>
        <v>2</v>
      </c>
      <c r="AC36" s="22" t="b">
        <f t="shared" si="17"/>
        <v>1</v>
      </c>
      <c r="AD36" s="22">
        <f t="shared" si="18"/>
        <v>2</v>
      </c>
      <c r="AE36" s="77" t="str">
        <f t="shared" si="19"/>
        <v>C</v>
      </c>
      <c r="AF36" s="67" t="str">
        <f t="shared" si="20"/>
        <v>뮤지컬</v>
      </c>
      <c r="AG36" s="78" t="str">
        <f t="shared" si="21"/>
        <v>MANIA</v>
      </c>
      <c r="AH36" s="22">
        <f ca="1">INDEX([1]혜택포인트!$B$3:$F$6,MATCH(AG36,[1]혜택포인트!$A$3:$A$6,0),MATCH(N36,[1]혜택포인트!$B$2:$F$2,1))</f>
        <v>0.35</v>
      </c>
      <c r="AU36" s="51" t="s">
        <v>88</v>
      </c>
      <c r="AV36" s="51">
        <f t="shared" ref="AV36:AV41" si="36">SUMIFS($Z$6:$Z$55,$AF$6:$AF$55,"="&amp;$AU36,$AG$6:$AG$55,"="&amp;$AV$33)</f>
        <v>0</v>
      </c>
      <c r="AW36" s="51">
        <f t="shared" ref="AW36:AW41" si="37">IFERROR(ROUND(AVERAGEIFS($Z$6:$Z$55,$AF$6:$AF$55,"="&amp;$AU36,$AG$6:$AG$55,"="&amp;$AV$33),2),0)</f>
        <v>0</v>
      </c>
      <c r="AX36" s="51">
        <f t="shared" ref="AX36:AX41" si="38">SUMIFS($Z$6:$Z$55,$AF$6:$AF$55,"="&amp;$AU36,$AG$6:$AG$55,"="&amp;$AX$33)</f>
        <v>129</v>
      </c>
      <c r="AY36" s="51">
        <f t="shared" ref="AY36:AY41" si="39">IFERROR(ROUND(AVERAGEIFS($Z$6:$Z$55,$AF$6:$AF$55,"="&amp;$AU36,$AG$6:$AG$55,"="&amp;$AX$33),2),0)</f>
        <v>129</v>
      </c>
      <c r="AZ36" s="51">
        <f t="shared" ref="AZ36:AZ41" si="40">SUMIFS($Z$6:$Z$55,$AF$6:$AF$55,"="&amp;$AU36,$AG$6:$AG$55,"="&amp;$AZ$33)</f>
        <v>159</v>
      </c>
      <c r="BA36" s="51">
        <f t="shared" ref="BA36:BA41" si="41">IFERROR(ROUND(AVERAGEIFS($Z$6:$Z$55,$AF$6:$AF$55,"="&amp;$AU36,$AG$6:$AG$55,"="&amp;$AZ$33),2),0)</f>
        <v>79.5</v>
      </c>
      <c r="BB36" s="51">
        <f t="shared" ref="BB36:BB41" si="42">SUMIFS($Z$6:$Z$55,$AF$6:$AF$55,"="&amp;$AU36,$AG$6:$AG$55,"="&amp;$BB$33)</f>
        <v>82</v>
      </c>
      <c r="BC36" s="51">
        <f t="shared" ref="BC36:BC41" si="43">IFERROR(ROUND(AVERAGEIFS($Z$6:$Z$55,$AF$6:$AF$55,"="&amp;$AU36,$AG$6:$AG$55,"="&amp;$BB$33),2),0)</f>
        <v>27.33</v>
      </c>
    </row>
    <row r="37" spans="1:63" x14ac:dyDescent="0.3">
      <c r="A37" s="22" t="str">
        <f t="shared" si="1"/>
        <v>원-7896</v>
      </c>
      <c r="B37" s="67" t="s">
        <v>38</v>
      </c>
      <c r="C37" s="67" t="s">
        <v>144</v>
      </c>
      <c r="D37" s="67" t="str">
        <f t="shared" si="2"/>
        <v>820406-1******</v>
      </c>
      <c r="E37" s="75">
        <f t="shared" si="3"/>
        <v>30047</v>
      </c>
      <c r="F37" s="67">
        <f t="shared" si="4"/>
        <v>1982</v>
      </c>
      <c r="G37" s="67">
        <f t="shared" si="5"/>
        <v>4</v>
      </c>
      <c r="H37" s="67">
        <f t="shared" si="6"/>
        <v>6</v>
      </c>
      <c r="I37" s="67">
        <f t="shared" ca="1" si="7"/>
        <v>37</v>
      </c>
      <c r="J37" s="67" t="str">
        <f t="shared" si="8"/>
        <v>남</v>
      </c>
      <c r="K37" s="71" t="s">
        <v>39</v>
      </c>
      <c r="L37" s="67" t="str">
        <f t="shared" si="9"/>
        <v>010-****-7896</v>
      </c>
      <c r="M37" s="75">
        <v>40777</v>
      </c>
      <c r="N37" s="67">
        <f t="shared" ca="1" si="10"/>
        <v>8</v>
      </c>
      <c r="O37" s="67">
        <f t="shared" ca="1" si="11"/>
        <v>3</v>
      </c>
      <c r="P37" s="67">
        <f t="shared" ca="1" si="12"/>
        <v>3</v>
      </c>
      <c r="Q37" s="75">
        <v>43721</v>
      </c>
      <c r="R37" s="85" t="str">
        <f t="shared" si="13"/>
        <v>금</v>
      </c>
      <c r="S37" s="67"/>
      <c r="T37" s="67">
        <v>4</v>
      </c>
      <c r="U37" s="67"/>
      <c r="V37" s="67">
        <v>13</v>
      </c>
      <c r="W37" s="67">
        <v>3</v>
      </c>
      <c r="X37" s="67">
        <v>96</v>
      </c>
      <c r="Y37" s="67">
        <v>9</v>
      </c>
      <c r="Z37" s="22">
        <f t="shared" si="14"/>
        <v>125</v>
      </c>
      <c r="AA37" s="22">
        <f t="shared" si="15"/>
        <v>7</v>
      </c>
      <c r="AB37" s="22">
        <f t="shared" si="16"/>
        <v>7</v>
      </c>
      <c r="AC37" s="22" t="b">
        <f t="shared" si="17"/>
        <v>1</v>
      </c>
      <c r="AD37" s="22">
        <f t="shared" si="18"/>
        <v>3</v>
      </c>
      <c r="AE37" s="77" t="str">
        <f t="shared" si="19"/>
        <v>C</v>
      </c>
      <c r="AF37" s="67" t="str">
        <f t="shared" si="20"/>
        <v>영화</v>
      </c>
      <c r="AG37" s="78" t="str">
        <f t="shared" si="21"/>
        <v>MANIA</v>
      </c>
      <c r="AH37" s="22">
        <f ca="1">INDEX([1]혜택포인트!$B$3:$F$6,MATCH(AG37,[1]혜택포인트!$A$3:$A$6,0),MATCH(N37,[1]혜택포인트!$B$2:$F$2,1))</f>
        <v>0.25</v>
      </c>
      <c r="AU37" s="51" t="s">
        <v>89</v>
      </c>
      <c r="AV37" s="51">
        <f t="shared" si="36"/>
        <v>0</v>
      </c>
      <c r="AW37" s="51">
        <f t="shared" si="37"/>
        <v>0</v>
      </c>
      <c r="AX37" s="51">
        <f t="shared" si="38"/>
        <v>0</v>
      </c>
      <c r="AY37" s="51">
        <f t="shared" si="39"/>
        <v>0</v>
      </c>
      <c r="AZ37" s="51">
        <f t="shared" si="40"/>
        <v>0</v>
      </c>
      <c r="BA37" s="51">
        <f t="shared" si="41"/>
        <v>0</v>
      </c>
      <c r="BB37" s="51">
        <f t="shared" si="42"/>
        <v>0</v>
      </c>
      <c r="BC37" s="51">
        <f t="shared" si="43"/>
        <v>0</v>
      </c>
    </row>
    <row r="38" spans="1:63" x14ac:dyDescent="0.3">
      <c r="A38" s="22" t="str">
        <f t="shared" si="1"/>
        <v>주-6578</v>
      </c>
      <c r="B38" s="67" t="s">
        <v>40</v>
      </c>
      <c r="C38" s="67" t="s">
        <v>145</v>
      </c>
      <c r="D38" s="67" t="str">
        <f t="shared" si="2"/>
        <v>810907-2******</v>
      </c>
      <c r="E38" s="75">
        <f t="shared" si="3"/>
        <v>29836</v>
      </c>
      <c r="F38" s="67">
        <f t="shared" si="4"/>
        <v>1981</v>
      </c>
      <c r="G38" s="67">
        <f t="shared" si="5"/>
        <v>9</v>
      </c>
      <c r="H38" s="67">
        <f t="shared" si="6"/>
        <v>7</v>
      </c>
      <c r="I38" s="67">
        <f t="shared" ca="1" si="7"/>
        <v>38</v>
      </c>
      <c r="J38" s="67" t="str">
        <f t="shared" si="8"/>
        <v>여</v>
      </c>
      <c r="K38" s="71" t="s">
        <v>41</v>
      </c>
      <c r="L38" s="67" t="str">
        <f t="shared" si="9"/>
        <v>010-****-6578</v>
      </c>
      <c r="M38" s="75">
        <v>38321</v>
      </c>
      <c r="N38" s="67">
        <f t="shared" ca="1" si="10"/>
        <v>14</v>
      </c>
      <c r="O38" s="67">
        <f t="shared" ca="1" si="11"/>
        <v>11</v>
      </c>
      <c r="P38" s="67">
        <f t="shared" ca="1" si="12"/>
        <v>26</v>
      </c>
      <c r="Q38" s="75">
        <v>43748</v>
      </c>
      <c r="R38" s="81" t="str">
        <f t="shared" si="13"/>
        <v>목</v>
      </c>
      <c r="S38" s="67"/>
      <c r="T38" s="67"/>
      <c r="U38" s="67"/>
      <c r="V38" s="67"/>
      <c r="W38" s="67">
        <v>23</v>
      </c>
      <c r="X38" s="67"/>
      <c r="Y38" s="67"/>
      <c r="Z38" s="22">
        <f t="shared" si="14"/>
        <v>23</v>
      </c>
      <c r="AA38" s="22">
        <f t="shared" si="15"/>
        <v>26</v>
      </c>
      <c r="AB38" s="22">
        <f t="shared" si="16"/>
        <v>26</v>
      </c>
      <c r="AC38" s="22" t="b">
        <f t="shared" si="17"/>
        <v>0</v>
      </c>
      <c r="AD38" s="22">
        <f t="shared" si="18"/>
        <v>5</v>
      </c>
      <c r="AE38" s="77" t="str">
        <f t="shared" si="19"/>
        <v>D</v>
      </c>
      <c r="AF38" s="67" t="str">
        <f t="shared" si="20"/>
        <v>뮤지컬</v>
      </c>
      <c r="AG38" s="81" t="str">
        <f t="shared" si="21"/>
        <v>TRY</v>
      </c>
      <c r="AH38" s="22">
        <f ca="1">INDEX([1]혜택포인트!$B$3:$F$6,MATCH(AG38,[1]혜택포인트!$A$3:$A$6,0),MATCH(N38,[1]혜택포인트!$B$2:$F$2,1))</f>
        <v>0.03</v>
      </c>
      <c r="AU38" s="51" t="s">
        <v>90</v>
      </c>
      <c r="AV38" s="51">
        <f t="shared" si="36"/>
        <v>0</v>
      </c>
      <c r="AW38" s="51">
        <f t="shared" si="37"/>
        <v>0</v>
      </c>
      <c r="AX38" s="51">
        <f t="shared" si="38"/>
        <v>100</v>
      </c>
      <c r="AY38" s="51">
        <f t="shared" si="39"/>
        <v>100</v>
      </c>
      <c r="AZ38" s="51">
        <f t="shared" si="40"/>
        <v>0</v>
      </c>
      <c r="BA38" s="51">
        <f t="shared" si="41"/>
        <v>0</v>
      </c>
      <c r="BB38" s="51">
        <f t="shared" si="42"/>
        <v>31</v>
      </c>
      <c r="BC38" s="51">
        <f t="shared" si="43"/>
        <v>31</v>
      </c>
    </row>
    <row r="39" spans="1:63" x14ac:dyDescent="0.3">
      <c r="A39" s="22" t="str">
        <f t="shared" si="1"/>
        <v>치-5632</v>
      </c>
      <c r="B39" s="67" t="s">
        <v>42</v>
      </c>
      <c r="C39" s="67" t="s">
        <v>146</v>
      </c>
      <c r="D39" s="67" t="str">
        <f t="shared" si="2"/>
        <v>750113-1******</v>
      </c>
      <c r="E39" s="75">
        <f t="shared" si="3"/>
        <v>27407</v>
      </c>
      <c r="F39" s="67">
        <f t="shared" si="4"/>
        <v>1975</v>
      </c>
      <c r="G39" s="67">
        <f t="shared" si="5"/>
        <v>1</v>
      </c>
      <c r="H39" s="67">
        <f t="shared" si="6"/>
        <v>13</v>
      </c>
      <c r="I39" s="67">
        <f t="shared" ca="1" si="7"/>
        <v>44</v>
      </c>
      <c r="J39" s="67" t="str">
        <f t="shared" si="8"/>
        <v>남</v>
      </c>
      <c r="K39" s="71" t="s">
        <v>43</v>
      </c>
      <c r="L39" s="67" t="str">
        <f t="shared" si="9"/>
        <v>010-****-5632</v>
      </c>
      <c r="M39" s="75">
        <v>38605</v>
      </c>
      <c r="N39" s="67">
        <f t="shared" ca="1" si="10"/>
        <v>14</v>
      </c>
      <c r="O39" s="67">
        <f t="shared" ca="1" si="11"/>
        <v>2</v>
      </c>
      <c r="P39" s="67">
        <f t="shared" ca="1" si="12"/>
        <v>15</v>
      </c>
      <c r="Q39" s="75">
        <v>43233</v>
      </c>
      <c r="R39" s="76" t="str">
        <f t="shared" si="13"/>
        <v>일</v>
      </c>
      <c r="S39" s="67"/>
      <c r="T39" s="67"/>
      <c r="U39" s="67"/>
      <c r="V39" s="67"/>
      <c r="W39" s="67"/>
      <c r="X39" s="67"/>
      <c r="Y39" s="67"/>
      <c r="Z39" s="22">
        <f t="shared" si="14"/>
        <v>0</v>
      </c>
      <c r="AA39" s="22">
        <f t="shared" si="15"/>
        <v>33</v>
      </c>
      <c r="AB39" s="22">
        <f t="shared" si="16"/>
        <v>41.5</v>
      </c>
      <c r="AC39" s="22" t="b">
        <f t="shared" si="17"/>
        <v>0</v>
      </c>
      <c r="AD39" s="22">
        <f t="shared" si="18"/>
        <v>5</v>
      </c>
      <c r="AE39" s="77" t="str">
        <f t="shared" si="19"/>
        <v>D</v>
      </c>
      <c r="AF39" s="67" t="str">
        <f t="shared" si="20"/>
        <v>-</v>
      </c>
      <c r="AG39" s="81" t="str">
        <f t="shared" si="21"/>
        <v>TRY</v>
      </c>
      <c r="AH39" s="22">
        <f ca="1">INDEX([1]혜택포인트!$B$3:$F$6,MATCH(AG39,[1]혜택포인트!$A$3:$A$6,0),MATCH(N39,[1]혜택포인트!$B$2:$F$2,1))</f>
        <v>0.03</v>
      </c>
      <c r="AU39" s="51" t="s">
        <v>91</v>
      </c>
      <c r="AV39" s="51">
        <f t="shared" si="36"/>
        <v>330</v>
      </c>
      <c r="AW39" s="51">
        <f t="shared" si="37"/>
        <v>165</v>
      </c>
      <c r="AX39" s="51">
        <f t="shared" si="38"/>
        <v>0</v>
      </c>
      <c r="AY39" s="51">
        <f t="shared" si="39"/>
        <v>0</v>
      </c>
      <c r="AZ39" s="51">
        <f t="shared" si="40"/>
        <v>0</v>
      </c>
      <c r="BA39" s="51">
        <f t="shared" si="41"/>
        <v>0</v>
      </c>
      <c r="BB39" s="51">
        <f t="shared" si="42"/>
        <v>53</v>
      </c>
      <c r="BC39" s="51">
        <f t="shared" si="43"/>
        <v>13.25</v>
      </c>
    </row>
    <row r="40" spans="1:63" x14ac:dyDescent="0.3">
      <c r="A40" s="22" t="str">
        <f t="shared" si="1"/>
        <v>운-7412</v>
      </c>
      <c r="B40" s="67" t="s">
        <v>44</v>
      </c>
      <c r="C40" s="67" t="s">
        <v>147</v>
      </c>
      <c r="D40" s="67" t="str">
        <f t="shared" si="2"/>
        <v>730614-1******</v>
      </c>
      <c r="E40" s="75">
        <f t="shared" si="3"/>
        <v>26829</v>
      </c>
      <c r="F40" s="67">
        <f t="shared" si="4"/>
        <v>1973</v>
      </c>
      <c r="G40" s="67">
        <f t="shared" si="5"/>
        <v>6</v>
      </c>
      <c r="H40" s="67">
        <f t="shared" si="6"/>
        <v>14</v>
      </c>
      <c r="I40" s="67">
        <f t="shared" ca="1" si="7"/>
        <v>46</v>
      </c>
      <c r="J40" s="67" t="str">
        <f t="shared" si="8"/>
        <v>남</v>
      </c>
      <c r="K40" s="71" t="s">
        <v>45</v>
      </c>
      <c r="L40" s="67" t="str">
        <f t="shared" si="9"/>
        <v>010-****-7412</v>
      </c>
      <c r="M40" s="75">
        <v>41308</v>
      </c>
      <c r="N40" s="67">
        <f t="shared" ca="1" si="10"/>
        <v>6</v>
      </c>
      <c r="O40" s="67">
        <f t="shared" ca="1" si="11"/>
        <v>9</v>
      </c>
      <c r="P40" s="67">
        <f t="shared" ca="1" si="12"/>
        <v>22</v>
      </c>
      <c r="Q40" s="75">
        <v>43475</v>
      </c>
      <c r="R40" s="81" t="str">
        <f t="shared" si="13"/>
        <v>목</v>
      </c>
      <c r="S40" s="67">
        <v>71</v>
      </c>
      <c r="T40" s="67">
        <v>12</v>
      </c>
      <c r="U40" s="67">
        <v>29</v>
      </c>
      <c r="V40" s="67"/>
      <c r="W40" s="67"/>
      <c r="X40" s="67"/>
      <c r="Y40" s="67"/>
      <c r="Z40" s="22">
        <f t="shared" si="14"/>
        <v>112</v>
      </c>
      <c r="AA40" s="22">
        <f t="shared" si="15"/>
        <v>9</v>
      </c>
      <c r="AB40" s="22">
        <f t="shared" si="16"/>
        <v>9</v>
      </c>
      <c r="AC40" s="22" t="b">
        <f t="shared" si="17"/>
        <v>1</v>
      </c>
      <c r="AD40" s="22">
        <f t="shared" si="18"/>
        <v>3</v>
      </c>
      <c r="AE40" s="77" t="str">
        <f t="shared" si="19"/>
        <v>D</v>
      </c>
      <c r="AF40" s="67" t="str">
        <f t="shared" si="20"/>
        <v>클래식</v>
      </c>
      <c r="AG40" s="78" t="str">
        <f t="shared" si="21"/>
        <v>MANIA</v>
      </c>
      <c r="AH40" s="22">
        <f ca="1">INDEX([1]혜택포인트!$B$3:$F$6,MATCH(AG40,[1]혜택포인트!$A$3:$A$6,0),MATCH(N40,[1]혜택포인트!$B$2:$F$2,1))</f>
        <v>0.25</v>
      </c>
      <c r="AU40" s="51" t="s">
        <v>92</v>
      </c>
      <c r="AV40" s="51">
        <f t="shared" si="36"/>
        <v>639</v>
      </c>
      <c r="AW40" s="51">
        <f t="shared" si="37"/>
        <v>127.8</v>
      </c>
      <c r="AX40" s="51">
        <f t="shared" si="38"/>
        <v>0</v>
      </c>
      <c r="AY40" s="51">
        <f t="shared" si="39"/>
        <v>0</v>
      </c>
      <c r="AZ40" s="51">
        <f t="shared" si="40"/>
        <v>122</v>
      </c>
      <c r="BA40" s="51">
        <f t="shared" si="41"/>
        <v>61</v>
      </c>
      <c r="BB40" s="51">
        <f t="shared" si="42"/>
        <v>44</v>
      </c>
      <c r="BC40" s="51">
        <f t="shared" si="43"/>
        <v>22</v>
      </c>
    </row>
    <row r="41" spans="1:63" x14ac:dyDescent="0.3">
      <c r="A41" s="22" t="str">
        <f t="shared" si="1"/>
        <v>민-5896</v>
      </c>
      <c r="B41" s="67" t="s">
        <v>46</v>
      </c>
      <c r="C41" s="67" t="s">
        <v>148</v>
      </c>
      <c r="D41" s="67" t="str">
        <f t="shared" si="2"/>
        <v>900702-2******</v>
      </c>
      <c r="E41" s="75">
        <f t="shared" si="3"/>
        <v>33056</v>
      </c>
      <c r="F41" s="67">
        <f t="shared" si="4"/>
        <v>1990</v>
      </c>
      <c r="G41" s="67">
        <f t="shared" si="5"/>
        <v>7</v>
      </c>
      <c r="H41" s="67">
        <f t="shared" si="6"/>
        <v>2</v>
      </c>
      <c r="I41" s="67">
        <f t="shared" ca="1" si="7"/>
        <v>29</v>
      </c>
      <c r="J41" s="67" t="str">
        <f t="shared" si="8"/>
        <v>여</v>
      </c>
      <c r="K41" s="71" t="s">
        <v>47</v>
      </c>
      <c r="L41" s="67" t="str">
        <f t="shared" si="9"/>
        <v>010-****-5896</v>
      </c>
      <c r="M41" s="75">
        <v>41764</v>
      </c>
      <c r="N41" s="67">
        <f t="shared" ca="1" si="10"/>
        <v>5</v>
      </c>
      <c r="O41" s="67">
        <f t="shared" ca="1" si="11"/>
        <v>6</v>
      </c>
      <c r="P41" s="67">
        <f t="shared" ca="1" si="12"/>
        <v>20</v>
      </c>
      <c r="Q41" s="75">
        <v>43758</v>
      </c>
      <c r="R41" s="76" t="str">
        <f t="shared" si="13"/>
        <v>일</v>
      </c>
      <c r="S41" s="67"/>
      <c r="T41" s="67"/>
      <c r="U41" s="67"/>
      <c r="V41" s="67"/>
      <c r="W41" s="67"/>
      <c r="X41" s="67">
        <v>126</v>
      </c>
      <c r="Y41" s="67"/>
      <c r="Z41" s="22">
        <f t="shared" si="14"/>
        <v>126</v>
      </c>
      <c r="AA41" s="22">
        <f t="shared" si="15"/>
        <v>6</v>
      </c>
      <c r="AB41" s="22">
        <f t="shared" si="16"/>
        <v>6</v>
      </c>
      <c r="AC41" s="22" t="b">
        <f t="shared" si="17"/>
        <v>1</v>
      </c>
      <c r="AD41" s="22">
        <f t="shared" si="18"/>
        <v>3</v>
      </c>
      <c r="AE41" s="77" t="str">
        <f t="shared" si="19"/>
        <v>B</v>
      </c>
      <c r="AF41" s="67" t="str">
        <f t="shared" si="20"/>
        <v>영화</v>
      </c>
      <c r="AG41" s="78" t="str">
        <f t="shared" si="21"/>
        <v>MANIA</v>
      </c>
      <c r="AH41" s="22">
        <f ca="1">INDEX([1]혜택포인트!$B$3:$F$6,MATCH(AG41,[1]혜택포인트!$A$3:$A$6,0),MATCH(N41,[1]혜택포인트!$B$2:$F$2,1))</f>
        <v>0.25</v>
      </c>
      <c r="AU41" s="51" t="s">
        <v>93</v>
      </c>
      <c r="AV41" s="51">
        <f t="shared" si="36"/>
        <v>202</v>
      </c>
      <c r="AW41" s="51">
        <f t="shared" si="37"/>
        <v>202</v>
      </c>
      <c r="AX41" s="51">
        <f t="shared" si="38"/>
        <v>0</v>
      </c>
      <c r="AY41" s="51">
        <f t="shared" si="39"/>
        <v>0</v>
      </c>
      <c r="AZ41" s="51">
        <f t="shared" si="40"/>
        <v>0</v>
      </c>
      <c r="BA41" s="51">
        <f t="shared" si="41"/>
        <v>0</v>
      </c>
      <c r="BB41" s="51">
        <f t="shared" si="42"/>
        <v>33</v>
      </c>
      <c r="BC41" s="51">
        <f t="shared" si="43"/>
        <v>16.5</v>
      </c>
    </row>
    <row r="42" spans="1:63" x14ac:dyDescent="0.3">
      <c r="A42" s="22" t="str">
        <f t="shared" si="1"/>
        <v>운-4268</v>
      </c>
      <c r="B42" s="67" t="s">
        <v>48</v>
      </c>
      <c r="C42" s="67" t="s">
        <v>149</v>
      </c>
      <c r="D42" s="67" t="str">
        <f t="shared" si="2"/>
        <v>790909-1******</v>
      </c>
      <c r="E42" s="75">
        <f t="shared" si="3"/>
        <v>29107</v>
      </c>
      <c r="F42" s="67">
        <f t="shared" si="4"/>
        <v>1979</v>
      </c>
      <c r="G42" s="67">
        <f t="shared" si="5"/>
        <v>9</v>
      </c>
      <c r="H42" s="67">
        <f t="shared" si="6"/>
        <v>9</v>
      </c>
      <c r="I42" s="67">
        <f t="shared" ca="1" si="7"/>
        <v>40</v>
      </c>
      <c r="J42" s="67" t="str">
        <f t="shared" si="8"/>
        <v>남</v>
      </c>
      <c r="K42" s="71" t="s">
        <v>49</v>
      </c>
      <c r="L42" s="67" t="str">
        <f t="shared" si="9"/>
        <v>010-****-4268</v>
      </c>
      <c r="M42" s="75">
        <v>41909</v>
      </c>
      <c r="N42" s="67">
        <f t="shared" ca="1" si="10"/>
        <v>5</v>
      </c>
      <c r="O42" s="67">
        <f t="shared" ca="1" si="11"/>
        <v>1</v>
      </c>
      <c r="P42" s="67">
        <f t="shared" ca="1" si="12"/>
        <v>29</v>
      </c>
      <c r="Q42" s="75">
        <v>43737</v>
      </c>
      <c r="R42" s="76" t="str">
        <f t="shared" si="13"/>
        <v>일</v>
      </c>
      <c r="S42" s="67">
        <v>33</v>
      </c>
      <c r="T42" s="67">
        <v>14</v>
      </c>
      <c r="U42" s="67"/>
      <c r="V42" s="67"/>
      <c r="W42" s="67"/>
      <c r="X42" s="67"/>
      <c r="Y42" s="67"/>
      <c r="Z42" s="22">
        <f t="shared" si="14"/>
        <v>47</v>
      </c>
      <c r="AA42" s="22">
        <f t="shared" si="15"/>
        <v>20</v>
      </c>
      <c r="AB42" s="22">
        <f t="shared" si="16"/>
        <v>20</v>
      </c>
      <c r="AC42" s="22" t="b">
        <f t="shared" si="17"/>
        <v>0</v>
      </c>
      <c r="AD42" s="22">
        <f t="shared" si="18"/>
        <v>5</v>
      </c>
      <c r="AE42" s="77" t="str">
        <f t="shared" si="19"/>
        <v>D</v>
      </c>
      <c r="AF42" s="67" t="str">
        <f t="shared" si="20"/>
        <v>클래식</v>
      </c>
      <c r="AG42" s="81" t="str">
        <f t="shared" si="21"/>
        <v>TRY</v>
      </c>
      <c r="AH42" s="22">
        <f ca="1">INDEX([1]혜택포인트!$B$3:$F$6,MATCH(AG42,[1]혜택포인트!$A$3:$A$6,0),MATCH(N42,[1]혜택포인트!$B$2:$F$2,1))</f>
        <v>0</v>
      </c>
    </row>
    <row r="43" spans="1:63" x14ac:dyDescent="0.3">
      <c r="A43" s="22" t="str">
        <f t="shared" si="1"/>
        <v>경-8520</v>
      </c>
      <c r="B43" s="67" t="s">
        <v>50</v>
      </c>
      <c r="C43" s="67" t="s">
        <v>150</v>
      </c>
      <c r="D43" s="67" t="str">
        <f t="shared" si="2"/>
        <v>951111-2******</v>
      </c>
      <c r="E43" s="75">
        <f t="shared" si="3"/>
        <v>35014</v>
      </c>
      <c r="F43" s="67">
        <f t="shared" si="4"/>
        <v>1995</v>
      </c>
      <c r="G43" s="67">
        <f t="shared" si="5"/>
        <v>11</v>
      </c>
      <c r="H43" s="67">
        <f t="shared" si="6"/>
        <v>11</v>
      </c>
      <c r="I43" s="67">
        <f t="shared" ca="1" si="7"/>
        <v>24</v>
      </c>
      <c r="J43" s="67" t="str">
        <f t="shared" si="8"/>
        <v>여</v>
      </c>
      <c r="K43" s="71" t="s">
        <v>51</v>
      </c>
      <c r="L43" s="67" t="str">
        <f t="shared" si="9"/>
        <v>010-****-8520</v>
      </c>
      <c r="M43" s="75">
        <v>43495</v>
      </c>
      <c r="N43" s="67">
        <f t="shared" ca="1" si="10"/>
        <v>0</v>
      </c>
      <c r="O43" s="67">
        <f t="shared" ca="1" si="11"/>
        <v>9</v>
      </c>
      <c r="P43" s="67">
        <f t="shared" ca="1" si="12"/>
        <v>26</v>
      </c>
      <c r="Q43" s="75">
        <v>43688</v>
      </c>
      <c r="R43" s="76" t="str">
        <f t="shared" si="13"/>
        <v>일</v>
      </c>
      <c r="S43" s="67"/>
      <c r="T43" s="67"/>
      <c r="U43" s="67"/>
      <c r="V43" s="67"/>
      <c r="W43" s="67"/>
      <c r="X43" s="67"/>
      <c r="Y43" s="67">
        <v>5</v>
      </c>
      <c r="Z43" s="22">
        <f t="shared" si="14"/>
        <v>5</v>
      </c>
      <c r="AA43" s="22">
        <f t="shared" si="15"/>
        <v>31</v>
      </c>
      <c r="AB43" s="22">
        <f t="shared" si="16"/>
        <v>31</v>
      </c>
      <c r="AC43" s="22" t="b">
        <f t="shared" si="17"/>
        <v>0</v>
      </c>
      <c r="AD43" s="22">
        <f t="shared" si="18"/>
        <v>5</v>
      </c>
      <c r="AE43" s="77" t="str">
        <f t="shared" si="19"/>
        <v>D</v>
      </c>
      <c r="AF43" s="67" t="str">
        <f t="shared" si="20"/>
        <v>연극</v>
      </c>
      <c r="AG43" s="81" t="str">
        <f t="shared" si="21"/>
        <v>TRY</v>
      </c>
      <c r="AH43" s="22">
        <f ca="1">INDEX([1]혜택포인트!$B$3:$F$6,MATCH(AG43,[1]혜택포인트!$A$3:$A$6,0),MATCH(N43,[1]혜택포인트!$B$2:$F$2,1))</f>
        <v>0</v>
      </c>
      <c r="AU43" s="52" t="s">
        <v>215</v>
      </c>
      <c r="AV43" s="54">
        <v>20</v>
      </c>
      <c r="AW43" s="56"/>
      <c r="AX43" s="56"/>
      <c r="AY43" s="55"/>
      <c r="AZ43" s="54">
        <v>30</v>
      </c>
      <c r="BA43" s="56"/>
      <c r="BB43" s="56"/>
      <c r="BC43" s="55"/>
      <c r="BD43" s="54">
        <v>40</v>
      </c>
      <c r="BE43" s="56"/>
      <c r="BF43" s="56"/>
      <c r="BG43" s="55"/>
      <c r="BH43" s="54">
        <v>50</v>
      </c>
      <c r="BI43" s="56"/>
      <c r="BJ43" s="56"/>
      <c r="BK43" s="55"/>
    </row>
    <row r="44" spans="1:63" x14ac:dyDescent="0.3">
      <c r="A44" s="22" t="str">
        <f t="shared" si="1"/>
        <v>상-9713</v>
      </c>
      <c r="B44" s="67" t="s">
        <v>52</v>
      </c>
      <c r="C44" s="67" t="s">
        <v>151</v>
      </c>
      <c r="D44" s="67" t="str">
        <f t="shared" si="2"/>
        <v>771018-1******</v>
      </c>
      <c r="E44" s="75">
        <f t="shared" si="3"/>
        <v>28416</v>
      </c>
      <c r="F44" s="67">
        <f t="shared" si="4"/>
        <v>1977</v>
      </c>
      <c r="G44" s="67">
        <f t="shared" si="5"/>
        <v>10</v>
      </c>
      <c r="H44" s="67">
        <f t="shared" si="6"/>
        <v>18</v>
      </c>
      <c r="I44" s="67">
        <f t="shared" ca="1" si="7"/>
        <v>42</v>
      </c>
      <c r="J44" s="67" t="str">
        <f t="shared" si="8"/>
        <v>남</v>
      </c>
      <c r="K44" s="71" t="s">
        <v>53</v>
      </c>
      <c r="L44" s="67" t="str">
        <f t="shared" si="9"/>
        <v>010-****-9713</v>
      </c>
      <c r="M44" s="75">
        <v>40264</v>
      </c>
      <c r="N44" s="67">
        <f t="shared" ca="1" si="10"/>
        <v>9</v>
      </c>
      <c r="O44" s="67">
        <f t="shared" ca="1" si="11"/>
        <v>7</v>
      </c>
      <c r="P44" s="67">
        <f t="shared" ca="1" si="12"/>
        <v>29</v>
      </c>
      <c r="Q44" s="75">
        <v>43732</v>
      </c>
      <c r="R44" s="83" t="str">
        <f t="shared" si="13"/>
        <v>화</v>
      </c>
      <c r="S44" s="67">
        <v>1</v>
      </c>
      <c r="T44" s="67">
        <v>6</v>
      </c>
      <c r="U44" s="67"/>
      <c r="V44" s="67">
        <v>1</v>
      </c>
      <c r="W44" s="67"/>
      <c r="X44" s="67">
        <v>21</v>
      </c>
      <c r="Y44" s="67">
        <v>3</v>
      </c>
      <c r="Z44" s="22">
        <f t="shared" si="14"/>
        <v>32</v>
      </c>
      <c r="AA44" s="22">
        <f t="shared" si="15"/>
        <v>22</v>
      </c>
      <c r="AB44" s="22">
        <f t="shared" si="16"/>
        <v>22</v>
      </c>
      <c r="AC44" s="22" t="b">
        <f t="shared" si="17"/>
        <v>0</v>
      </c>
      <c r="AD44" s="22">
        <f t="shared" si="18"/>
        <v>5</v>
      </c>
      <c r="AE44" s="77" t="str">
        <f t="shared" si="19"/>
        <v>D</v>
      </c>
      <c r="AF44" s="67" t="str">
        <f t="shared" si="20"/>
        <v>영화</v>
      </c>
      <c r="AG44" s="81" t="str">
        <f t="shared" si="21"/>
        <v>TRY</v>
      </c>
      <c r="AH44" s="22">
        <f ca="1">INDEX([1]혜택포인트!$B$3:$F$6,MATCH(AG44,[1]혜택포인트!$A$3:$A$6,0),MATCH(N44,[1]혜택포인트!$B$2:$F$2,1))</f>
        <v>0</v>
      </c>
      <c r="AU44" s="57"/>
      <c r="AV44" s="54" t="s">
        <v>97</v>
      </c>
      <c r="AW44" s="55"/>
      <c r="AX44" s="54" t="s">
        <v>98</v>
      </c>
      <c r="AY44" s="55"/>
      <c r="AZ44" s="54" t="s">
        <v>97</v>
      </c>
      <c r="BA44" s="55"/>
      <c r="BB44" s="54" t="s">
        <v>98</v>
      </c>
      <c r="BC44" s="55"/>
      <c r="BD44" s="54" t="s">
        <v>97</v>
      </c>
      <c r="BE44" s="55"/>
      <c r="BF44" s="54" t="s">
        <v>98</v>
      </c>
      <c r="BG44" s="55"/>
      <c r="BH44" s="54" t="s">
        <v>97</v>
      </c>
      <c r="BI44" s="55"/>
      <c r="BJ44" s="54" t="s">
        <v>98</v>
      </c>
      <c r="BK44" s="55"/>
    </row>
    <row r="45" spans="1:63" x14ac:dyDescent="0.3">
      <c r="A45" s="22" t="str">
        <f t="shared" si="1"/>
        <v>효-4013</v>
      </c>
      <c r="B45" s="67" t="s">
        <v>54</v>
      </c>
      <c r="C45" s="67" t="s">
        <v>152</v>
      </c>
      <c r="D45" s="67" t="str">
        <f t="shared" si="2"/>
        <v>890403-2******</v>
      </c>
      <c r="E45" s="75">
        <f t="shared" si="3"/>
        <v>32601</v>
      </c>
      <c r="F45" s="67">
        <f t="shared" si="4"/>
        <v>1989</v>
      </c>
      <c r="G45" s="67">
        <f t="shared" si="5"/>
        <v>4</v>
      </c>
      <c r="H45" s="67">
        <f t="shared" si="6"/>
        <v>3</v>
      </c>
      <c r="I45" s="67">
        <f t="shared" ca="1" si="7"/>
        <v>30</v>
      </c>
      <c r="J45" s="67" t="str">
        <f t="shared" si="8"/>
        <v>여</v>
      </c>
      <c r="K45" s="71" t="s">
        <v>55</v>
      </c>
      <c r="L45" s="67" t="str">
        <f t="shared" si="9"/>
        <v>010-****-4013</v>
      </c>
      <c r="M45" s="75">
        <v>40220</v>
      </c>
      <c r="N45" s="67">
        <f t="shared" ca="1" si="10"/>
        <v>9</v>
      </c>
      <c r="O45" s="67">
        <f t="shared" ca="1" si="11"/>
        <v>9</v>
      </c>
      <c r="P45" s="67">
        <f t="shared" ca="1" si="12"/>
        <v>14</v>
      </c>
      <c r="Q45" s="75">
        <v>42759</v>
      </c>
      <c r="R45" s="83" t="str">
        <f t="shared" si="13"/>
        <v>화</v>
      </c>
      <c r="S45" s="67"/>
      <c r="T45" s="67"/>
      <c r="U45" s="67"/>
      <c r="V45" s="67"/>
      <c r="W45" s="67"/>
      <c r="X45" s="67"/>
      <c r="Y45" s="67"/>
      <c r="Z45" s="22">
        <f t="shared" si="14"/>
        <v>0</v>
      </c>
      <c r="AA45" s="22">
        <f t="shared" si="15"/>
        <v>33</v>
      </c>
      <c r="AB45" s="22">
        <f t="shared" si="16"/>
        <v>41.5</v>
      </c>
      <c r="AC45" s="22" t="b">
        <f t="shared" si="17"/>
        <v>0</v>
      </c>
      <c r="AD45" s="22">
        <f t="shared" si="18"/>
        <v>5</v>
      </c>
      <c r="AE45" s="77" t="str">
        <f t="shared" si="19"/>
        <v>D</v>
      </c>
      <c r="AF45" s="67" t="str">
        <f t="shared" si="20"/>
        <v>-</v>
      </c>
      <c r="AG45" s="81" t="str">
        <f t="shared" si="21"/>
        <v>TRY</v>
      </c>
      <c r="AH45" s="22">
        <f ca="1">INDEX([1]혜택포인트!$B$3:$F$6,MATCH(AG45,[1]혜택포인트!$A$3:$A$6,0),MATCH(N45,[1]혜택포인트!$B$2:$F$2,1))</f>
        <v>0</v>
      </c>
      <c r="AU45" s="53"/>
      <c r="AV45" s="51" t="s">
        <v>76</v>
      </c>
      <c r="AW45" s="51" t="s">
        <v>79</v>
      </c>
      <c r="AX45" s="51" t="s">
        <v>76</v>
      </c>
      <c r="AY45" s="51" t="s">
        <v>79</v>
      </c>
      <c r="AZ45" s="51" t="s">
        <v>76</v>
      </c>
      <c r="BA45" s="51" t="s">
        <v>79</v>
      </c>
      <c r="BB45" s="51" t="s">
        <v>76</v>
      </c>
      <c r="BC45" s="51" t="s">
        <v>79</v>
      </c>
      <c r="BD45" s="51" t="s">
        <v>76</v>
      </c>
      <c r="BE45" s="51" t="s">
        <v>79</v>
      </c>
      <c r="BF45" s="51" t="s">
        <v>76</v>
      </c>
      <c r="BG45" s="51" t="s">
        <v>79</v>
      </c>
      <c r="BH45" s="51" t="s">
        <v>76</v>
      </c>
      <c r="BI45" s="51" t="s">
        <v>79</v>
      </c>
      <c r="BJ45" s="51" t="s">
        <v>76</v>
      </c>
      <c r="BK45" s="51" t="s">
        <v>79</v>
      </c>
    </row>
    <row r="46" spans="1:63" x14ac:dyDescent="0.3">
      <c r="A46" s="22" t="str">
        <f t="shared" si="1"/>
        <v>보-4021</v>
      </c>
      <c r="B46" s="67" t="s">
        <v>56</v>
      </c>
      <c r="C46" s="67" t="s">
        <v>153</v>
      </c>
      <c r="D46" s="67" t="str">
        <f t="shared" si="2"/>
        <v>740502-2******</v>
      </c>
      <c r="E46" s="75">
        <f t="shared" si="3"/>
        <v>27151</v>
      </c>
      <c r="F46" s="67">
        <f t="shared" si="4"/>
        <v>1974</v>
      </c>
      <c r="G46" s="67">
        <f t="shared" si="5"/>
        <v>5</v>
      </c>
      <c r="H46" s="67">
        <f t="shared" si="6"/>
        <v>2</v>
      </c>
      <c r="I46" s="67">
        <f t="shared" ca="1" si="7"/>
        <v>45</v>
      </c>
      <c r="J46" s="67" t="str">
        <f t="shared" si="8"/>
        <v>여</v>
      </c>
      <c r="K46" s="71" t="s">
        <v>57</v>
      </c>
      <c r="L46" s="67" t="str">
        <f t="shared" si="9"/>
        <v>010-****-4021</v>
      </c>
      <c r="M46" s="75">
        <v>37152</v>
      </c>
      <c r="N46" s="67">
        <f t="shared" ca="1" si="10"/>
        <v>18</v>
      </c>
      <c r="O46" s="67">
        <f t="shared" ca="1" si="11"/>
        <v>2</v>
      </c>
      <c r="P46" s="67">
        <f t="shared" ca="1" si="12"/>
        <v>7</v>
      </c>
      <c r="Q46" s="75">
        <v>43627</v>
      </c>
      <c r="R46" s="83" t="str">
        <f t="shared" si="13"/>
        <v>화</v>
      </c>
      <c r="S46" s="67">
        <v>49</v>
      </c>
      <c r="T46" s="67"/>
      <c r="U46" s="67">
        <v>33</v>
      </c>
      <c r="V46" s="67"/>
      <c r="W46" s="67">
        <v>1</v>
      </c>
      <c r="X46" s="67">
        <v>17</v>
      </c>
      <c r="Y46" s="67"/>
      <c r="Z46" s="22">
        <f t="shared" si="14"/>
        <v>100</v>
      </c>
      <c r="AA46" s="22">
        <f t="shared" si="15"/>
        <v>11</v>
      </c>
      <c r="AB46" s="22">
        <f t="shared" si="16"/>
        <v>11.5</v>
      </c>
      <c r="AC46" s="22" t="b">
        <f t="shared" si="17"/>
        <v>0</v>
      </c>
      <c r="AD46" s="22">
        <f t="shared" si="18"/>
        <v>3</v>
      </c>
      <c r="AE46" s="77" t="str">
        <f t="shared" si="19"/>
        <v>D</v>
      </c>
      <c r="AF46" s="67" t="str">
        <f t="shared" si="20"/>
        <v>클래식</v>
      </c>
      <c r="AG46" s="86" t="str">
        <f t="shared" si="21"/>
        <v>HOBBY</v>
      </c>
      <c r="AH46" s="22">
        <f ca="1">INDEX([1]혜택포인트!$B$3:$F$6,MATCH(AG46,[1]혜택포인트!$A$3:$A$6,0),MATCH(N46,[1]혜택포인트!$B$2:$F$2,1))</f>
        <v>0.25</v>
      </c>
      <c r="AU46" s="51" t="s">
        <v>174</v>
      </c>
      <c r="AV46" s="51">
        <f ca="1">SUMIFS($Z$6:$Z$55,$AG$6:$AG$55,"="&amp;$AU46,$J$6:$J$55,"="&amp;$AV$44,$I$6:$I$55,"&gt;="&amp;$AV$43,$I$6:$I$55,"&lt;"&amp;$AZ$43)</f>
        <v>0</v>
      </c>
      <c r="AW46" s="51">
        <f ca="1">IFERROR(ROUND(AVERAGEIFS($Z$6:$Z$55,$AG$6:$AG$55,"="&amp;$AU46,$J$6:$J$55,"="&amp;$AV$44,$I$6:$I$55,"&gt;="&amp;$AV$43,$I$6:$I$55,"&lt;"&amp;$AZ$43),2),0)</f>
        <v>0</v>
      </c>
      <c r="AX46" s="51">
        <f ca="1">SUMIFS($Z$6:$Z$55,$AG$6:$AG$55,"="&amp;$AU46,$J$6:$J$55,"="&amp;$AX$44,$I$6:$I$55,"&gt;="&amp;$AV$43,$I$6:$I$55,"&lt;"&amp;$AZ$43)</f>
        <v>126</v>
      </c>
      <c r="AY46" s="51">
        <f ca="1">IFERROR(ROUND(AVERAGEIFS($Z$6:$Z$55,$AG$6:$AG$55,"="&amp;$AU46,$J$6:$J$55,"="&amp;$AX$44,$I$6:$I$55,"&gt;="&amp;$AV$43,$I$6:$I$55,"&lt;"&amp;$AZ$43),2),0)</f>
        <v>126</v>
      </c>
      <c r="AZ46" s="51">
        <f ca="1">SUMIFS($Z$6:$Z$55,$AG$6:$AG$55,"="&amp;$AU46,$J$6:$J$55,"="&amp;$AZ$44,$I$6:$I$55,"&gt;="&amp;$AZ$43,$I$6:$I$55,"&lt;"&amp;$BD$43)</f>
        <v>261</v>
      </c>
      <c r="BA46" s="51">
        <f ca="1">IFERROR(ROUND(AVERAGEIFS($Z$6:$Z$55,$AG$6:$AG$55,"="&amp;$AU46,$J$6:$J$55,"="&amp;$AZ$44,$I$6:$I$55,"&gt;="&amp;$AZ$43,$I$6:$I$55,"&lt;"&amp;$BD$43),2),0)</f>
        <v>130.5</v>
      </c>
      <c r="BB46" s="51">
        <f ca="1">SUMIFS($Z$6:$Z$55,$AG$6:$AG$55,"="&amp;$AU46,$J$6:$J$55,"="&amp;$BB$44,$I$6:$I$55,"&gt;="&amp;$AZ$43,$I$6:$I$55,"&lt;"&amp;$BD$43)</f>
        <v>104</v>
      </c>
      <c r="BC46" s="51">
        <f ca="1">IFERROR(ROUND(AVERAGEIFS($Z$6:$Z$55,$AG$6:$AG$55,"="&amp;$AU46,$J$6:$J$55,"="&amp;$BB$44,$I$6:$I$55,"&gt;="&amp;$AZ$43,$I$6:$I$55,"&lt;"&amp;$BD$43),2),0)</f>
        <v>104</v>
      </c>
      <c r="BD46" s="51">
        <f ca="1">SUMIFS($Z$6:$Z$55,$AG$6:$AG$55,"="&amp;$AU46,$J$6:$J$55,"="&amp;$BD$44,$I$6:$I$55,"&gt;="&amp;$BD$43,$I$6:$I$55,"&lt;"&amp;$BH$43)</f>
        <v>598</v>
      </c>
      <c r="BE46" s="51">
        <f ca="1">IFERROR(ROUND(AVERAGEIFS($Z$6:$Z$55,$AG$6:$AG$55,"="&amp;$AU46,$J$6:$J$55,"="&amp;$BD$44,$I$6:$I$55,"&gt;="&amp;$BD$43,$I$6:$I$55,"&lt;"&amp;$BH$43),2),0)</f>
        <v>149.5</v>
      </c>
      <c r="BF46" s="51">
        <f ca="1">SUMIFS($Z$6:$Z$55,$AG$6:$AG$55,"="&amp;$AU46,$J$6:$J$55,"="&amp;$BF$44,$I$6:$I$55,"&gt;="&amp;$BD$43,$I$6:$I$55,"&lt;"&amp;$BH$43)</f>
        <v>194</v>
      </c>
      <c r="BG46" s="51">
        <f ca="1">IFERROR(ROUND(AVERAGEIFS($Z$6:$Z$55,$AG$6:$AG$55,"="&amp;$AU46,$J$6:$J$55,"="&amp;$BF$44,$I$6:$I$55,"&gt;="&amp;$BD$43,$I$6:$I$55,"&lt;"&amp;$BH$43),2),0)</f>
        <v>194</v>
      </c>
      <c r="BH46" s="51">
        <f ca="1">SUMIFS($Z$6:$Z$55,$AG$6:$AG$55,"="&amp;$AU46,$J$6:$J$55,"="&amp;$BH$44,$I$6:$I$55,"&gt;="&amp;$BH$43)</f>
        <v>0</v>
      </c>
      <c r="BI46" s="51">
        <f ca="1">IFERROR(ROUND(AVERAGEIFS($Z$6:$Z$55,$AG$6:$AG$55,"="&amp;$AU46,$J$6:$J$55,"="&amp;$BH$44,$I$6:$I$55,"&gt;="&amp;$BH$43),2),0)</f>
        <v>0</v>
      </c>
      <c r="BJ46" s="51">
        <f ca="1">SUMIFS($Z$6:$Z$55,$AG$6:$AG$55,"="&amp;$AU46,$J$6:$J$55,"="&amp;$BJ$44,$I$6:$I$55,"&gt;="&amp;$BH$43)</f>
        <v>0</v>
      </c>
      <c r="BK46" s="51">
        <f ca="1">IFERROR(ROUND(AVERAGEIFS($Z$6:$Z$55,$AG$6:$AG$55,"="&amp;$AU46,$J$6:$J$55,"="&amp;$BJ$44,$I$6:$I$55,"&gt;="&amp;$BH$43),2),0)</f>
        <v>0</v>
      </c>
    </row>
    <row r="47" spans="1:63" x14ac:dyDescent="0.3">
      <c r="A47" s="22" t="str">
        <f t="shared" si="1"/>
        <v>인-5713</v>
      </c>
      <c r="B47" s="67" t="s">
        <v>58</v>
      </c>
      <c r="C47" s="67" t="s">
        <v>154</v>
      </c>
      <c r="D47" s="67" t="str">
        <f t="shared" si="2"/>
        <v>920324-2******</v>
      </c>
      <c r="E47" s="75">
        <f t="shared" si="3"/>
        <v>33687</v>
      </c>
      <c r="F47" s="67">
        <f t="shared" si="4"/>
        <v>1992</v>
      </c>
      <c r="G47" s="67">
        <f t="shared" si="5"/>
        <v>3</v>
      </c>
      <c r="H47" s="67">
        <f t="shared" si="6"/>
        <v>24</v>
      </c>
      <c r="I47" s="67">
        <f t="shared" ca="1" si="7"/>
        <v>27</v>
      </c>
      <c r="J47" s="67" t="str">
        <f t="shared" si="8"/>
        <v>여</v>
      </c>
      <c r="K47" s="71" t="s">
        <v>59</v>
      </c>
      <c r="L47" s="67" t="str">
        <f t="shared" si="9"/>
        <v>010-****-5713</v>
      </c>
      <c r="M47" s="75">
        <v>42142</v>
      </c>
      <c r="N47" s="67">
        <f t="shared" ca="1" si="10"/>
        <v>4</v>
      </c>
      <c r="O47" s="67">
        <f t="shared" ca="1" si="11"/>
        <v>6</v>
      </c>
      <c r="P47" s="67">
        <f t="shared" ca="1" si="12"/>
        <v>7</v>
      </c>
      <c r="Q47" s="75">
        <v>43477</v>
      </c>
      <c r="R47" s="87" t="str">
        <f t="shared" si="13"/>
        <v>토</v>
      </c>
      <c r="S47" s="67"/>
      <c r="T47" s="67">
        <v>38</v>
      </c>
      <c r="U47" s="67"/>
      <c r="V47" s="67"/>
      <c r="W47" s="67"/>
      <c r="X47" s="67"/>
      <c r="Y47" s="67">
        <v>7</v>
      </c>
      <c r="Z47" s="22">
        <f t="shared" si="14"/>
        <v>45</v>
      </c>
      <c r="AA47" s="22">
        <f t="shared" si="15"/>
        <v>21</v>
      </c>
      <c r="AB47" s="22">
        <f t="shared" si="16"/>
        <v>21</v>
      </c>
      <c r="AC47" s="22" t="b">
        <f t="shared" si="17"/>
        <v>0</v>
      </c>
      <c r="AD47" s="22">
        <f t="shared" si="18"/>
        <v>5</v>
      </c>
      <c r="AE47" s="77" t="str">
        <f t="shared" si="19"/>
        <v>D</v>
      </c>
      <c r="AF47" s="67" t="str">
        <f t="shared" si="20"/>
        <v>콘서트</v>
      </c>
      <c r="AG47" s="81" t="str">
        <f t="shared" si="21"/>
        <v>TRY</v>
      </c>
      <c r="AH47" s="22">
        <f ca="1">INDEX([1]혜택포인트!$B$3:$F$6,MATCH(AG47,[1]혜택포인트!$A$3:$A$6,0),MATCH(N47,[1]혜택포인트!$B$2:$F$2,1))</f>
        <v>0</v>
      </c>
      <c r="AU47" s="51" t="s">
        <v>175</v>
      </c>
      <c r="AV47" s="51">
        <f t="shared" ref="AV47:AV49" ca="1" si="44">SUMIFS($Z$6:$Z$55,$AG$6:$AG$55,"="&amp;$AU47,$J$6:$J$55,"="&amp;$AV$44,$I$6:$I$55,"&gt;="&amp;$AV$43,$I$6:$I$55,"&lt;"&amp;$AZ$43)</f>
        <v>0</v>
      </c>
      <c r="AW47" s="51">
        <f t="shared" ref="AW47:AW49" ca="1" si="45">IFERROR(ROUND(AVERAGEIFS($Z$6:$Z$55,$AG$6:$AG$55,"="&amp;$AU47,$J$6:$J$55,"="&amp;$AV$44,$I$6:$I$55,"&gt;="&amp;$AV$43,$I$6:$I$55,"&lt;"&amp;$AZ$43),2),0)</f>
        <v>0</v>
      </c>
      <c r="AX47" s="51">
        <f t="shared" ref="AX47:AX49" ca="1" si="46">SUMIFS($Z$6:$Z$55,$AG$6:$AG$55,"="&amp;$AU47,$J$6:$J$55,"="&amp;$AX$44,$I$6:$I$55,"&gt;="&amp;$AV$43,$I$6:$I$55,"&lt;"&amp;$AZ$43)</f>
        <v>0</v>
      </c>
      <c r="AY47" s="51">
        <f t="shared" ref="AY47:AY49" ca="1" si="47">IFERROR(ROUND(AVERAGEIFS($Z$6:$Z$55,$AG$6:$AG$55,"="&amp;$AU47,$J$6:$J$55,"="&amp;$AX$44,$I$6:$I$55,"&gt;="&amp;$AV$43,$I$6:$I$55,"&lt;"&amp;$AZ$43),2),0)</f>
        <v>0</v>
      </c>
      <c r="AZ47" s="51">
        <f t="shared" ref="AZ47:AZ49" ca="1" si="48">SUMIFS($Z$6:$Z$55,$AG$6:$AG$55,"="&amp;$AU47,$J$6:$J$55,"="&amp;$AZ$44,$I$6:$I$55,"&gt;="&amp;$AZ$43,$I$6:$I$55,"&lt;"&amp;$BD$43)</f>
        <v>100</v>
      </c>
      <c r="BA47" s="51">
        <f t="shared" ref="BA47:BA49" ca="1" si="49">IFERROR(ROUND(AVERAGEIFS($Z$6:$Z$55,$AG$6:$AG$55,"="&amp;$AU47,$J$6:$J$55,"="&amp;$AZ$44,$I$6:$I$55,"&gt;="&amp;$AZ$43,$I$6:$I$55,"&lt;"&amp;$BD$43),2),0)</f>
        <v>100</v>
      </c>
      <c r="BB47" s="51">
        <f t="shared" ref="BB47:BB49" ca="1" si="50">SUMIFS($Z$6:$Z$55,$AG$6:$AG$55,"="&amp;$AU47,$J$6:$J$55,"="&amp;$BB$44,$I$6:$I$55,"&gt;="&amp;$AZ$43,$I$6:$I$55,"&lt;"&amp;$BD$43)</f>
        <v>0</v>
      </c>
      <c r="BC47" s="51">
        <f t="shared" ref="BC47:BC49" ca="1" si="51">IFERROR(ROUND(AVERAGEIFS($Z$6:$Z$55,$AG$6:$AG$55,"="&amp;$AU47,$J$6:$J$55,"="&amp;$BB$44,$I$6:$I$55,"&gt;="&amp;$AZ$43,$I$6:$I$55,"&lt;"&amp;$BD$43),2),0)</f>
        <v>0</v>
      </c>
      <c r="BD47" s="51">
        <f t="shared" ref="BD47:BD49" ca="1" si="52">SUMIFS($Z$6:$Z$55,$AG$6:$AG$55,"="&amp;$AU47,$J$6:$J$55,"="&amp;$BD$44,$I$6:$I$55,"&gt;="&amp;$BD$43,$I$6:$I$55,"&lt;"&amp;$BH$43)</f>
        <v>129</v>
      </c>
      <c r="BE47" s="51">
        <f t="shared" ref="BE47:BE49" ca="1" si="53">IFERROR(ROUND(AVERAGEIFS($Z$6:$Z$55,$AG$6:$AG$55,"="&amp;$AU47,$J$6:$J$55,"="&amp;$BD$44,$I$6:$I$55,"&gt;="&amp;$BD$43,$I$6:$I$55,"&lt;"&amp;$BH$43),2),0)</f>
        <v>129</v>
      </c>
      <c r="BF47" s="51">
        <f t="shared" ref="BF47:BF49" ca="1" si="54">SUMIFS($Z$6:$Z$55,$AG$6:$AG$55,"="&amp;$AU47,$J$6:$J$55,"="&amp;$BF$44,$I$6:$I$55,"&gt;="&amp;$BD$43,$I$6:$I$55,"&lt;"&amp;$BH$43)</f>
        <v>100</v>
      </c>
      <c r="BG47" s="51">
        <f t="shared" ref="BG47:BG49" ca="1" si="55">IFERROR(ROUND(AVERAGEIFS($Z$6:$Z$55,$AG$6:$AG$55,"="&amp;$AU47,$J$6:$J$55,"="&amp;$BF$44,$I$6:$I$55,"&gt;="&amp;$BD$43,$I$6:$I$55,"&lt;"&amp;$BH$43),2),0)</f>
        <v>100</v>
      </c>
      <c r="BH47" s="51">
        <f t="shared" ref="BH47:BH49" ca="1" si="56">SUMIFS($Z$6:$Z$55,$AG$6:$AG$55,"="&amp;$AU47,$J$6:$J$55,"="&amp;$BH$44,$I$6:$I$55,"&gt;="&amp;$BH$43)</f>
        <v>0</v>
      </c>
      <c r="BI47" s="51">
        <f t="shared" ref="BI47:BI49" ca="1" si="57">IFERROR(ROUND(AVERAGEIFS($Z$6:$Z$55,$AG$6:$AG$55,"="&amp;$AU47,$J$6:$J$55,"="&amp;$BH$44,$I$6:$I$55,"&gt;="&amp;$BH$43),2),0)</f>
        <v>0</v>
      </c>
      <c r="BJ47" s="51">
        <f t="shared" ref="BJ47:BJ49" ca="1" si="58">SUMIFS($Z$6:$Z$55,$AG$6:$AG$55,"="&amp;$AU47,$J$6:$J$55,"="&amp;$BJ$44,$I$6:$I$55,"&gt;="&amp;$BH$43)</f>
        <v>0</v>
      </c>
      <c r="BK47" s="51">
        <f t="shared" ref="BK47:BK49" ca="1" si="59">IFERROR(ROUND(AVERAGEIFS($Z$6:$Z$55,$AG$6:$AG$55,"="&amp;$AU47,$J$6:$J$55,"="&amp;$BJ$44,$I$6:$I$55,"&gt;="&amp;$BH$43),2),0)</f>
        <v>0</v>
      </c>
    </row>
    <row r="48" spans="1:63" x14ac:dyDescent="0.3">
      <c r="A48" s="22" t="str">
        <f t="shared" si="1"/>
        <v>광-3274</v>
      </c>
      <c r="B48" s="67" t="s">
        <v>60</v>
      </c>
      <c r="C48" s="67" t="s">
        <v>155</v>
      </c>
      <c r="D48" s="67" t="str">
        <f t="shared" si="2"/>
        <v>870629-1******</v>
      </c>
      <c r="E48" s="75">
        <f t="shared" si="3"/>
        <v>31957</v>
      </c>
      <c r="F48" s="67">
        <f t="shared" si="4"/>
        <v>1987</v>
      </c>
      <c r="G48" s="67">
        <f t="shared" si="5"/>
        <v>6</v>
      </c>
      <c r="H48" s="67">
        <f t="shared" si="6"/>
        <v>29</v>
      </c>
      <c r="I48" s="67">
        <f t="shared" ca="1" si="7"/>
        <v>32</v>
      </c>
      <c r="J48" s="67" t="str">
        <f t="shared" si="8"/>
        <v>남</v>
      </c>
      <c r="K48" s="71" t="s">
        <v>61</v>
      </c>
      <c r="L48" s="67" t="str">
        <f t="shared" si="9"/>
        <v>010-****-3274</v>
      </c>
      <c r="M48" s="75">
        <v>43304</v>
      </c>
      <c r="N48" s="67">
        <f t="shared" ca="1" si="10"/>
        <v>1</v>
      </c>
      <c r="O48" s="67">
        <f t="shared" ca="1" si="11"/>
        <v>4</v>
      </c>
      <c r="P48" s="67">
        <f t="shared" ca="1" si="12"/>
        <v>2</v>
      </c>
      <c r="Q48" s="75">
        <v>43760</v>
      </c>
      <c r="R48" s="83" t="str">
        <f t="shared" si="13"/>
        <v>화</v>
      </c>
      <c r="S48" s="67">
        <v>3</v>
      </c>
      <c r="T48" s="67">
        <v>1</v>
      </c>
      <c r="U48" s="67">
        <v>1</v>
      </c>
      <c r="V48" s="67"/>
      <c r="W48" s="67">
        <v>5</v>
      </c>
      <c r="X48" s="67">
        <v>5</v>
      </c>
      <c r="Y48" s="67">
        <v>4</v>
      </c>
      <c r="Z48" s="22">
        <f t="shared" si="14"/>
        <v>19</v>
      </c>
      <c r="AA48" s="22">
        <f t="shared" si="15"/>
        <v>27</v>
      </c>
      <c r="AB48" s="22">
        <f t="shared" si="16"/>
        <v>27</v>
      </c>
      <c r="AC48" s="22" t="b">
        <f t="shared" si="17"/>
        <v>0</v>
      </c>
      <c r="AD48" s="22">
        <f t="shared" si="18"/>
        <v>5</v>
      </c>
      <c r="AE48" s="77" t="str">
        <f t="shared" si="19"/>
        <v>D</v>
      </c>
      <c r="AF48" s="67" t="str">
        <f t="shared" si="20"/>
        <v>뮤지컬</v>
      </c>
      <c r="AG48" s="81" t="str">
        <f t="shared" si="21"/>
        <v>TRY</v>
      </c>
      <c r="AH48" s="22">
        <f ca="1">INDEX([1]혜택포인트!$B$3:$F$6,MATCH(AG48,[1]혜택포인트!$A$3:$A$6,0),MATCH(N48,[1]혜택포인트!$B$2:$F$2,1))</f>
        <v>0</v>
      </c>
      <c r="AU48" s="51" t="s">
        <v>176</v>
      </c>
      <c r="AV48" s="51">
        <f t="shared" ca="1" si="44"/>
        <v>69</v>
      </c>
      <c r="AW48" s="51">
        <f t="shared" ca="1" si="45"/>
        <v>69</v>
      </c>
      <c r="AX48" s="51">
        <f t="shared" ca="1" si="46"/>
        <v>0</v>
      </c>
      <c r="AY48" s="51">
        <f t="shared" ca="1" si="47"/>
        <v>0</v>
      </c>
      <c r="AZ48" s="51">
        <f t="shared" ca="1" si="48"/>
        <v>212</v>
      </c>
      <c r="BA48" s="51">
        <f t="shared" ca="1" si="49"/>
        <v>70.67</v>
      </c>
      <c r="BB48" s="51">
        <f t="shared" ca="1" si="50"/>
        <v>182</v>
      </c>
      <c r="BC48" s="51">
        <f t="shared" ca="1" si="51"/>
        <v>60.67</v>
      </c>
      <c r="BD48" s="51">
        <f t="shared" ca="1" si="52"/>
        <v>0</v>
      </c>
      <c r="BE48" s="51">
        <f t="shared" ca="1" si="53"/>
        <v>0</v>
      </c>
      <c r="BF48" s="51">
        <f t="shared" ca="1" si="54"/>
        <v>0</v>
      </c>
      <c r="BG48" s="51">
        <f t="shared" ca="1" si="55"/>
        <v>0</v>
      </c>
      <c r="BH48" s="51">
        <f t="shared" ca="1" si="56"/>
        <v>0</v>
      </c>
      <c r="BI48" s="51">
        <f t="shared" ca="1" si="57"/>
        <v>0</v>
      </c>
      <c r="BJ48" s="51">
        <f t="shared" ca="1" si="58"/>
        <v>0</v>
      </c>
      <c r="BK48" s="51">
        <f t="shared" ca="1" si="59"/>
        <v>0</v>
      </c>
    </row>
    <row r="49" spans="1:63" x14ac:dyDescent="0.3">
      <c r="A49" s="22" t="str">
        <f t="shared" si="1"/>
        <v>충-6587</v>
      </c>
      <c r="B49" s="67" t="s">
        <v>62</v>
      </c>
      <c r="C49" s="67" t="s">
        <v>156</v>
      </c>
      <c r="D49" s="67" t="str">
        <f t="shared" si="2"/>
        <v>850201-1******</v>
      </c>
      <c r="E49" s="75">
        <f t="shared" si="3"/>
        <v>31079</v>
      </c>
      <c r="F49" s="67">
        <f t="shared" si="4"/>
        <v>1985</v>
      </c>
      <c r="G49" s="67">
        <f t="shared" si="5"/>
        <v>2</v>
      </c>
      <c r="H49" s="67">
        <f t="shared" si="6"/>
        <v>1</v>
      </c>
      <c r="I49" s="67">
        <f t="shared" ca="1" si="7"/>
        <v>34</v>
      </c>
      <c r="J49" s="67" t="str">
        <f t="shared" si="8"/>
        <v>남</v>
      </c>
      <c r="K49" s="71" t="s">
        <v>63</v>
      </c>
      <c r="L49" s="67" t="str">
        <f t="shared" si="9"/>
        <v>010-****-6587</v>
      </c>
      <c r="M49" s="75">
        <v>41181</v>
      </c>
      <c r="N49" s="67">
        <f t="shared" ca="1" si="10"/>
        <v>7</v>
      </c>
      <c r="O49" s="67">
        <f t="shared" ca="1" si="11"/>
        <v>1</v>
      </c>
      <c r="P49" s="67">
        <f t="shared" ca="1" si="12"/>
        <v>27</v>
      </c>
      <c r="Q49" s="75">
        <v>43751</v>
      </c>
      <c r="R49" s="76" t="str">
        <f t="shared" si="13"/>
        <v>일</v>
      </c>
      <c r="S49" s="67"/>
      <c r="T49" s="67">
        <v>8</v>
      </c>
      <c r="U49" s="67"/>
      <c r="V49" s="67"/>
      <c r="W49" s="67"/>
      <c r="X49" s="67"/>
      <c r="Y49" s="67"/>
      <c r="Z49" s="22">
        <f t="shared" si="14"/>
        <v>8</v>
      </c>
      <c r="AA49" s="22">
        <f t="shared" si="15"/>
        <v>29</v>
      </c>
      <c r="AB49" s="22">
        <f t="shared" si="16"/>
        <v>29.5</v>
      </c>
      <c r="AC49" s="22" t="b">
        <f t="shared" si="17"/>
        <v>0</v>
      </c>
      <c r="AD49" s="22">
        <f t="shared" si="18"/>
        <v>5</v>
      </c>
      <c r="AE49" s="77" t="str">
        <f t="shared" si="19"/>
        <v>D</v>
      </c>
      <c r="AF49" s="67" t="str">
        <f t="shared" si="20"/>
        <v>콘서트</v>
      </c>
      <c r="AG49" s="81" t="str">
        <f t="shared" si="21"/>
        <v>TRY</v>
      </c>
      <c r="AH49" s="22">
        <f ca="1">INDEX([1]혜택포인트!$B$3:$F$6,MATCH(AG49,[1]혜택포인트!$A$3:$A$6,0),MATCH(N49,[1]혜택포인트!$B$2:$F$2,1))</f>
        <v>0</v>
      </c>
      <c r="AU49" s="51" t="s">
        <v>177</v>
      </c>
      <c r="AV49" s="51">
        <f t="shared" ca="1" si="44"/>
        <v>54</v>
      </c>
      <c r="AW49" s="51">
        <f t="shared" ca="1" si="45"/>
        <v>9</v>
      </c>
      <c r="AX49" s="51">
        <f t="shared" ca="1" si="46"/>
        <v>50</v>
      </c>
      <c r="AY49" s="51">
        <f t="shared" ca="1" si="47"/>
        <v>16.670000000000002</v>
      </c>
      <c r="AZ49" s="51">
        <f t="shared" ca="1" si="48"/>
        <v>55</v>
      </c>
      <c r="BA49" s="51">
        <f t="shared" ca="1" si="49"/>
        <v>9.17</v>
      </c>
      <c r="BB49" s="51">
        <f t="shared" ca="1" si="50"/>
        <v>23</v>
      </c>
      <c r="BC49" s="51">
        <f t="shared" ca="1" si="51"/>
        <v>3.29</v>
      </c>
      <c r="BD49" s="51">
        <f t="shared" ca="1" si="52"/>
        <v>79</v>
      </c>
      <c r="BE49" s="51">
        <f t="shared" ca="1" si="53"/>
        <v>15.8</v>
      </c>
      <c r="BF49" s="51">
        <f t="shared" ca="1" si="54"/>
        <v>29</v>
      </c>
      <c r="BG49" s="51">
        <f t="shared" ca="1" si="55"/>
        <v>7.25</v>
      </c>
      <c r="BH49" s="51">
        <f t="shared" ca="1" si="56"/>
        <v>0</v>
      </c>
      <c r="BI49" s="51">
        <f t="shared" ca="1" si="57"/>
        <v>0</v>
      </c>
      <c r="BJ49" s="51">
        <f t="shared" ca="1" si="58"/>
        <v>0</v>
      </c>
      <c r="BK49" s="51">
        <f t="shared" ca="1" si="59"/>
        <v>0</v>
      </c>
    </row>
    <row r="50" spans="1:63" x14ac:dyDescent="0.3">
      <c r="A50" s="22" t="str">
        <f t="shared" si="1"/>
        <v>승-4267</v>
      </c>
      <c r="B50" s="67" t="s">
        <v>64</v>
      </c>
      <c r="C50" s="67" t="s">
        <v>157</v>
      </c>
      <c r="D50" s="67" t="str">
        <f t="shared" si="2"/>
        <v>780129-1******</v>
      </c>
      <c r="E50" s="75">
        <f t="shared" si="3"/>
        <v>28519</v>
      </c>
      <c r="F50" s="67">
        <f t="shared" si="4"/>
        <v>1978</v>
      </c>
      <c r="G50" s="67">
        <f t="shared" si="5"/>
        <v>1</v>
      </c>
      <c r="H50" s="67">
        <f t="shared" si="6"/>
        <v>29</v>
      </c>
      <c r="I50" s="67">
        <f t="shared" ca="1" si="7"/>
        <v>41</v>
      </c>
      <c r="J50" s="67" t="str">
        <f t="shared" si="8"/>
        <v>남</v>
      </c>
      <c r="K50" s="71" t="s">
        <v>65</v>
      </c>
      <c r="L50" s="67" t="str">
        <f t="shared" si="9"/>
        <v>010-****-4267</v>
      </c>
      <c r="M50" s="75">
        <v>38271</v>
      </c>
      <c r="N50" s="67">
        <f t="shared" ca="1" si="10"/>
        <v>15</v>
      </c>
      <c r="O50" s="67">
        <f t="shared" ca="1" si="11"/>
        <v>1</v>
      </c>
      <c r="P50" s="67">
        <f t="shared" ca="1" si="12"/>
        <v>14</v>
      </c>
      <c r="Q50" s="75">
        <v>43578</v>
      </c>
      <c r="R50" s="83" t="str">
        <f t="shared" si="13"/>
        <v>화</v>
      </c>
      <c r="S50" s="67"/>
      <c r="T50" s="67">
        <v>39</v>
      </c>
      <c r="U50" s="67"/>
      <c r="V50" s="67">
        <v>22</v>
      </c>
      <c r="W50" s="67"/>
      <c r="X50" s="67">
        <v>57</v>
      </c>
      <c r="Y50" s="67"/>
      <c r="Z50" s="22">
        <f t="shared" si="14"/>
        <v>118</v>
      </c>
      <c r="AA50" s="22">
        <f t="shared" si="15"/>
        <v>8</v>
      </c>
      <c r="AB50" s="22">
        <f t="shared" si="16"/>
        <v>8</v>
      </c>
      <c r="AC50" s="22" t="b">
        <f t="shared" si="17"/>
        <v>1</v>
      </c>
      <c r="AD50" s="22">
        <f t="shared" si="18"/>
        <v>3</v>
      </c>
      <c r="AE50" s="77" t="str">
        <f t="shared" si="19"/>
        <v>C</v>
      </c>
      <c r="AF50" s="67" t="str">
        <f t="shared" si="20"/>
        <v>영화</v>
      </c>
      <c r="AG50" s="78" t="str">
        <f t="shared" si="21"/>
        <v>MANIA</v>
      </c>
      <c r="AH50" s="22">
        <f ca="1">INDEX([1]혜택포인트!$B$3:$F$6,MATCH(AG50,[1]혜택포인트!$A$3:$A$6,0),MATCH(N50,[1]혜택포인트!$B$2:$F$2,1))</f>
        <v>0.35</v>
      </c>
    </row>
    <row r="51" spans="1:63" x14ac:dyDescent="0.3">
      <c r="A51" s="22" t="str">
        <f t="shared" si="1"/>
        <v>민-6425</v>
      </c>
      <c r="B51" s="67" t="s">
        <v>66</v>
      </c>
      <c r="C51" s="67" t="s">
        <v>158</v>
      </c>
      <c r="D51" s="67" t="str">
        <f t="shared" si="2"/>
        <v>840720-2******</v>
      </c>
      <c r="E51" s="75">
        <f t="shared" si="3"/>
        <v>30883</v>
      </c>
      <c r="F51" s="67">
        <f t="shared" si="4"/>
        <v>1984</v>
      </c>
      <c r="G51" s="67">
        <f t="shared" si="5"/>
        <v>7</v>
      </c>
      <c r="H51" s="67">
        <f t="shared" si="6"/>
        <v>20</v>
      </c>
      <c r="I51" s="67">
        <f t="shared" ca="1" si="7"/>
        <v>35</v>
      </c>
      <c r="J51" s="67" t="str">
        <f t="shared" si="8"/>
        <v>여</v>
      </c>
      <c r="K51" s="71" t="s">
        <v>67</v>
      </c>
      <c r="L51" s="67" t="str">
        <f t="shared" si="9"/>
        <v>010-****-6425</v>
      </c>
      <c r="M51" s="75">
        <v>38882</v>
      </c>
      <c r="N51" s="67">
        <f t="shared" ca="1" si="10"/>
        <v>13</v>
      </c>
      <c r="O51" s="67">
        <f t="shared" ca="1" si="11"/>
        <v>5</v>
      </c>
      <c r="P51" s="67">
        <f t="shared" ca="1" si="12"/>
        <v>11</v>
      </c>
      <c r="Q51" s="75">
        <v>43469</v>
      </c>
      <c r="R51" s="85" t="str">
        <f t="shared" si="13"/>
        <v>금</v>
      </c>
      <c r="S51" s="67">
        <v>37</v>
      </c>
      <c r="T51" s="67"/>
      <c r="U51" s="67"/>
      <c r="V51" s="67"/>
      <c r="W51" s="67"/>
      <c r="X51" s="67">
        <v>15</v>
      </c>
      <c r="Y51" s="67"/>
      <c r="Z51" s="22">
        <f t="shared" si="14"/>
        <v>52</v>
      </c>
      <c r="AA51" s="22">
        <f t="shared" si="15"/>
        <v>19</v>
      </c>
      <c r="AB51" s="22">
        <f t="shared" si="16"/>
        <v>19</v>
      </c>
      <c r="AC51" s="22" t="b">
        <f t="shared" si="17"/>
        <v>0</v>
      </c>
      <c r="AD51" s="22">
        <f t="shared" si="18"/>
        <v>4</v>
      </c>
      <c r="AE51" s="77" t="str">
        <f t="shared" si="19"/>
        <v>D</v>
      </c>
      <c r="AF51" s="67" t="str">
        <f t="shared" si="20"/>
        <v>클래식</v>
      </c>
      <c r="AG51" s="84" t="str">
        <f t="shared" si="21"/>
        <v>ALMOST</v>
      </c>
      <c r="AH51" s="22">
        <f ca="1">INDEX([1]혜택포인트!$B$3:$F$6,MATCH(AG51,[1]혜택포인트!$A$3:$A$6,0),MATCH(N51,[1]혜택포인트!$B$2:$F$2,1))</f>
        <v>0.1</v>
      </c>
      <c r="AU51" s="52" t="s">
        <v>214</v>
      </c>
      <c r="AV51" s="54" t="s">
        <v>174</v>
      </c>
      <c r="AW51" s="55"/>
      <c r="AX51" s="54" t="s">
        <v>175</v>
      </c>
      <c r="AY51" s="55"/>
      <c r="AZ51" s="54" t="s">
        <v>176</v>
      </c>
      <c r="BA51" s="55"/>
      <c r="BB51" s="54" t="s">
        <v>177</v>
      </c>
      <c r="BC51" s="55"/>
    </row>
    <row r="52" spans="1:63" x14ac:dyDescent="0.3">
      <c r="A52" s="22" t="str">
        <f t="shared" si="1"/>
        <v>서-9450</v>
      </c>
      <c r="B52" s="67" t="s">
        <v>68</v>
      </c>
      <c r="C52" s="67" t="s">
        <v>159</v>
      </c>
      <c r="D52" s="67" t="str">
        <f t="shared" si="2"/>
        <v>911203-1******</v>
      </c>
      <c r="E52" s="75">
        <f t="shared" si="3"/>
        <v>33575</v>
      </c>
      <c r="F52" s="67">
        <f t="shared" si="4"/>
        <v>1991</v>
      </c>
      <c r="G52" s="67">
        <f t="shared" si="5"/>
        <v>12</v>
      </c>
      <c r="H52" s="67">
        <f t="shared" si="6"/>
        <v>3</v>
      </c>
      <c r="I52" s="67">
        <f t="shared" ca="1" si="7"/>
        <v>27</v>
      </c>
      <c r="J52" s="67" t="str">
        <f t="shared" si="8"/>
        <v>남</v>
      </c>
      <c r="K52" s="71" t="s">
        <v>69</v>
      </c>
      <c r="L52" s="67" t="str">
        <f t="shared" si="9"/>
        <v>010-****-9450</v>
      </c>
      <c r="M52" s="75">
        <v>42785</v>
      </c>
      <c r="N52" s="67">
        <f t="shared" ca="1" si="10"/>
        <v>2</v>
      </c>
      <c r="O52" s="67">
        <f t="shared" ca="1" si="11"/>
        <v>9</v>
      </c>
      <c r="P52" s="67">
        <f t="shared" ca="1" si="12"/>
        <v>6</v>
      </c>
      <c r="Q52" s="75">
        <v>43482</v>
      </c>
      <c r="R52" s="81" t="str">
        <f t="shared" si="13"/>
        <v>목</v>
      </c>
      <c r="S52" s="67"/>
      <c r="T52" s="67"/>
      <c r="U52" s="67"/>
      <c r="V52" s="67"/>
      <c r="W52" s="67"/>
      <c r="X52" s="67">
        <v>69</v>
      </c>
      <c r="Y52" s="67"/>
      <c r="Z52" s="22">
        <f t="shared" si="14"/>
        <v>69</v>
      </c>
      <c r="AA52" s="22">
        <f t="shared" si="15"/>
        <v>14</v>
      </c>
      <c r="AB52" s="22">
        <f t="shared" si="16"/>
        <v>14</v>
      </c>
      <c r="AC52" s="22" t="b">
        <f t="shared" si="17"/>
        <v>0</v>
      </c>
      <c r="AD52" s="22">
        <f t="shared" si="18"/>
        <v>4</v>
      </c>
      <c r="AE52" s="77" t="str">
        <f t="shared" si="19"/>
        <v>C</v>
      </c>
      <c r="AF52" s="67" t="str">
        <f t="shared" si="20"/>
        <v>영화</v>
      </c>
      <c r="AG52" s="84" t="str">
        <f t="shared" si="21"/>
        <v>ALMOST</v>
      </c>
      <c r="AH52" s="22">
        <f ca="1">INDEX([1]혜택포인트!$B$3:$F$6,MATCH(AG52,[1]혜택포인트!$A$3:$A$6,0),MATCH(N52,[1]혜택포인트!$B$2:$F$2,1))</f>
        <v>0</v>
      </c>
      <c r="AU52" s="53"/>
      <c r="AV52" s="51" t="s">
        <v>212</v>
      </c>
      <c r="AW52" s="51" t="s">
        <v>213</v>
      </c>
      <c r="AX52" s="51" t="s">
        <v>212</v>
      </c>
      <c r="AY52" s="51" t="s">
        <v>213</v>
      </c>
      <c r="AZ52" s="51" t="s">
        <v>212</v>
      </c>
      <c r="BA52" s="51" t="s">
        <v>213</v>
      </c>
      <c r="BB52" s="51" t="s">
        <v>212</v>
      </c>
      <c r="BC52" s="51" t="s">
        <v>213</v>
      </c>
    </row>
    <row r="53" spans="1:63" x14ac:dyDescent="0.3">
      <c r="A53" s="22" t="str">
        <f t="shared" si="1"/>
        <v>민-8135</v>
      </c>
      <c r="B53" s="67" t="s">
        <v>70</v>
      </c>
      <c r="C53" s="67" t="s">
        <v>160</v>
      </c>
      <c r="D53" s="67" t="str">
        <f t="shared" si="2"/>
        <v>890917-1******</v>
      </c>
      <c r="E53" s="75">
        <f t="shared" si="3"/>
        <v>32768</v>
      </c>
      <c r="F53" s="67">
        <f t="shared" si="4"/>
        <v>1989</v>
      </c>
      <c r="G53" s="67">
        <f t="shared" si="5"/>
        <v>9</v>
      </c>
      <c r="H53" s="67">
        <f t="shared" si="6"/>
        <v>17</v>
      </c>
      <c r="I53" s="67">
        <f t="shared" ca="1" si="7"/>
        <v>30</v>
      </c>
      <c r="J53" s="67" t="str">
        <f t="shared" si="8"/>
        <v>남</v>
      </c>
      <c r="K53" s="71" t="s">
        <v>71</v>
      </c>
      <c r="L53" s="67" t="str">
        <f t="shared" si="9"/>
        <v>010-****-8135</v>
      </c>
      <c r="M53" s="75">
        <v>40325</v>
      </c>
      <c r="N53" s="67">
        <f t="shared" ca="1" si="10"/>
        <v>9</v>
      </c>
      <c r="O53" s="67">
        <f t="shared" ca="1" si="11"/>
        <v>5</v>
      </c>
      <c r="P53" s="67">
        <f t="shared" ca="1" si="12"/>
        <v>29</v>
      </c>
      <c r="Q53" s="75">
        <v>43111</v>
      </c>
      <c r="R53" s="81" t="str">
        <f t="shared" si="13"/>
        <v>목</v>
      </c>
      <c r="S53" s="67"/>
      <c r="T53" s="67"/>
      <c r="U53" s="67"/>
      <c r="V53" s="67"/>
      <c r="W53" s="67"/>
      <c r="X53" s="67"/>
      <c r="Y53" s="67"/>
      <c r="Z53" s="22">
        <f t="shared" si="14"/>
        <v>0</v>
      </c>
      <c r="AA53" s="22">
        <f t="shared" si="15"/>
        <v>33</v>
      </c>
      <c r="AB53" s="22">
        <f t="shared" si="16"/>
        <v>41.5</v>
      </c>
      <c r="AC53" s="22" t="b">
        <f t="shared" si="17"/>
        <v>0</v>
      </c>
      <c r="AD53" s="22">
        <f t="shared" si="18"/>
        <v>5</v>
      </c>
      <c r="AE53" s="77" t="str">
        <f t="shared" si="19"/>
        <v>D</v>
      </c>
      <c r="AF53" s="67" t="str">
        <f t="shared" si="20"/>
        <v>-</v>
      </c>
      <c r="AG53" s="81" t="str">
        <f t="shared" si="21"/>
        <v>TRY</v>
      </c>
      <c r="AH53" s="22">
        <f ca="1">INDEX([1]혜택포인트!$B$3:$F$6,MATCH(AG53,[1]혜택포인트!$A$3:$A$6,0),MATCH(N53,[1]혜택포인트!$B$2:$F$2,1))</f>
        <v>0</v>
      </c>
      <c r="AU53" s="51" t="s">
        <v>87</v>
      </c>
      <c r="AV53" s="51">
        <f>_xlfn.MAXIFS($Z$6:$Z$55,$AF$6:$AF$55,"="&amp;$AU53, $AG$6:$AG$55,"="&amp;$AV$51)</f>
        <v>112</v>
      </c>
      <c r="AW53" s="51">
        <f>_xlfn.MINIFS($Z$6:$Z$55,$AF$6:$AF$55,"="&amp;$AU53, $AG$6:$AG$55,"="&amp;$AV$51)</f>
        <v>112</v>
      </c>
      <c r="AX53" s="51">
        <f>_xlfn.MAXIFS($Z$6:$Z$55,$AF$6:$AF$55,"="&amp;$AU53, $AG$6:$AG$55,"="&amp;$AX$51)</f>
        <v>100</v>
      </c>
      <c r="AY53" s="51">
        <f>_xlfn.MINIFS($Z$6:$Z$55,$AF$6:$AF$55,"="&amp;$AU53, $AG$6:$AG$55,"="&amp;$AX$51)</f>
        <v>100</v>
      </c>
      <c r="AZ53" s="51">
        <f>_xlfn.MAXIFS($Z$6:$Z$55,$AF$6:$AF$55,"="&amp;$AU53, $AG$6:$AG$55,"="&amp;$AZ$51)</f>
        <v>65</v>
      </c>
      <c r="BA53" s="51">
        <f>_xlfn.MINIFS($Z$6:$Z$55,$AF$6:$AF$55,"="&amp;$AU53, $AG$6:$AG$55,"="&amp;$AZ$51)</f>
        <v>52</v>
      </c>
      <c r="BB53" s="51">
        <f>_xlfn.MAXIFS($Z$6:$Z$55,$AF$6:$AF$55,"="&amp;$AU53, $AG$6:$AG$55,"="&amp;$BB$51)</f>
        <v>47</v>
      </c>
      <c r="BC53" s="51">
        <f>_xlfn.MINIFS($Z$6:$Z$55,$AF$6:$AF$55,"="&amp;$AU53, $AG$6:$AG$55,"="&amp;$BB$51)</f>
        <v>47</v>
      </c>
    </row>
    <row r="54" spans="1:63" x14ac:dyDescent="0.3">
      <c r="A54" s="22" t="str">
        <f t="shared" si="1"/>
        <v>지-1352</v>
      </c>
      <c r="B54" s="67" t="s">
        <v>72</v>
      </c>
      <c r="C54" s="67" t="s">
        <v>161</v>
      </c>
      <c r="D54" s="67" t="str">
        <f t="shared" si="2"/>
        <v>710615-2******</v>
      </c>
      <c r="E54" s="75">
        <f t="shared" si="3"/>
        <v>26099</v>
      </c>
      <c r="F54" s="67">
        <f t="shared" si="4"/>
        <v>1971</v>
      </c>
      <c r="G54" s="67">
        <f t="shared" si="5"/>
        <v>6</v>
      </c>
      <c r="H54" s="67">
        <f t="shared" si="6"/>
        <v>15</v>
      </c>
      <c r="I54" s="67">
        <f t="shared" ca="1" si="7"/>
        <v>48</v>
      </c>
      <c r="J54" s="67" t="str">
        <f t="shared" si="8"/>
        <v>여</v>
      </c>
      <c r="K54" s="71" t="s">
        <v>73</v>
      </c>
      <c r="L54" s="67" t="str">
        <f t="shared" si="9"/>
        <v>010-****-1352</v>
      </c>
      <c r="M54" s="75">
        <v>38368</v>
      </c>
      <c r="N54" s="67">
        <f t="shared" ca="1" si="10"/>
        <v>14</v>
      </c>
      <c r="O54" s="67">
        <f t="shared" ca="1" si="11"/>
        <v>10</v>
      </c>
      <c r="P54" s="67">
        <f t="shared" ca="1" si="12"/>
        <v>9</v>
      </c>
      <c r="Q54" s="75">
        <v>41718</v>
      </c>
      <c r="R54" s="81" t="str">
        <f t="shared" si="13"/>
        <v>목</v>
      </c>
      <c r="S54" s="67"/>
      <c r="T54" s="67"/>
      <c r="U54" s="67"/>
      <c r="V54" s="67"/>
      <c r="W54" s="67"/>
      <c r="X54" s="67"/>
      <c r="Y54" s="67"/>
      <c r="Z54" s="22">
        <f t="shared" si="14"/>
        <v>0</v>
      </c>
      <c r="AA54" s="22">
        <f t="shared" si="15"/>
        <v>33</v>
      </c>
      <c r="AB54" s="22">
        <f t="shared" si="16"/>
        <v>41.5</v>
      </c>
      <c r="AC54" s="22" t="b">
        <f t="shared" si="17"/>
        <v>0</v>
      </c>
      <c r="AD54" s="22">
        <f t="shared" si="18"/>
        <v>5</v>
      </c>
      <c r="AE54" s="77" t="str">
        <f t="shared" si="19"/>
        <v>D</v>
      </c>
      <c r="AF54" s="67" t="str">
        <f t="shared" si="20"/>
        <v>-</v>
      </c>
      <c r="AG54" s="81" t="str">
        <f t="shared" si="21"/>
        <v>TRY</v>
      </c>
      <c r="AH54" s="22">
        <f ca="1">INDEX([1]혜택포인트!$B$3:$F$6,MATCH(AG54,[1]혜택포인트!$A$3:$A$6,0),MATCH(N54,[1]혜택포인트!$B$2:$F$2,1))</f>
        <v>0.03</v>
      </c>
      <c r="AU54" s="51" t="s">
        <v>88</v>
      </c>
      <c r="AV54" s="51">
        <f t="shared" ref="AV54:AV59" si="60">_xlfn.MAXIFS($Z$6:$Z$55,$AF$6:$AF$55,"="&amp;$AU54, $AG$6:$AG$55,"="&amp;$AV$51)</f>
        <v>0</v>
      </c>
      <c r="AW54" s="51">
        <f t="shared" ref="AW54:AW59" si="61">_xlfn.MINIFS($Z$6:$Z$55,$AF$6:$AF$55,"="&amp;$AU54, $AG$6:$AG$55,"="&amp;$AV$51)</f>
        <v>0</v>
      </c>
      <c r="AX54" s="51">
        <f t="shared" ref="AX54:AX59" si="62">_xlfn.MAXIFS($Z$6:$Z$55,$AF$6:$AF$55,"="&amp;$AU54, $AG$6:$AG$55,"="&amp;$AX$51)</f>
        <v>129</v>
      </c>
      <c r="AY54" s="51">
        <f t="shared" ref="AY54:AY59" si="63">_xlfn.MINIFS($Z$6:$Z$55,$AF$6:$AF$55,"="&amp;$AU54, $AG$6:$AG$55,"="&amp;$AX$51)</f>
        <v>129</v>
      </c>
      <c r="AZ54" s="51">
        <f t="shared" ref="AZ54:AZ59" si="64">_xlfn.MAXIFS($Z$6:$Z$55,$AF$6:$AF$55,"="&amp;$AU54, $AG$6:$AG$55,"="&amp;$AZ$51)</f>
        <v>92</v>
      </c>
      <c r="BA54" s="51">
        <f t="shared" ref="BA54:BA59" si="65">_xlfn.MINIFS($Z$6:$Z$55,$AF$6:$AF$55,"="&amp;$AU54, $AG$6:$AG$55,"="&amp;$AZ$51)</f>
        <v>67</v>
      </c>
      <c r="BB54" s="51">
        <f t="shared" ref="BB54:BB59" si="66">_xlfn.MAXIFS($Z$6:$Z$55,$AF$6:$AF$55,"="&amp;$AU54, $AG$6:$AG$55,"="&amp;$BB$51)</f>
        <v>45</v>
      </c>
      <c r="BC54" s="51">
        <f t="shared" ref="BC54:BC59" si="67">_xlfn.MINIFS($Z$6:$Z$55,$AF$6:$AF$55,"="&amp;$AU54, $AG$6:$AG$55,"="&amp;$BB$51)</f>
        <v>8</v>
      </c>
    </row>
    <row r="55" spans="1:63" x14ac:dyDescent="0.3">
      <c r="A55" s="22" t="str">
        <f t="shared" si="1"/>
        <v>동-7248</v>
      </c>
      <c r="B55" s="67" t="s">
        <v>74</v>
      </c>
      <c r="C55" s="67" t="s">
        <v>162</v>
      </c>
      <c r="D55" s="67" t="str">
        <f t="shared" si="2"/>
        <v>830321-1******</v>
      </c>
      <c r="E55" s="75">
        <f t="shared" si="3"/>
        <v>30396</v>
      </c>
      <c r="F55" s="67">
        <f t="shared" si="4"/>
        <v>1983</v>
      </c>
      <c r="G55" s="67">
        <f t="shared" si="5"/>
        <v>3</v>
      </c>
      <c r="H55" s="67">
        <f t="shared" si="6"/>
        <v>21</v>
      </c>
      <c r="I55" s="67">
        <f t="shared" ca="1" si="7"/>
        <v>36</v>
      </c>
      <c r="J55" s="67" t="str">
        <f t="shared" si="8"/>
        <v>남</v>
      </c>
      <c r="K55" s="71" t="s">
        <v>75</v>
      </c>
      <c r="L55" s="67" t="str">
        <f t="shared" si="9"/>
        <v>010-****-7248</v>
      </c>
      <c r="M55" s="75">
        <v>43464</v>
      </c>
      <c r="N55" s="67">
        <f t="shared" ca="1" si="10"/>
        <v>0</v>
      </c>
      <c r="O55" s="67">
        <f t="shared" ca="1" si="11"/>
        <v>10</v>
      </c>
      <c r="P55" s="67">
        <f t="shared" ca="1" si="12"/>
        <v>26</v>
      </c>
      <c r="Q55" s="75">
        <v>43697</v>
      </c>
      <c r="R55" s="83" t="str">
        <f t="shared" si="13"/>
        <v>화</v>
      </c>
      <c r="S55" s="67"/>
      <c r="T55" s="67"/>
      <c r="U55" s="67"/>
      <c r="V55" s="67"/>
      <c r="W55" s="67">
        <v>89</v>
      </c>
      <c r="X55" s="67"/>
      <c r="Y55" s="67">
        <v>47</v>
      </c>
      <c r="Z55" s="22">
        <f t="shared" si="14"/>
        <v>136</v>
      </c>
      <c r="AA55" s="22">
        <f t="shared" si="15"/>
        <v>4</v>
      </c>
      <c r="AB55" s="22">
        <f t="shared" si="16"/>
        <v>4</v>
      </c>
      <c r="AC55" s="22" t="b">
        <f t="shared" si="17"/>
        <v>1</v>
      </c>
      <c r="AD55" s="22">
        <f t="shared" si="18"/>
        <v>3</v>
      </c>
      <c r="AE55" s="77" t="str">
        <f t="shared" si="19"/>
        <v>D</v>
      </c>
      <c r="AF55" s="67" t="str">
        <f t="shared" si="20"/>
        <v>뮤지컬</v>
      </c>
      <c r="AG55" s="78" t="str">
        <f t="shared" si="21"/>
        <v>MANIA</v>
      </c>
      <c r="AH55" s="22">
        <f ca="1">INDEX([1]혜택포인트!$B$3:$F$6,MATCH(AG55,[1]혜택포인트!$A$3:$A$6,0),MATCH(N55,[1]혜택포인트!$B$2:$F$2,1))</f>
        <v>0.2</v>
      </c>
      <c r="AU55" s="51" t="s">
        <v>89</v>
      </c>
      <c r="AV55" s="51">
        <f t="shared" si="60"/>
        <v>0</v>
      </c>
      <c r="AW55" s="51">
        <f t="shared" si="61"/>
        <v>0</v>
      </c>
      <c r="AX55" s="51">
        <f t="shared" si="62"/>
        <v>0</v>
      </c>
      <c r="AY55" s="51">
        <f t="shared" si="63"/>
        <v>0</v>
      </c>
      <c r="AZ55" s="51">
        <f t="shared" si="64"/>
        <v>0</v>
      </c>
      <c r="BA55" s="51">
        <f t="shared" si="65"/>
        <v>0</v>
      </c>
      <c r="BB55" s="51">
        <f t="shared" si="66"/>
        <v>0</v>
      </c>
      <c r="BC55" s="51">
        <f t="shared" si="67"/>
        <v>0</v>
      </c>
    </row>
    <row r="56" spans="1:63" x14ac:dyDescent="0.3">
      <c r="A56" s="93" t="s">
        <v>221</v>
      </c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5"/>
      <c r="R56" s="96"/>
      <c r="S56" s="22">
        <f>SUM(S6:S55)</f>
        <v>406</v>
      </c>
      <c r="T56" s="22">
        <f t="shared" ref="T56:Z56" si="68">SUM(T6:T55)</f>
        <v>428</v>
      </c>
      <c r="U56" s="22">
        <f t="shared" si="68"/>
        <v>107</v>
      </c>
      <c r="V56" s="22">
        <f t="shared" si="68"/>
        <v>115</v>
      </c>
      <c r="W56" s="22">
        <f t="shared" si="68"/>
        <v>248</v>
      </c>
      <c r="X56" s="22">
        <f t="shared" si="68"/>
        <v>842</v>
      </c>
      <c r="Y56" s="77">
        <f t="shared" si="68"/>
        <v>219</v>
      </c>
      <c r="Z56" s="77">
        <f t="shared" si="68"/>
        <v>2365</v>
      </c>
      <c r="AA56" s="22"/>
      <c r="AB56" s="22"/>
      <c r="AC56" s="22"/>
      <c r="AD56" s="22"/>
      <c r="AE56" s="22"/>
      <c r="AF56" s="97"/>
      <c r="AU56" s="51" t="s">
        <v>90</v>
      </c>
      <c r="AV56" s="51">
        <f t="shared" si="60"/>
        <v>0</v>
      </c>
      <c r="AW56" s="51">
        <f t="shared" si="61"/>
        <v>0</v>
      </c>
      <c r="AX56" s="51">
        <f t="shared" si="62"/>
        <v>100</v>
      </c>
      <c r="AY56" s="51">
        <f t="shared" si="63"/>
        <v>100</v>
      </c>
      <c r="AZ56" s="51">
        <f t="shared" si="64"/>
        <v>0</v>
      </c>
      <c r="BA56" s="51">
        <f t="shared" si="65"/>
        <v>0</v>
      </c>
      <c r="BB56" s="51">
        <f t="shared" si="66"/>
        <v>31</v>
      </c>
      <c r="BC56" s="51">
        <f t="shared" si="67"/>
        <v>31</v>
      </c>
    </row>
    <row r="57" spans="1:63" x14ac:dyDescent="0.3">
      <c r="A57" s="93" t="s">
        <v>79</v>
      </c>
      <c r="B57" s="94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5"/>
      <c r="R57" s="96"/>
      <c r="S57" s="22">
        <f>AVERAGE(S6:S55)</f>
        <v>29</v>
      </c>
      <c r="T57" s="22">
        <f t="shared" ref="T57:Z57" si="69">AVERAGE(T6:T55)</f>
        <v>23.777777777777779</v>
      </c>
      <c r="U57" s="22">
        <f t="shared" si="69"/>
        <v>17.833333333333332</v>
      </c>
      <c r="V57" s="22">
        <f t="shared" si="69"/>
        <v>12.777777777777779</v>
      </c>
      <c r="W57" s="22">
        <f t="shared" si="69"/>
        <v>24.8</v>
      </c>
      <c r="X57" s="22">
        <f t="shared" si="69"/>
        <v>46.777777777777779</v>
      </c>
      <c r="Y57" s="77">
        <f t="shared" si="69"/>
        <v>16.846153846153847</v>
      </c>
      <c r="Z57" s="77">
        <f t="shared" si="69"/>
        <v>47.3</v>
      </c>
      <c r="AA57" s="22"/>
      <c r="AB57" s="22"/>
      <c r="AC57" s="22"/>
      <c r="AD57" s="22"/>
      <c r="AE57" s="22"/>
      <c r="AF57" s="98"/>
      <c r="AU57" s="51" t="s">
        <v>91</v>
      </c>
      <c r="AV57" s="51">
        <f t="shared" si="60"/>
        <v>194</v>
      </c>
      <c r="AW57" s="51">
        <f t="shared" si="61"/>
        <v>136</v>
      </c>
      <c r="AX57" s="51">
        <f t="shared" si="62"/>
        <v>0</v>
      </c>
      <c r="AY57" s="51">
        <f t="shared" si="63"/>
        <v>0</v>
      </c>
      <c r="AZ57" s="51">
        <f t="shared" si="64"/>
        <v>0</v>
      </c>
      <c r="BA57" s="51">
        <f t="shared" si="65"/>
        <v>0</v>
      </c>
      <c r="BB57" s="51">
        <f t="shared" si="66"/>
        <v>23</v>
      </c>
      <c r="BC57" s="51">
        <f t="shared" si="67"/>
        <v>3</v>
      </c>
    </row>
    <row r="58" spans="1:63" x14ac:dyDescent="0.3">
      <c r="A58" s="93" t="s">
        <v>222</v>
      </c>
      <c r="B58" s="94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5"/>
      <c r="R58" s="96"/>
      <c r="S58" s="22">
        <f>ROUND(S57,2)</f>
        <v>29</v>
      </c>
      <c r="T58" s="22">
        <f t="shared" ref="T58:Z58" si="70">ROUND(T57,2)</f>
        <v>23.78</v>
      </c>
      <c r="U58" s="22">
        <f t="shared" si="70"/>
        <v>17.829999999999998</v>
      </c>
      <c r="V58" s="22">
        <f t="shared" si="70"/>
        <v>12.78</v>
      </c>
      <c r="W58" s="22">
        <f t="shared" si="70"/>
        <v>24.8</v>
      </c>
      <c r="X58" s="22">
        <f t="shared" si="70"/>
        <v>46.78</v>
      </c>
      <c r="Y58" s="22">
        <f t="shared" si="70"/>
        <v>16.850000000000001</v>
      </c>
      <c r="Z58" s="22">
        <f t="shared" si="70"/>
        <v>47.3</v>
      </c>
      <c r="AA58" s="22"/>
      <c r="AB58" s="22"/>
      <c r="AC58" s="22"/>
      <c r="AD58" s="22"/>
      <c r="AE58" s="22"/>
      <c r="AF58" s="98"/>
      <c r="AU58" s="51" t="s">
        <v>92</v>
      </c>
      <c r="AV58" s="51">
        <f t="shared" si="60"/>
        <v>166</v>
      </c>
      <c r="AW58" s="51">
        <f t="shared" si="61"/>
        <v>104</v>
      </c>
      <c r="AX58" s="51">
        <f t="shared" si="62"/>
        <v>0</v>
      </c>
      <c r="AY58" s="51">
        <f t="shared" si="63"/>
        <v>0</v>
      </c>
      <c r="AZ58" s="51">
        <f t="shared" si="64"/>
        <v>69</v>
      </c>
      <c r="BA58" s="51">
        <f t="shared" si="65"/>
        <v>53</v>
      </c>
      <c r="BB58" s="51">
        <f t="shared" si="66"/>
        <v>32</v>
      </c>
      <c r="BC58" s="51">
        <f t="shared" si="67"/>
        <v>12</v>
      </c>
    </row>
    <row r="59" spans="1:63" x14ac:dyDescent="0.3">
      <c r="A59" s="93" t="s">
        <v>223</v>
      </c>
      <c r="B59" s="94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5"/>
      <c r="R59" s="96"/>
      <c r="S59" s="22">
        <f>ROUNDUP(S57,2)</f>
        <v>29</v>
      </c>
      <c r="T59" s="22">
        <f t="shared" ref="T59:Z59" si="71">ROUNDUP(T57,2)</f>
        <v>23.78</v>
      </c>
      <c r="U59" s="22">
        <f t="shared" si="71"/>
        <v>17.84</v>
      </c>
      <c r="V59" s="22">
        <f t="shared" si="71"/>
        <v>12.78</v>
      </c>
      <c r="W59" s="22">
        <f t="shared" si="71"/>
        <v>24.8</v>
      </c>
      <c r="X59" s="22">
        <f t="shared" si="71"/>
        <v>46.78</v>
      </c>
      <c r="Y59" s="22">
        <f t="shared" si="71"/>
        <v>16.850000000000001</v>
      </c>
      <c r="Z59" s="22">
        <f t="shared" si="71"/>
        <v>47.3</v>
      </c>
      <c r="AA59" s="22"/>
      <c r="AB59" s="22"/>
      <c r="AC59" s="22"/>
      <c r="AD59" s="22"/>
      <c r="AE59" s="22"/>
      <c r="AF59" s="98"/>
      <c r="AU59" s="51" t="s">
        <v>93</v>
      </c>
      <c r="AV59" s="51">
        <f t="shared" si="60"/>
        <v>202</v>
      </c>
      <c r="AW59" s="51">
        <f t="shared" si="61"/>
        <v>202</v>
      </c>
      <c r="AX59" s="51">
        <f t="shared" si="62"/>
        <v>0</v>
      </c>
      <c r="AY59" s="51">
        <f t="shared" si="63"/>
        <v>0</v>
      </c>
      <c r="AZ59" s="51">
        <f t="shared" si="64"/>
        <v>0</v>
      </c>
      <c r="BA59" s="51">
        <f t="shared" si="65"/>
        <v>0</v>
      </c>
      <c r="BB59" s="51">
        <f t="shared" si="66"/>
        <v>28</v>
      </c>
      <c r="BC59" s="51">
        <f t="shared" si="67"/>
        <v>5</v>
      </c>
    </row>
    <row r="60" spans="1:63" x14ac:dyDescent="0.3">
      <c r="A60" s="93" t="s">
        <v>224</v>
      </c>
      <c r="B60" s="94"/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5"/>
      <c r="R60" s="96"/>
      <c r="S60" s="22">
        <f>ROUNDDOWN(S57,2)</f>
        <v>29</v>
      </c>
      <c r="T60" s="22">
        <f t="shared" ref="T60:Z60" si="72">ROUNDDOWN(T57,2)</f>
        <v>23.77</v>
      </c>
      <c r="U60" s="22">
        <f t="shared" si="72"/>
        <v>17.829999999999998</v>
      </c>
      <c r="V60" s="22">
        <f t="shared" si="72"/>
        <v>12.77</v>
      </c>
      <c r="W60" s="22">
        <f t="shared" si="72"/>
        <v>24.8</v>
      </c>
      <c r="X60" s="22">
        <f t="shared" si="72"/>
        <v>46.77</v>
      </c>
      <c r="Y60" s="22">
        <f t="shared" si="72"/>
        <v>16.84</v>
      </c>
      <c r="Z60" s="22">
        <f t="shared" si="72"/>
        <v>47.3</v>
      </c>
      <c r="AA60" s="22"/>
      <c r="AB60" s="22"/>
      <c r="AC60" s="22"/>
      <c r="AD60" s="22"/>
      <c r="AE60" s="22"/>
      <c r="AF60" s="99"/>
    </row>
    <row r="61" spans="1:63" x14ac:dyDescent="0.3">
      <c r="A61" s="93" t="s">
        <v>225</v>
      </c>
      <c r="B61" s="94"/>
      <c r="C61" s="94"/>
      <c r="D61" s="94"/>
      <c r="E61" s="95"/>
      <c r="F61" s="96"/>
      <c r="G61" s="96"/>
      <c r="H61" s="96"/>
      <c r="I61" s="96"/>
      <c r="J61" s="22">
        <f>COUNTA(J6:J55)</f>
        <v>50</v>
      </c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5"/>
      <c r="AU61" s="52" t="s">
        <v>226</v>
      </c>
      <c r="AV61" s="100">
        <v>20</v>
      </c>
      <c r="AW61" s="100"/>
      <c r="AX61" s="100"/>
      <c r="AY61" s="100"/>
      <c r="AZ61" s="54">
        <v>30</v>
      </c>
      <c r="BA61" s="56"/>
      <c r="BB61" s="56"/>
      <c r="BC61" s="55"/>
      <c r="BD61" s="54">
        <v>40</v>
      </c>
      <c r="BE61" s="56"/>
      <c r="BF61" s="56"/>
      <c r="BG61" s="55"/>
      <c r="BH61" s="54">
        <v>50</v>
      </c>
      <c r="BI61" s="56"/>
      <c r="BJ61" s="56"/>
      <c r="BK61" s="55"/>
    </row>
    <row r="62" spans="1:63" x14ac:dyDescent="0.3">
      <c r="A62" s="79" t="s">
        <v>227</v>
      </c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22"/>
      <c r="S62" s="22">
        <f>COUNT(S6:S55)</f>
        <v>14</v>
      </c>
      <c r="T62" s="22">
        <f t="shared" ref="T62:Y62" si="73">COUNT(T6:T55)</f>
        <v>18</v>
      </c>
      <c r="U62" s="22">
        <f t="shared" si="73"/>
        <v>6</v>
      </c>
      <c r="V62" s="22">
        <f t="shared" si="73"/>
        <v>9</v>
      </c>
      <c r="W62" s="22">
        <f t="shared" si="73"/>
        <v>10</v>
      </c>
      <c r="X62" s="22">
        <f t="shared" si="73"/>
        <v>18</v>
      </c>
      <c r="Y62" s="22">
        <f t="shared" si="73"/>
        <v>13</v>
      </c>
      <c r="Z62" s="101"/>
      <c r="AA62" s="102"/>
      <c r="AB62" s="102"/>
      <c r="AC62" s="102"/>
      <c r="AD62" s="102"/>
      <c r="AE62" s="102"/>
      <c r="AF62" s="103"/>
      <c r="AU62" s="57"/>
      <c r="AV62" s="100" t="s">
        <v>97</v>
      </c>
      <c r="AW62" s="100"/>
      <c r="AX62" s="100" t="s">
        <v>98</v>
      </c>
      <c r="AY62" s="100"/>
      <c r="AZ62" s="54" t="s">
        <v>97</v>
      </c>
      <c r="BA62" s="55"/>
      <c r="BB62" s="54" t="s">
        <v>98</v>
      </c>
      <c r="BC62" s="55"/>
      <c r="BD62" s="54" t="s">
        <v>97</v>
      </c>
      <c r="BE62" s="55"/>
      <c r="BF62" s="54" t="s">
        <v>98</v>
      </c>
      <c r="BG62" s="55"/>
      <c r="BH62" s="54" t="s">
        <v>97</v>
      </c>
      <c r="BI62" s="55"/>
      <c r="BJ62" s="54" t="s">
        <v>98</v>
      </c>
      <c r="BK62" s="55"/>
    </row>
    <row r="63" spans="1:63" x14ac:dyDescent="0.3">
      <c r="A63" s="79" t="s">
        <v>228</v>
      </c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22"/>
      <c r="S63" s="22">
        <f>COUNTBLANK(S6:S55)</f>
        <v>36</v>
      </c>
      <c r="T63" s="22">
        <f t="shared" ref="T63:Y63" si="74">COUNTBLANK(T6:T55)</f>
        <v>32</v>
      </c>
      <c r="U63" s="22">
        <f t="shared" si="74"/>
        <v>44</v>
      </c>
      <c r="V63" s="22">
        <f t="shared" si="74"/>
        <v>41</v>
      </c>
      <c r="W63" s="22">
        <f t="shared" si="74"/>
        <v>40</v>
      </c>
      <c r="X63" s="22">
        <f t="shared" si="74"/>
        <v>32</v>
      </c>
      <c r="Y63" s="22">
        <f t="shared" si="74"/>
        <v>37</v>
      </c>
      <c r="Z63" s="104"/>
      <c r="AA63" s="105"/>
      <c r="AB63" s="105"/>
      <c r="AC63" s="105"/>
      <c r="AD63" s="105"/>
      <c r="AE63" s="105"/>
      <c r="AF63" s="106"/>
      <c r="AU63" s="53"/>
      <c r="AV63" s="51" t="s">
        <v>212</v>
      </c>
      <c r="AW63" s="51" t="s">
        <v>213</v>
      </c>
      <c r="AX63" s="51" t="s">
        <v>212</v>
      </c>
      <c r="AY63" s="51" t="s">
        <v>213</v>
      </c>
      <c r="AZ63" s="51" t="s">
        <v>212</v>
      </c>
      <c r="BA63" s="51" t="s">
        <v>213</v>
      </c>
      <c r="BB63" s="51" t="s">
        <v>212</v>
      </c>
      <c r="BC63" s="51" t="s">
        <v>213</v>
      </c>
      <c r="BD63" s="51" t="s">
        <v>212</v>
      </c>
      <c r="BE63" s="51" t="s">
        <v>213</v>
      </c>
      <c r="BF63" s="51" t="s">
        <v>212</v>
      </c>
      <c r="BG63" s="51" t="s">
        <v>213</v>
      </c>
      <c r="BH63" s="51" t="s">
        <v>212</v>
      </c>
      <c r="BI63" s="51" t="s">
        <v>213</v>
      </c>
      <c r="BJ63" s="51" t="s">
        <v>212</v>
      </c>
      <c r="BK63" s="51" t="s">
        <v>213</v>
      </c>
    </row>
    <row r="64" spans="1:63" x14ac:dyDescent="0.3">
      <c r="A64" s="79" t="s">
        <v>229</v>
      </c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22"/>
      <c r="S64" s="22">
        <f>MAX(S6:S55)</f>
        <v>71</v>
      </c>
      <c r="T64" s="22">
        <f t="shared" ref="T64:Y64" si="75">MAX(T6:T55)</f>
        <v>91</v>
      </c>
      <c r="U64" s="22">
        <f t="shared" si="75"/>
        <v>42</v>
      </c>
      <c r="V64" s="22">
        <f t="shared" si="75"/>
        <v>40</v>
      </c>
      <c r="W64" s="22">
        <f t="shared" si="75"/>
        <v>89</v>
      </c>
      <c r="X64" s="22">
        <f t="shared" si="75"/>
        <v>163</v>
      </c>
      <c r="Y64" s="22">
        <f t="shared" si="75"/>
        <v>79</v>
      </c>
      <c r="Z64" s="104"/>
      <c r="AA64" s="105"/>
      <c r="AB64" s="105"/>
      <c r="AC64" s="105"/>
      <c r="AD64" s="105"/>
      <c r="AE64" s="105"/>
      <c r="AF64" s="106"/>
      <c r="AU64" s="51" t="s">
        <v>174</v>
      </c>
      <c r="AV64" s="51">
        <f ca="1">_xlfn.MAXIFS($AH$6:$AH$55,$AG$6:$AG$55,"="&amp;$AU64,$J$6:$J$55,"="&amp;$AV$62,$I$6:$I$55,"&gt;="&amp;$AV$61,$I$6:$I$55,"&lt;"&amp;$AZ$61)</f>
        <v>0</v>
      </c>
      <c r="AW64" s="51">
        <f ca="1">_xlfn.MINIFS($AH$6:$AH$55,$AG$6:$AG$55,"="&amp;$AU64,$J$6:$J$55,"="&amp;$AV$62,$I$6:$I$55,"&gt;="&amp;$AV$61,$I$6:$I$55,"&lt;"&amp;$AZ$61)</f>
        <v>0</v>
      </c>
      <c r="AX64" s="51">
        <f ca="1">_xlfn.MAXIFS($AH$6:$AH$55,$AG$6:$AG$55,"="&amp;$AU64,$J$6:$J$55,"="&amp;$AX$62,$I$6:$I$55,"&gt;="&amp;$AV$61,$I$6:$I$55,"&lt;"&amp;$AZ$61)</f>
        <v>0.25</v>
      </c>
      <c r="AY64" s="51">
        <f ca="1">_xlfn.MINIFS($AH$6:$AH$55,$AG$6:$AG$55,"="&amp;$AU64,$J$6:$J$55,"="&amp;$AX$62,$I$6:$I$55,"&gt;="&amp;$AV$61,$I$6:$I$55,"&lt;"&amp;$AZ$61)</f>
        <v>0.25</v>
      </c>
      <c r="AZ64" s="51">
        <f ca="1">_xlfn.MAXIFS($AH$6:$AH$55,$AG$6:$AG$55,"="&amp;$AU64,$J$6:$J$55,"="&amp;$AZ$62,$I$6:$I$55,"&gt;="&amp;$AZ$61,$I$6:$I$55,"&lt;"&amp;$BD$61)</f>
        <v>0.25</v>
      </c>
      <c r="BA64" s="51">
        <f ca="1">_xlfn.MINIFS($AH$6:$AH$55,$AG$6:$AG$55,"="&amp;$AU64,$J$6:$J$55,"="&amp;$AZ$62,$I$6:$I$55,"&gt;="&amp;$AZ$61,$I$6:$I$55,"&lt;"&amp;$BD$61)</f>
        <v>0.2</v>
      </c>
      <c r="BB64" s="51">
        <f ca="1">_xlfn.MAXIFS($AH$6:$AH$55,$AG$6:$AG$55,"="&amp;$AU64,$J$6:$J$55,"="&amp;$BB$62,$I$6:$I$55,"&gt;="&amp;$AZ$61,$I$6:$I$55,"&lt;"&amp;$BD$61)</f>
        <v>0.2</v>
      </c>
      <c r="BC64" s="51">
        <f ca="1">_xlfn.MINIFS($AH$6:$AH$55,$AG$6:$AG$55,"="&amp;$AU64,$J$6:$J$55,"="&amp;$BB$62,$I$6:$I$55,"&gt;="&amp;$AZ$61,$I$6:$I$55,"&lt;"&amp;$BD$61)</f>
        <v>0.2</v>
      </c>
      <c r="BD64" s="51">
        <f ca="1">_xlfn.MAXIFS($AH$6:$AH$55,$AG$6:$AG$55,"="&amp;$AU64,$J$6:$J$55,"="&amp;$BD$62,$I$6:$I$55,"&gt;="&amp;$BD$61,$I$6:$I$55,"&lt;"&amp;$BH$61)</f>
        <v>0.35</v>
      </c>
      <c r="BE64" s="51">
        <f ca="1">_xlfn.MINIFS($AH$6:$AH$55,$AG$6:$AG$55,"="&amp;$AU64,$J$6:$J$55,"="&amp;$BD$62,$I$6:$I$55,"&gt;="&amp;$BD$61,$I$6:$I$55,"&lt;"&amp;$BH$61)</f>
        <v>0.2</v>
      </c>
      <c r="BF64" s="51">
        <f ca="1">_xlfn.MAXIFS($AH$6:$AH$55,$AG$6:$AG$55,"="&amp;$AU64,$J$6:$J$55,"="&amp;$BF$62,$I$6:$I$55,"&gt;="&amp;$BD$61,$I$6:$I$55,"&lt;"&amp;$BH$61)</f>
        <v>0.35</v>
      </c>
      <c r="BG64" s="51">
        <f ca="1">_xlfn.MINIFS($AH$6:$AH$55,$AG$6:$AG$55,"="&amp;$AU64,$J$6:$J$55,"="&amp;$BF$62,$I$6:$I$55,"&gt;="&amp;$BD$61,$I$6:$I$55,"&lt;"&amp;$BH$61)</f>
        <v>0.35</v>
      </c>
      <c r="BH64" s="51">
        <f ca="1">_xlfn.MAXIFS($AH$6:$AH$55,$AG$6:$AG$55,"="&amp;$AU64,$J$6:$J$55,"="&amp;$BH$62,$I$6:$I$55,"&gt;="&amp;$BH$61)</f>
        <v>0</v>
      </c>
      <c r="BI64" s="51">
        <f ca="1">_xlfn.MINIFS($AH$6:$AH$55,$AG$6:$AG$55,"="&amp;$AU64,$J$6:$J$55,"="&amp;$BH$62,$I$6:$I$55,"&gt;="&amp;$BH$61)</f>
        <v>0</v>
      </c>
      <c r="BJ64" s="51">
        <f ca="1">_xlfn.MAXIFS($AH$6:$AH$55,$AG$6:$AG$55,"="&amp;$AU64,$J$6:$J$55,"="&amp;$BJ$62,$I$6:$I$55,"&gt;="&amp;$BH$61)</f>
        <v>0</v>
      </c>
      <c r="BK64" s="51">
        <f ca="1">_xlfn.MINIFS($AH$6:$AH$55,$AG$6:$AG$55,"="&amp;$AU64,$J$6:$J$55,"="&amp;$BJ$62,$I$6:$I$55,"&gt;="&amp;$BH$61)</f>
        <v>0</v>
      </c>
    </row>
    <row r="65" spans="1:63" x14ac:dyDescent="0.3">
      <c r="A65" s="79" t="s">
        <v>230</v>
      </c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22"/>
      <c r="S65" s="22">
        <f>MIN(S6:S55)</f>
        <v>1</v>
      </c>
      <c r="T65" s="22">
        <f t="shared" ref="T65:Y65" si="76">MIN(T6:T55)</f>
        <v>1</v>
      </c>
      <c r="U65" s="22">
        <f t="shared" si="76"/>
        <v>1</v>
      </c>
      <c r="V65" s="22">
        <f t="shared" si="76"/>
        <v>1</v>
      </c>
      <c r="W65" s="22">
        <f t="shared" si="76"/>
        <v>1</v>
      </c>
      <c r="X65" s="22">
        <f t="shared" si="76"/>
        <v>1</v>
      </c>
      <c r="Y65" s="22">
        <f t="shared" si="76"/>
        <v>1</v>
      </c>
      <c r="Z65" s="104"/>
      <c r="AA65" s="105"/>
      <c r="AB65" s="105"/>
      <c r="AC65" s="105"/>
      <c r="AD65" s="105"/>
      <c r="AE65" s="105"/>
      <c r="AF65" s="106"/>
      <c r="AU65" s="51" t="s">
        <v>175</v>
      </c>
      <c r="AV65" s="51">
        <f t="shared" ref="AV65:AV67" ca="1" si="77">_xlfn.MAXIFS($AH$6:$AH$55,$AG$6:$AG$55,"="&amp;$AU65,$J$6:$J$55,"="&amp;$AV$62,$I$6:$I$55,"&gt;="&amp;$AV$61,$I$6:$I$55,"&lt;"&amp;$AZ$61)</f>
        <v>0</v>
      </c>
      <c r="AW65" s="51">
        <f t="shared" ref="AW65:AW67" ca="1" si="78">_xlfn.MINIFS($AH$6:$AH$55,$AG$6:$AG$55,"="&amp;$AU65,$J$6:$J$55,"="&amp;$AV$62,$I$6:$I$55,"&gt;="&amp;$AV$61,$I$6:$I$55,"&lt;"&amp;$AZ$61)</f>
        <v>0</v>
      </c>
      <c r="AX65" s="51">
        <f t="shared" ref="AX65:AX67" ca="1" si="79">_xlfn.MAXIFS($AH$6:$AH$55,$AG$6:$AG$55,"="&amp;$AU65,$J$6:$J$55,"="&amp;$AX$62,$I$6:$I$55,"&gt;="&amp;$AV$61,$I$6:$I$55,"&lt;"&amp;$AZ$61)</f>
        <v>0</v>
      </c>
      <c r="AY65" s="51">
        <f t="shared" ref="AY65:AY67" ca="1" si="80">_xlfn.MINIFS($AH$6:$AH$55,$AG$6:$AG$55,"="&amp;$AU65,$J$6:$J$55,"="&amp;$AX$62,$I$6:$I$55,"&gt;="&amp;$AV$61,$I$6:$I$55,"&lt;"&amp;$AZ$61)</f>
        <v>0</v>
      </c>
      <c r="AZ65" s="51">
        <f t="shared" ref="AZ65:AZ67" ca="1" si="81">_xlfn.MAXIFS($AH$6:$AH$55,$AG$6:$AG$55,"="&amp;$AU65,$J$6:$J$55,"="&amp;$AZ$62,$I$6:$I$55,"&gt;="&amp;$AZ$61,$I$6:$I$55,"&lt;"&amp;$BD$61)</f>
        <v>0.15</v>
      </c>
      <c r="BA65" s="51">
        <f t="shared" ref="BA65:BA67" ca="1" si="82">_xlfn.MINIFS($AH$6:$AH$55,$AG$6:$AG$55,"="&amp;$AU65,$J$6:$J$55,"="&amp;$AZ$62,$I$6:$I$55,"&gt;="&amp;$AZ$61,$I$6:$I$55,"&lt;"&amp;$BD$61)</f>
        <v>0.15</v>
      </c>
      <c r="BB65" s="51">
        <f t="shared" ref="BB65:BB67" ca="1" si="83">_xlfn.MAXIFS($AH$6:$AH$55,$AG$6:$AG$55,"="&amp;$AU65,$J$6:$J$55,"="&amp;$BB$62,$I$6:$I$55,"&gt;="&amp;$AZ$61,$I$6:$I$55,"&lt;"&amp;$BD$61)</f>
        <v>0</v>
      </c>
      <c r="BC65" s="51">
        <f t="shared" ref="BC65:BC67" ca="1" si="84">_xlfn.MINIFS($AH$6:$AH$55,$AG$6:$AG$55,"="&amp;$AU65,$J$6:$J$55,"="&amp;$BB$62,$I$6:$I$55,"&gt;="&amp;$AZ$61,$I$6:$I$55,"&lt;"&amp;$BD$61)</f>
        <v>0</v>
      </c>
      <c r="BD65" s="51">
        <f t="shared" ref="BD65:BD67" ca="1" si="85">_xlfn.MAXIFS($AH$6:$AH$55,$AG$6:$AG$55,"="&amp;$AU65,$J$6:$J$55,"="&amp;$BD$62,$I$6:$I$55,"&gt;="&amp;$BD$61,$I$6:$I$55,"&lt;"&amp;$BH$61)</f>
        <v>0.2</v>
      </c>
      <c r="BE65" s="51">
        <f t="shared" ref="BE65:BE67" ca="1" si="86">_xlfn.MINIFS($AH$6:$AH$55,$AG$6:$AG$55,"="&amp;$AU65,$J$6:$J$55,"="&amp;$BD$62,$I$6:$I$55,"&gt;="&amp;$BD$61,$I$6:$I$55,"&lt;"&amp;$BH$61)</f>
        <v>0.2</v>
      </c>
      <c r="BF65" s="51">
        <f t="shared" ref="BF65:BF67" ca="1" si="87">_xlfn.MAXIFS($AH$6:$AH$55,$AG$6:$AG$55,"="&amp;$AU65,$J$6:$J$55,"="&amp;$BF$62,$I$6:$I$55,"&gt;="&amp;$BD$61,$I$6:$I$55,"&lt;"&amp;$BH$61)</f>
        <v>0.25</v>
      </c>
      <c r="BG65" s="51">
        <f t="shared" ref="BG65:BG67" ca="1" si="88">_xlfn.MINIFS($AH$6:$AH$55,$AG$6:$AG$55,"="&amp;$AU65,$J$6:$J$55,"="&amp;$BF$62,$I$6:$I$55,"&gt;="&amp;$BD$61,$I$6:$I$55,"&lt;"&amp;$BH$61)</f>
        <v>0.25</v>
      </c>
      <c r="BH65" s="51">
        <f t="shared" ref="BH65:BH67" ca="1" si="89">_xlfn.MAXIFS($AH$6:$AH$55,$AG$6:$AG$55,"="&amp;$AU65,$J$6:$J$55,"="&amp;$BH$62,$I$6:$I$55,"&gt;="&amp;$BH$61)</f>
        <v>0</v>
      </c>
      <c r="BI65" s="51">
        <f t="shared" ref="BI65:BI67" ca="1" si="90">_xlfn.MINIFS($AH$6:$AH$55,$AG$6:$AG$55,"="&amp;$AU65,$J$6:$J$55,"="&amp;$BH$62,$I$6:$I$55,"&gt;="&amp;$BH$61)</f>
        <v>0</v>
      </c>
      <c r="BJ65" s="51">
        <f t="shared" ref="BJ65:BJ67" ca="1" si="91">_xlfn.MAXIFS($AH$6:$AH$55,$AG$6:$AG$55,"="&amp;$AU65,$J$6:$J$55,"="&amp;$BJ$62,$I$6:$I$55,"&gt;="&amp;$BH$61)</f>
        <v>0</v>
      </c>
      <c r="BK65" s="51">
        <f t="shared" ref="BK65:BK67" ca="1" si="92">_xlfn.MINIFS($AH$6:$AH$55,$AG$6:$AG$55,"="&amp;$AU65,$J$6:$J$55,"="&amp;$BJ$62,$I$6:$I$55,"&gt;="&amp;$BH$61)</f>
        <v>0</v>
      </c>
    </row>
    <row r="66" spans="1:63" x14ac:dyDescent="0.3">
      <c r="A66" s="79" t="s">
        <v>231</v>
      </c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22"/>
      <c r="S66" s="22">
        <f>MEDIAN(S6:S55)</f>
        <v>29.5</v>
      </c>
      <c r="T66" s="22">
        <f t="shared" ref="T66:Y66" si="93">MEDIAN(T6:T55)</f>
        <v>18.5</v>
      </c>
      <c r="U66" s="22">
        <f t="shared" si="93"/>
        <v>15</v>
      </c>
      <c r="V66" s="22">
        <f t="shared" si="93"/>
        <v>13</v>
      </c>
      <c r="W66" s="22">
        <f t="shared" si="93"/>
        <v>4</v>
      </c>
      <c r="X66" s="22">
        <f t="shared" si="93"/>
        <v>26</v>
      </c>
      <c r="Y66" s="22">
        <f t="shared" si="93"/>
        <v>7</v>
      </c>
      <c r="Z66" s="107"/>
      <c r="AA66" s="108"/>
      <c r="AB66" s="108"/>
      <c r="AC66" s="108"/>
      <c r="AD66" s="108"/>
      <c r="AE66" s="108"/>
      <c r="AF66" s="109"/>
      <c r="AU66" s="51" t="s">
        <v>176</v>
      </c>
      <c r="AV66" s="51">
        <f t="shared" ca="1" si="77"/>
        <v>0</v>
      </c>
      <c r="AW66" s="51">
        <f t="shared" ca="1" si="78"/>
        <v>0</v>
      </c>
      <c r="AX66" s="51">
        <f t="shared" ca="1" si="79"/>
        <v>0</v>
      </c>
      <c r="AY66" s="51">
        <f t="shared" ca="1" si="80"/>
        <v>0</v>
      </c>
      <c r="AZ66" s="51">
        <f t="shared" ca="1" si="81"/>
        <v>0.05</v>
      </c>
      <c r="BA66" s="51">
        <f t="shared" ca="1" si="82"/>
        <v>0.05</v>
      </c>
      <c r="BB66" s="51">
        <f t="shared" ca="1" si="83"/>
        <v>0.15</v>
      </c>
      <c r="BC66" s="51">
        <f t="shared" ca="1" si="84"/>
        <v>0.05</v>
      </c>
      <c r="BD66" s="51">
        <f t="shared" ca="1" si="85"/>
        <v>0</v>
      </c>
      <c r="BE66" s="51">
        <f t="shared" ca="1" si="86"/>
        <v>0</v>
      </c>
      <c r="BF66" s="51">
        <f t="shared" ca="1" si="87"/>
        <v>0</v>
      </c>
      <c r="BG66" s="51">
        <f t="shared" ca="1" si="88"/>
        <v>0</v>
      </c>
      <c r="BH66" s="51">
        <f t="shared" ca="1" si="89"/>
        <v>0</v>
      </c>
      <c r="BI66" s="51">
        <f t="shared" ca="1" si="90"/>
        <v>0</v>
      </c>
      <c r="BJ66" s="51">
        <f t="shared" ca="1" si="91"/>
        <v>0</v>
      </c>
      <c r="BK66" s="51">
        <f t="shared" ca="1" si="92"/>
        <v>0</v>
      </c>
    </row>
    <row r="67" spans="1:63" x14ac:dyDescent="0.3">
      <c r="AU67" s="51" t="s">
        <v>177</v>
      </c>
      <c r="AV67" s="51">
        <f t="shared" ca="1" si="77"/>
        <v>0</v>
      </c>
      <c r="AW67" s="51">
        <f t="shared" ca="1" si="78"/>
        <v>0</v>
      </c>
      <c r="AX67" s="51">
        <f t="shared" ca="1" si="79"/>
        <v>0</v>
      </c>
      <c r="AY67" s="51">
        <f t="shared" ca="1" si="80"/>
        <v>0</v>
      </c>
      <c r="AZ67" s="51">
        <f t="shared" ca="1" si="81"/>
        <v>0.03</v>
      </c>
      <c r="BA67" s="51">
        <f t="shared" ca="1" si="82"/>
        <v>0</v>
      </c>
      <c r="BB67" s="51">
        <f t="shared" ca="1" si="83"/>
        <v>0.03</v>
      </c>
      <c r="BC67" s="51">
        <f t="shared" ca="1" si="84"/>
        <v>0</v>
      </c>
      <c r="BD67" s="51">
        <f t="shared" ca="1" si="85"/>
        <v>7.0000000000000007E-2</v>
      </c>
      <c r="BE67" s="51">
        <f t="shared" ca="1" si="86"/>
        <v>0</v>
      </c>
      <c r="BF67" s="51">
        <f t="shared" ca="1" si="87"/>
        <v>7.0000000000000007E-2</v>
      </c>
      <c r="BG67" s="51">
        <f t="shared" ca="1" si="88"/>
        <v>0.03</v>
      </c>
      <c r="BH67" s="51">
        <f t="shared" ca="1" si="89"/>
        <v>0</v>
      </c>
      <c r="BI67" s="51">
        <f t="shared" ca="1" si="90"/>
        <v>0</v>
      </c>
      <c r="BJ67" s="51">
        <f t="shared" ca="1" si="91"/>
        <v>0</v>
      </c>
      <c r="BK67" s="51">
        <f t="shared" ca="1" si="92"/>
        <v>0</v>
      </c>
    </row>
  </sheetData>
  <scenarios current="0" sqref="Z21">
    <scenario name="평균" locked="1" count="7" user="Administrator" comment="만든 사람 Administrator 날짜 2019-11-25_x000a_수정한 사람 Administrator 날짜 2019-11-25">
      <inputCells r="S21" val="29"/>
      <inputCells r="T21" val="23.78"/>
      <inputCells r="U21" val="17.83"/>
      <inputCells r="V21" val="12.78"/>
      <inputCells r="W21" val="24.8"/>
      <inputCells r="X21" val="46.78"/>
      <inputCells r="Y21" val="16.85"/>
    </scenario>
    <scenario name="최대" locked="1" count="7" user="Administrator" comment="만든 사람 Administrator 날짜 2019-11-25_x000a_수정한 사람 Administrator 날짜 2019-11-25">
      <inputCells r="S21" val="71"/>
      <inputCells r="T21" val="91"/>
      <inputCells r="U21" val="42"/>
      <inputCells r="V21" val="40"/>
      <inputCells r="W21" val="89"/>
      <inputCells r="X21" val="163"/>
      <inputCells r="Y21" val="79"/>
    </scenario>
    <scenario name="최저" locked="1" count="7" user="Administrator" comment="만든 사람 Administrator 날짜 2019-11-25_x000a_수정한 사람 Administrator 날짜 2019-11-25">
      <inputCells r="S21" val="1"/>
      <inputCells r="T21" val="1"/>
      <inputCells r="U21" val="1"/>
      <inputCells r="V21" val="1"/>
      <inputCells r="W21" val="1"/>
      <inputCells r="X21" val="1"/>
      <inputCells r="Y21" val="1"/>
    </scenario>
  </scenarios>
  <mergeCells count="70">
    <mergeCell ref="BH62:BI62"/>
    <mergeCell ref="BJ62:BK62"/>
    <mergeCell ref="A63:Q63"/>
    <mergeCell ref="A64:Q64"/>
    <mergeCell ref="A65:Q65"/>
    <mergeCell ref="A66:Q66"/>
    <mergeCell ref="BD61:BG61"/>
    <mergeCell ref="BH61:BK61"/>
    <mergeCell ref="A62:Q62"/>
    <mergeCell ref="Z62:AF66"/>
    <mergeCell ref="AV62:AW62"/>
    <mergeCell ref="AX62:AY62"/>
    <mergeCell ref="AZ62:BA62"/>
    <mergeCell ref="BB62:BC62"/>
    <mergeCell ref="BD62:BE62"/>
    <mergeCell ref="BF62:BG62"/>
    <mergeCell ref="A60:Q60"/>
    <mergeCell ref="A61:E61"/>
    <mergeCell ref="K61:AF61"/>
    <mergeCell ref="AU61:AU63"/>
    <mergeCell ref="AV61:AY61"/>
    <mergeCell ref="AZ61:BC61"/>
    <mergeCell ref="AU51:AU52"/>
    <mergeCell ref="AV51:AW51"/>
    <mergeCell ref="AX51:AY51"/>
    <mergeCell ref="AZ51:BA51"/>
    <mergeCell ref="BB51:BC51"/>
    <mergeCell ref="A56:Q56"/>
    <mergeCell ref="AF56:AF60"/>
    <mergeCell ref="A57:Q57"/>
    <mergeCell ref="A58:Q58"/>
    <mergeCell ref="A59:Q59"/>
    <mergeCell ref="BD43:BG43"/>
    <mergeCell ref="BH43:BK43"/>
    <mergeCell ref="AV44:AW44"/>
    <mergeCell ref="AX44:AY44"/>
    <mergeCell ref="AZ44:BA44"/>
    <mergeCell ref="BB44:BC44"/>
    <mergeCell ref="BD44:BE44"/>
    <mergeCell ref="BF44:BG44"/>
    <mergeCell ref="BH44:BI44"/>
    <mergeCell ref="BJ44:BK44"/>
    <mergeCell ref="AU33:AU34"/>
    <mergeCell ref="AV33:AW33"/>
    <mergeCell ref="AX33:AY33"/>
    <mergeCell ref="AZ33:BA33"/>
    <mergeCell ref="BB33:BC33"/>
    <mergeCell ref="AU43:AU45"/>
    <mergeCell ref="AV43:AY43"/>
    <mergeCell ref="AZ43:BC43"/>
    <mergeCell ref="BD16:BG16"/>
    <mergeCell ref="BH16:BK16"/>
    <mergeCell ref="AU26:AU27"/>
    <mergeCell ref="AV26:AW26"/>
    <mergeCell ref="AX26:AY26"/>
    <mergeCell ref="AZ26:BA26"/>
    <mergeCell ref="BB26:BC26"/>
    <mergeCell ref="AV6:AW6"/>
    <mergeCell ref="AX6:AY6"/>
    <mergeCell ref="AZ6:BA6"/>
    <mergeCell ref="BB6:BC6"/>
    <mergeCell ref="AU16:AU17"/>
    <mergeCell ref="AV16:AY16"/>
    <mergeCell ref="AZ16:BC16"/>
    <mergeCell ref="B1:Y1"/>
    <mergeCell ref="S3:Y3"/>
    <mergeCell ref="N4:P4"/>
    <mergeCell ref="AQ6:AR6"/>
    <mergeCell ref="AS6:AT6"/>
    <mergeCell ref="AU6:AU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FF857-E09F-4326-B5F3-2B962028A00C}">
  <dimension ref="A1:F7"/>
  <sheetViews>
    <sheetView workbookViewId="0">
      <selection activeCell="B4" sqref="B4"/>
    </sheetView>
  </sheetViews>
  <sheetFormatPr defaultRowHeight="16.5" x14ac:dyDescent="0.3"/>
  <cols>
    <col min="1" max="16384" width="9" style="11"/>
  </cols>
  <sheetData>
    <row r="1" spans="1:6" ht="17.25" thickTop="1" x14ac:dyDescent="0.3">
      <c r="A1" s="12"/>
      <c r="B1" s="64" t="s">
        <v>211</v>
      </c>
      <c r="C1" s="65"/>
      <c r="D1" s="65"/>
      <c r="E1" s="65"/>
      <c r="F1" s="66"/>
    </row>
    <row r="2" spans="1:6" ht="17.25" thickBot="1" x14ac:dyDescent="0.35">
      <c r="A2" s="13" t="s">
        <v>173</v>
      </c>
      <c r="B2" s="14">
        <v>0</v>
      </c>
      <c r="C2" s="15">
        <v>5</v>
      </c>
      <c r="D2" s="15">
        <v>10</v>
      </c>
      <c r="E2" s="15">
        <v>15</v>
      </c>
      <c r="F2" s="16">
        <v>20</v>
      </c>
    </row>
    <row r="3" spans="1:6" ht="17.25" thickTop="1" x14ac:dyDescent="0.3">
      <c r="A3" s="12" t="s">
        <v>174</v>
      </c>
      <c r="B3" s="17">
        <v>0.2</v>
      </c>
      <c r="C3" s="18">
        <v>0.25</v>
      </c>
      <c r="D3" s="18">
        <v>0.3</v>
      </c>
      <c r="E3" s="18">
        <v>0.35</v>
      </c>
      <c r="F3" s="19">
        <v>0.4</v>
      </c>
    </row>
    <row r="4" spans="1:6" x14ac:dyDescent="0.3">
      <c r="A4" s="20" t="s">
        <v>175</v>
      </c>
      <c r="B4" s="21">
        <v>0.1</v>
      </c>
      <c r="C4" s="22">
        <v>0.15</v>
      </c>
      <c r="D4" s="22">
        <v>0.2</v>
      </c>
      <c r="E4" s="22">
        <v>0.25</v>
      </c>
      <c r="F4" s="23">
        <v>0.3</v>
      </c>
    </row>
    <row r="5" spans="1:6" x14ac:dyDescent="0.3">
      <c r="A5" s="20" t="s">
        <v>176</v>
      </c>
      <c r="B5" s="21">
        <v>0</v>
      </c>
      <c r="C5" s="22">
        <v>0.05</v>
      </c>
      <c r="D5" s="22">
        <v>0.1</v>
      </c>
      <c r="E5" s="22">
        <v>0.15</v>
      </c>
      <c r="F5" s="23">
        <v>0.2</v>
      </c>
    </row>
    <row r="6" spans="1:6" ht="17.25" thickBot="1" x14ac:dyDescent="0.35">
      <c r="A6" s="13" t="s">
        <v>177</v>
      </c>
      <c r="B6" s="14">
        <v>0</v>
      </c>
      <c r="C6" s="15">
        <v>0</v>
      </c>
      <c r="D6" s="15">
        <v>0.03</v>
      </c>
      <c r="E6" s="15">
        <v>7.0000000000000007E-2</v>
      </c>
      <c r="F6" s="16">
        <v>0.1</v>
      </c>
    </row>
    <row r="7" spans="1:6" ht="17.25" thickTop="1" x14ac:dyDescent="0.3"/>
  </sheetData>
  <mergeCells count="1">
    <mergeCell ref="B1:F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F A A B Q S w M E F A A C A A g A L r R b T + b p 0 5 + p A A A A + A A A A B I A H A B D b 2 5 m a W c v U G F j a 2 F n Z S 5 4 b W w g o h g A K K A U A A A A A A A A A A A A A A A A A A A A A A A A A A A A h Y 9 N D o I w F I S v Q r q n j x 9 R Q h 5 l 4 V J J j C b G L S k V G q A Y W o S 7 u f B I X k E S R d 2 5 n M k 3 y T e P 2 x 2 T s a m t q + i 0 b F V M X O o Q S y j e 5 l I V M e n N 2 Q 5 J w n C X 8 S o r h D X B S k e j l j E p j b l E A M M w 0 M G n b V e A 5 z g u n N L t g Z e i y W y p t M k U F + S z y v + v C M P j S 4 Z 5 d O X T I A i X d B G 6 C H O N q V R f x J u M q Y P w U + K 6 r 0 3 f C V a 1 9 m a P M E e E 9 w v 2 B F B L A w Q U A A I A C A A u t F t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r R b T 0 c G 8 3 9 H A g A A Q g c A A B M A H A B G b 3 J t d W x h c y 9 T Z W N 0 a W 9 u M S 5 t I K I Y A C i g F A A A A A A A A A A A A A A A A A A A A A A A A A A A A O 1 T 3 2 v T U B R + L / R / u G Q v L Y S y F f V B 6 Y N 0 i s M X Y R M f m h G y 9 k r L 0 t y R 3 E G 1 D D J I Y X S d b t j S u C U l Y n V O h s b u N 3 b / U O 7 J / + C N q X O y D n z b y / J y y f m + 7 9 x z v n O P g Y u 0 Q j Q 0 G 5 9 T D 5 K J Z M I o K z o u o d k y x j S L c k j F N J l A / I O d T X Z w y i O P a k W s Z l 4 Q f X G B k M X U 4 4 q K M 3 m i U a x R I y X k 7 0 v P D a w b 0 m t C q t I 0 N h Y p W Z L Y h g / u Y W j 5 7 N g C y 5 W y 4 H + R Y c 0 G r y O B 5 2 T Z s Y m g u w U N E 1 w L c S p s 7 4 U d B 1 3 o U E T e 3 U L M f 4 u 4 i H 3 e l / J l Z W n y r n y J 4 n X A t c U R N T g Y I u g 1 m P d p 5 v + p M t h r v J 6 w 1 Q J 3 K E H X h + Y R F 0 5 O y W F j A 5 r 9 s H k q x 3 V m a q p R E 9 I i 0 p Z V V U R U X 8 Z p M X Y q 9 k 7 + f X C / Y u P q h R m K q z k h B g X x a U U r j f 6 E + Z X C t E K V + Z F + Q o D m W T D Y Y 5 s O C r t 9 t t E W e J o 5 Z Y E b / U w n V U L x E 6 y U u M m p y 1 e J q D B C H 6 r q b F F R F d 3 I R X X N p y 8 S s w M z G J x H i c H x Q r v z N / G c r m j G S 6 J X 8 0 R d r m p z r 5 a w k R p T i V i v C + F 2 K 2 r q a 0 P g j X M i o r h G V 0 R U F + D j k H 0 f s n c / 2 A e X D d Z C + / Q q x b P C 9 + 1 r w M A 3 o 0 E 0 L N h p 8 w n 8 w U s K x b H 4 y A l O h s G h y X q t c X i 4 e s h 6 N q y 7 H J n R 6 L 0 7 m a i R W H p u g + X w A V 6 F 2 H 7 0 3 q 7 G w z d 2 N P N 1 n w 1 a Y 1 T f + r B r w s / 9 M X f Z q 7 z H M f G u H 5 y c / R t f S S c T F e 3 a A V 1 e y o n R 6 0 G p b F q 4 3 c 3 b 3 b z d z Z v d z V 9 Q S w E C L Q A U A A I A C A A u t F t P 5 u n T n 6 k A A A D 4 A A A A E g A A A A A A A A A A A A A A A A A A A A A A Q 2 9 u Z m l n L 1 B h Y 2 t h Z 2 U u e G 1 s U E s B A i 0 A F A A C A A g A L r R b T w / K 6 a u k A A A A 6 Q A A A B M A A A A A A A A A A A A A A A A A 9 Q A A A F t D b 2 5 0 Z W 5 0 X 1 R 5 c G V z X S 5 4 b W x Q S w E C L Q A U A A I A C A A u t F t P R w b z f 0 c C A A B C B w A A E w A A A A A A A A A A A A A A A A D m A Q A A R m 9 y b X V s Y X M v U 2 V j d G l v b j E u b V B L B Q Y A A A A A A w A D A M I A A A B 6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r H g A A A A A A A E k e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y N 1 Q x M z o y N z o z M y 4 5 N z E 0 N D k 1 W i I g L z 4 8 R W 5 0 c n k g V H l w Z T 0 i R m l s b E N v b H V t b l R 5 c G V z I i B W Y W x 1 Z T 0 i c 0 J n W U d D U W t E Q X d N R E F 3 T U Q i I C 8 + P E V u d H J 5 I F R 5 c G U 9 I k Z p b G x D b 2 x 1 b W 5 O Y W 1 l c y I g V m F s d W U 9 I n N b J n F 1 b 3 Q 7 7 Z q M 7 J u Q 6 6 q F J n F 1 b 3 Q 7 L C Z x d W 9 0 O + y j v O u v v O u T s e u h n e u y i O 2 Y u C Z x d W 9 0 O y w m c X V v d D v s o I T t m Z T r s o j t m L g m c X V v d D s s J n F 1 b 3 Q 7 6 r C A 7 J 6 F 6 4 W E 7 J u U 7 J 2 8 J n F 1 b 3 Q 7 L C Z x d W 9 0 O + y 1 n O q 3 v O q 0 g O u e j O y d v C Z x d W 9 0 O y w m c X V v d D v t g b T r n p j s i 5 0 m c X V v d D s s J n F 1 b 3 Q 7 7 L 2 Y 7 I S c 7 Y q 4 J n F 1 b 3 Q 7 L C Z x d W 9 0 O + u s t O y a q S Z x d W 9 0 O y w m c X V v d D v t j p j s i q T t i 7 D r s o w m c X V v d D s s J n F 1 b 3 Q 7 6 6 6 k 7 K e A 7 L u s J n F 1 b 3 Q 7 L C Z x d W 9 0 O + y Y g e 2 Z l C Z x d W 9 0 O y w m c X V v d D v s l 7 D q t 7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y L + u z g O q y v e u Q n C D s n K D t m J U u e + 2 a j O y b k O u q h S w w f S Z x d W 9 0 O y w m c X V v d D t T Z W N 0 a W 9 u M S 9 T a G V l d D I v 6 7 O A 6 r K 9 6 5 C c I O y c o O 2 Y l S 5 7 7 K O 8 6 6 + 8 6 5 O x 6 6 G d 6 7 K I 7 Z i 4 L D F 9 J n F 1 b 3 Q 7 L C Z x d W 9 0 O 1 N l Y 3 R p b 2 4 x L 1 N o Z W V 0 M i / r s 4 D q s r 3 r k J w g 7 J y g 7 Z i V L n v s o I T t m Z T r s o j t m L g s M n 0 m c X V v d D s s J n F 1 b 3 Q 7 U 2 V j d G l v b j E v U 2 h l Z X Q y L + u z g O q y v e u Q n C D s n K D t m J U u e + q w g O y e h e u F h O y b l O y d v C w z f S Z x d W 9 0 O y w m c X V v d D t T Z W N 0 a W 9 u M S 9 T a G V l d D I v 6 7 O A 6 r K 9 6 5 C c I O y c o O 2 Y l S 5 7 7 L W c 6 r e 8 6 r S A 6 5 6 M 7 J 2 8 L D R 9 J n F 1 b 3 Q 7 L C Z x d W 9 0 O 1 N l Y 3 R p b 2 4 x L 1 N o Z W V 0 M i / r s 4 D q s r 3 r k J w g 7 J y g 7 Z i V L n v t g b T r n p j s i 5 0 s N X 0 m c X V v d D s s J n F 1 b 3 Q 7 U 2 V j d G l v b j E v U 2 h l Z X Q y L + u z g O q y v e u Q n C D s n K D t m J U u e + y 9 m O y E n O 2 K u C w 2 f S Z x d W 9 0 O y w m c X V v d D t T Z W N 0 a W 9 u M S 9 T a G V l d D I v 6 7 O A 6 r K 9 6 5 C c I O y c o O 2 Y l S 5 7 6 6 y 0 7 J q p L D d 9 J n F 1 b 3 Q 7 L C Z x d W 9 0 O 1 N l Y 3 R p b 2 4 x L 1 N o Z W V 0 M i / r s 4 D q s r 3 r k J w g 7 J y g 7 Z i V L n v t j p j s i q T t i 7 D r s o w s O H 0 m c X V v d D s s J n F 1 b 3 Q 7 U 2 V j d G l v b j E v U 2 h l Z X Q y L + u z g O q y v e u Q n C D s n K D t m J U u e + u u p O y n g O y 7 r C w 5 f S Z x d W 9 0 O y w m c X V v d D t T Z W N 0 a W 9 u M S 9 T a G V l d D I v 6 7 O A 6 r K 9 6 5 C c I O y c o O 2 Y l S 5 7 7 J i B 7 Z m U L D E w f S Z x d W 9 0 O y w m c X V v d D t T Z W N 0 a W 9 u M S 9 T a G V l d D I v 6 7 O A 6 r K 9 6 5 C c I O y c o O 2 Y l S 5 7 7 J e w 6 r e 5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2 h l Z X Q y L + u z g O q y v e u Q n C D s n K D t m J U u e + 2 a j O y b k O u q h S w w f S Z x d W 9 0 O y w m c X V v d D t T Z W N 0 a W 9 u M S 9 T a G V l d D I v 6 7 O A 6 r K 9 6 5 C c I O y c o O 2 Y l S 5 7 7 K O 8 6 6 + 8 6 5 O x 6 6 G d 6 7 K I 7 Z i 4 L D F 9 J n F 1 b 3 Q 7 L C Z x d W 9 0 O 1 N l Y 3 R p b 2 4 x L 1 N o Z W V 0 M i / r s 4 D q s r 3 r k J w g 7 J y g 7 Z i V L n v s o I T t m Z T r s o j t m L g s M n 0 m c X V v d D s s J n F 1 b 3 Q 7 U 2 V j d G l v b j E v U 2 h l Z X Q y L + u z g O q y v e u Q n C D s n K D t m J U u e + q w g O y e h e u F h O y b l O y d v C w z f S Z x d W 9 0 O y w m c X V v d D t T Z W N 0 a W 9 u M S 9 T a G V l d D I v 6 7 O A 6 r K 9 6 5 C c I O y c o O 2 Y l S 5 7 7 L W c 6 r e 8 6 r S A 6 5 6 M 7 J 2 8 L D R 9 J n F 1 b 3 Q 7 L C Z x d W 9 0 O 1 N l Y 3 R p b 2 4 x L 1 N o Z W V 0 M i / r s 4 D q s r 3 r k J w g 7 J y g 7 Z i V L n v t g b T r n p j s i 5 0 s N X 0 m c X V v d D s s J n F 1 b 3 Q 7 U 2 V j d G l v b j E v U 2 h l Z X Q y L + u z g O q y v e u Q n C D s n K D t m J U u e + y 9 m O y E n O 2 K u C w 2 f S Z x d W 9 0 O y w m c X V v d D t T Z W N 0 a W 9 u M S 9 T a G V l d D I v 6 7 O A 6 r K 9 6 5 C c I O y c o O 2 Y l S 5 7 6 6 y 0 7 J q p L D d 9 J n F 1 b 3 Q 7 L C Z x d W 9 0 O 1 N l Y 3 R p b 2 4 x L 1 N o Z W V 0 M i / r s 4 D q s r 3 r k J w g 7 J y g 7 Z i V L n v t j p j s i q T t i 7 D r s o w s O H 0 m c X V v d D s s J n F 1 b 3 Q 7 U 2 V j d G l v b j E v U 2 h l Z X Q y L + u z g O q y v e u Q n C D s n K D t m J U u e + u u p O y n g O y 7 r C w 5 f S Z x d W 9 0 O y w m c X V v d D t T Z W N 0 a W 9 u M S 9 T a G V l d D I v 6 7 O A 6 r K 9 6 5 C c I O y c o O 2 Y l S 5 7 7 J i B 7 Z m U L D E w f S Z x d W 9 0 O y w m c X V v d D t T Z W N 0 a W 9 u M S 9 T a G V l d D I v 6 7 O A 6 r K 9 6 5 C c I O y c o O 2 Y l S 5 7 7 J e w 6 r e 5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9 T a G V l d D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v J U V D J T h B J U I 5 J U V B J U I y J U E 5 J U V C J T k w J T l D J T I w J U V E J T k 3 J U E 0 J U V C J T h E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j d U M T M 6 M z I 6 M T U u O D g y M D U 5 M l o i I C 8 + P E V u d H J 5 I F R 5 c G U 9 I k Z p b G x D b 2 x 1 b W 5 U e X B l c y I g V m F s d W U 9 I n N C Z 1 l H Q 1 F r R E F 3 T U R B d 0 1 E I i A v P j x F b n R y e S B U e X B l P S J G a W x s Q 2 9 s d W 1 u T m F t Z X M i I F Z h b H V l P S J z W y Z x d W 9 0 O + 2 a j O y b k O u q h S Z x d W 9 0 O y w m c X V v d D v s o 7 z r r 7 z r k 7 H r o Z 3 r s o j t m L g m c X V v d D s s J n F 1 b 3 Q 7 7 K C E 7 Z m U 6 7 K I 7 Z i 4 J n F 1 b 3 Q 7 L C Z x d W 9 0 O + q w g O y e h e u F h O y b l O y d v C Z x d W 9 0 O y w m c X V v d D v s t Z z q t 7 z q t I D r n o z s n b w m c X V v d D s s J n F 1 b 3 Q 7 7 Y G 0 6 5 6 Y 7 I u d J n F 1 b 3 Q 7 L C Z x d W 9 0 O + y 9 m O y E n O 2 K u C Z x d W 9 0 O y w m c X V v d D v r r L T s m q k m c X V v d D s s J n F 1 b 3 Q 7 7 Y 6 Y 7 I q k 7 Y u w 6 7 K M J n F 1 b 3 Q 7 L C Z x d W 9 0 O + u u p O y n g O y 7 r C Z x d W 9 0 O y w m c X V v d D v s m I H t m Z Q m c X V v d D s s J n F 1 b 3 Q 7 7 J e w 6 r e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i A o M i k v 6 7 O A 6 r K 9 6 5 C c I O y c o O 2 Y l S 5 7 7 Z q M 7 J u Q 6 6 q F L D B 9 J n F 1 b 3 Q 7 L C Z x d W 9 0 O 1 N l Y 3 R p b 2 4 x L 1 N o Z W V 0 M i A o M i k v 6 7 O A 6 r K 9 6 5 C c I O y c o O 2 Y l S 5 7 7 K O 8 6 6 + 8 6 5 O x 6 6 G d 6 7 K I 7 Z i 4 L D F 9 J n F 1 b 3 Q 7 L C Z x d W 9 0 O 1 N l Y 3 R p b 2 4 x L 1 N o Z W V 0 M i A o M i k v 6 7 O A 6 r K 9 6 5 C c I O y c o O 2 Y l S 5 7 7 K C E 7 Z m U 6 7 K I 7 Z i 4 L D J 9 J n F 1 b 3 Q 7 L C Z x d W 9 0 O 1 N l Y 3 R p b 2 4 x L 1 N o Z W V 0 M i A o M i k v 6 7 O A 6 r K 9 6 5 C c I O y c o O 2 Y l S 5 7 6 r C A 7 J 6 F 6 4 W E 7 J u U 7 J 2 8 L D N 9 J n F 1 b 3 Q 7 L C Z x d W 9 0 O 1 N l Y 3 R p b 2 4 x L 1 N o Z W V 0 M i A o M i k v 6 7 O A 6 r K 9 6 5 C c I O y c o O 2 Y l S 5 7 7 L W c 6 r e 8 6 r S A 6 5 6 M 7 J 2 8 L D R 9 J n F 1 b 3 Q 7 L C Z x d W 9 0 O 1 N l Y 3 R p b 2 4 x L 1 N o Z W V 0 M i A o M i k v 6 7 O A 6 r K 9 6 5 C c I O y c o O 2 Y l S 5 7 7 Y G 0 6 5 6 Y 7 I u d L D V 9 J n F 1 b 3 Q 7 L C Z x d W 9 0 O 1 N l Y 3 R p b 2 4 x L 1 N o Z W V 0 M i A o M i k v 6 7 O A 6 r K 9 6 5 C c I O y c o O 2 Y l S 5 7 7 L 2 Y 7 I S c 7 Y q 4 L D Z 9 J n F 1 b 3 Q 7 L C Z x d W 9 0 O 1 N l Y 3 R p b 2 4 x L 1 N o Z W V 0 M i A o M i k v 6 7 O A 6 r K 9 6 5 C c I O y c o O 2 Y l S 5 7 6 6 y 0 7 J q p L D d 9 J n F 1 b 3 Q 7 L C Z x d W 9 0 O 1 N l Y 3 R p b 2 4 x L 1 N o Z W V 0 M i A o M i k v 6 7 O A 6 r K 9 6 5 C c I O y c o O 2 Y l S 5 7 7 Y 6 Y 7 I q k 7 Y u w 6 7 K M L D h 9 J n F 1 b 3 Q 7 L C Z x d W 9 0 O 1 N l Y 3 R p b 2 4 x L 1 N o Z W V 0 M i A o M i k v 6 7 O A 6 r K 9 6 5 C c I O y c o O 2 Y l S 5 7 6 6 6 k 7 K e A 7 L u s L D l 9 J n F 1 b 3 Q 7 L C Z x d W 9 0 O 1 N l Y 3 R p b 2 4 x L 1 N o Z W V 0 M i A o M i k v 6 7 O A 6 r K 9 6 5 C c I O y c o O 2 Y l S 5 7 7 J i B 7 Z m U L D E w f S Z x d W 9 0 O y w m c X V v d D t T Z W N 0 a W 9 u M S 9 T a G V l d D I g K D I p L + u z g O q y v e u Q n C D s n K D t m J U u e + y X s O q 3 u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N o Z W V 0 M i A o M i k v 6 7 O A 6 r K 9 6 5 C c I O y c o O 2 Y l S 5 7 7 Z q M 7 J u Q 6 6 q F L D B 9 J n F 1 b 3 Q 7 L C Z x d W 9 0 O 1 N l Y 3 R p b 2 4 x L 1 N o Z W V 0 M i A o M i k v 6 7 O A 6 r K 9 6 5 C c I O y c o O 2 Y l S 5 7 7 K O 8 6 6 + 8 6 5 O x 6 6 G d 6 7 K I 7 Z i 4 L D F 9 J n F 1 b 3 Q 7 L C Z x d W 9 0 O 1 N l Y 3 R p b 2 4 x L 1 N o Z W V 0 M i A o M i k v 6 7 O A 6 r K 9 6 5 C c I O y c o O 2 Y l S 5 7 7 K C E 7 Z m U 6 7 K I 7 Z i 4 L D J 9 J n F 1 b 3 Q 7 L C Z x d W 9 0 O 1 N l Y 3 R p b 2 4 x L 1 N o Z W V 0 M i A o M i k v 6 7 O A 6 r K 9 6 5 C c I O y c o O 2 Y l S 5 7 6 r C A 7 J 6 F 6 4 W E 7 J u U 7 J 2 8 L D N 9 J n F 1 b 3 Q 7 L C Z x d W 9 0 O 1 N l Y 3 R p b 2 4 x L 1 N o Z W V 0 M i A o M i k v 6 7 O A 6 r K 9 6 5 C c I O y c o O 2 Y l S 5 7 7 L W c 6 r e 8 6 r S A 6 5 6 M 7 J 2 8 L D R 9 J n F 1 b 3 Q 7 L C Z x d W 9 0 O 1 N l Y 3 R p b 2 4 x L 1 N o Z W V 0 M i A o M i k v 6 7 O A 6 r K 9 6 5 C c I O y c o O 2 Y l S 5 7 7 Y G 0 6 5 6 Y 7 I u d L D V 9 J n F 1 b 3 Q 7 L C Z x d W 9 0 O 1 N l Y 3 R p b 2 4 x L 1 N o Z W V 0 M i A o M i k v 6 7 O A 6 r K 9 6 5 C c I O y c o O 2 Y l S 5 7 7 L 2 Y 7 I S c 7 Y q 4 L D Z 9 J n F 1 b 3 Q 7 L C Z x d W 9 0 O 1 N l Y 3 R p b 2 4 x L 1 N o Z W V 0 M i A o M i k v 6 7 O A 6 r K 9 6 5 C c I O y c o O 2 Y l S 5 7 6 6 y 0 7 J q p L D d 9 J n F 1 b 3 Q 7 L C Z x d W 9 0 O 1 N l Y 3 R p b 2 4 x L 1 N o Z W V 0 M i A o M i k v 6 7 O A 6 r K 9 6 5 C c I O y c o O 2 Y l S 5 7 7 Y 6 Y 7 I q k 7 Y u w 6 7 K M L D h 9 J n F 1 b 3 Q 7 L C Z x d W 9 0 O 1 N l Y 3 R p b 2 4 x L 1 N o Z W V 0 M i A o M i k v 6 7 O A 6 r K 9 6 5 C c I O y c o O 2 Y l S 5 7 6 6 6 k 7 K e A 7 L u s L D l 9 J n F 1 b 3 Q 7 L C Z x d W 9 0 O 1 N l Y 3 R p b 2 4 x L 1 N o Z W V 0 M i A o M i k v 6 7 O A 6 r K 9 6 5 C c I O y c o O 2 Y l S 5 7 7 J i B 7 Z m U L D E w f S Z x d W 9 0 O y w m c X V v d D t T Z W N 0 a W 9 u M S 9 T a G V l d D I g K D I p L + u z g O q y v e u Q n C D s n K D t m J U u e + y X s O q 3 u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i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l M j A o M i k v U 2 h l Z X Q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J T I w K D I p L y V F Q y U 4 Q S V C O S V F Q S V C M i V B O S V F Q i U 5 M C U 5 Q y U y M C V F R C U 5 N y V B N C V F Q i U 4 R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4 u / P + M A q E i F Y d l i z N c 0 G w A A A A A C A A A A A A A Q Z g A A A A E A A C A A A A A K H 8 y 8 O D z 0 Y 1 b c z l 4 S G 3 U v x Y S 8 z s Y b w 8 C b G F I D L f x Q o w A A A A A O g A A A A A I A A C A A A A A H b d h h w S J / T R S a 3 q j 0 u X Z 9 A q J N J d B n q 7 J z U X z 3 3 3 7 5 3 F A A A A B n Y I 4 S 8 C / S i Y / t a M K o p A n E P d l U I t h b m P O c p m v X i n 7 W r l E v t D s Y 9 j x Z B M D b f 9 5 Y g X u Y m B v G q 7 T T W C f U J v h i C b P I g a l B X M 1 u 0 5 D I C 3 q l E Q w 3 9 E A A A A B a T B h W p O W P z / 9 s U Q b e 3 P D e P H F l Y j 0 x p e I v 1 n K d 0 p 1 N N s + n J z m k 2 x t 4 u q M 8 r i p h b P g b t d a 3 7 x R F M j e m z F C o l N j D < / D a t a M a s h u p > 
</file>

<file path=customXml/itemProps1.xml><?xml version="1.0" encoding="utf-8"?>
<ds:datastoreItem xmlns:ds="http://schemas.openxmlformats.org/officeDocument/2006/customXml" ds:itemID="{C1EA72F0-DAAF-41C0-8CDC-599445A332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회원정보_01</vt:lpstr>
      <vt:lpstr>회원정보_02</vt:lpstr>
      <vt:lpstr>혜택포인트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zoom</dc:creator>
  <cp:lastModifiedBy>Administrator</cp:lastModifiedBy>
  <dcterms:created xsi:type="dcterms:W3CDTF">2019-10-26T07:41:19Z</dcterms:created>
  <dcterms:modified xsi:type="dcterms:W3CDTF">2019-11-25T02:34:48Z</dcterms:modified>
</cp:coreProperties>
</file>