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ast Design Calculations" sheetId="1" r:id="rId5"/>
    <sheet state="visible" name="ULS Combinations" sheetId="2" r:id="rId6"/>
    <sheet state="visible" name="SLS Combinations" sheetId="3" r:id="rId7"/>
    <sheet state="visible" name="Slabs Calculations" sheetId="4" r:id="rId8"/>
    <sheet state="visible" name="Beam Calculations" sheetId="5" r:id="rId9"/>
    <sheet state="visible" name="SLS Analysis" sheetId="6" r:id="rId10"/>
    <sheet state="visible" name="ULS Analysis" sheetId="7" r:id="rId11"/>
    <sheet state="visible" name="Assignment D" sheetId="8" r:id="rId12"/>
  </sheets>
  <definedNames/>
  <calcPr/>
</workbook>
</file>

<file path=xl/sharedStrings.xml><?xml version="1.0" encoding="utf-8"?>
<sst xmlns="http://schemas.openxmlformats.org/spreadsheetml/2006/main" count="911" uniqueCount="512">
  <si>
    <t>Level</t>
  </si>
  <si>
    <t>DESIGN CALCULATIONS</t>
  </si>
  <si>
    <t>SLS combination</t>
  </si>
  <si>
    <t>gk [kN/m2]</t>
  </si>
  <si>
    <t>Variable action Qk / we,k [kN/m2]</t>
  </si>
  <si>
    <t>Coeff.</t>
  </si>
  <si>
    <t>Ed [kN/m2]</t>
  </si>
  <si>
    <t>Formula</t>
  </si>
  <si>
    <t>Values without self weight of slab</t>
  </si>
  <si>
    <t>Max for each floor (exc. Self Weight)</t>
  </si>
  <si>
    <t>Basement</t>
  </si>
  <si>
    <t>Characteristic /Short term</t>
  </si>
  <si>
    <t>ROOF</t>
  </si>
  <si>
    <t>KFI</t>
  </si>
  <si>
    <t>DESCRIPTION OF THE BUILDING</t>
  </si>
  <si>
    <t>Medium consequences class</t>
  </si>
  <si>
    <t>Symbol</t>
  </si>
  <si>
    <t>Value</t>
  </si>
  <si>
    <t>Unit</t>
  </si>
  <si>
    <t>Reference</t>
  </si>
  <si>
    <t>ψ0 Imposed loads (H)</t>
  </si>
  <si>
    <t>Kontrol / Check</t>
  </si>
  <si>
    <t>ψ0 Snow/Wind</t>
  </si>
  <si>
    <t>Lengt of the building</t>
  </si>
  <si>
    <t>LC</t>
  </si>
  <si>
    <t>L</t>
  </si>
  <si>
    <t>Leading variable action</t>
  </si>
  <si>
    <t>meter</t>
  </si>
  <si>
    <t>Permanent load, G</t>
  </si>
  <si>
    <t>Imposed load, Q₁</t>
  </si>
  <si>
    <t>Snow load, S</t>
  </si>
  <si>
    <t>Wind load, W</t>
  </si>
  <si>
    <t>Load combination</t>
  </si>
  <si>
    <t>10,07</t>
  </si>
  <si>
    <r>
      <rPr>
        <rFont val="Calibri"/>
        <b/>
        <color theme="1"/>
        <sz val="14.0"/>
      </rPr>
      <t xml:space="preserve">qnet </t>
    </r>
    <r>
      <rPr>
        <rFont val="Calibri"/>
        <b val="0"/>
        <color theme="1"/>
        <sz val="10.0"/>
      </rPr>
      <t>(without 
selfweight 
of hollow core )</t>
    </r>
  </si>
  <si>
    <t>Widht of the building</t>
  </si>
  <si>
    <t>W</t>
  </si>
  <si>
    <t>Ed = gk + Qk,1</t>
  </si>
  <si>
    <t>Each floor height</t>
  </si>
  <si>
    <t>h</t>
  </si>
  <si>
    <r>
      <rPr>
        <rFont val="Calibri"/>
        <b/>
        <color theme="1"/>
        <sz val="14.0"/>
      </rPr>
      <t xml:space="preserve">qnet </t>
    </r>
    <r>
      <rPr>
        <rFont val="Calibri"/>
        <b val="0"/>
        <color theme="1"/>
        <sz val="10.0"/>
      </rPr>
      <t>used without selfweight</t>
    </r>
  </si>
  <si>
    <t>Tecnical Recuriments</t>
  </si>
  <si>
    <t>Loads</t>
  </si>
  <si>
    <r>
      <rPr>
        <rFont val="Calibri"/>
        <color theme="1"/>
      </rPr>
      <t xml:space="preserve">&gt;2,4 meter   </t>
    </r>
    <r>
      <rPr>
        <rFont val="Calibri"/>
        <color rgb="FF6AA84F"/>
      </rPr>
      <t xml:space="preserve"> </t>
    </r>
    <r>
      <rPr>
        <rFont val="Calibri"/>
        <b/>
        <color rgb="FF38761D"/>
      </rPr>
      <t>✓ OK</t>
    </r>
  </si>
  <si>
    <t>Qk</t>
  </si>
  <si>
    <t>Imposed load leading</t>
  </si>
  <si>
    <t>1.0 KFI</t>
  </si>
  <si>
    <t>1.5 KFI</t>
  </si>
  <si>
    <t>1.5 ψ0 KFI</t>
  </si>
  <si>
    <t>Number of the floors</t>
  </si>
  <si>
    <t>–</t>
  </si>
  <si>
    <r>
      <rPr>
        <rFont val="Calibri"/>
        <color theme="1"/>
        <sz val="11.0"/>
      </rPr>
      <t xml:space="preserve">.=5   </t>
    </r>
    <r>
      <rPr>
        <rFont val="Calibri"/>
        <b/>
        <color rgb="FF38761D"/>
        <sz val="11.0"/>
      </rPr>
      <t>✓ OK</t>
    </r>
  </si>
  <si>
    <t>Total height of the building</t>
  </si>
  <si>
    <t>Selfweight of the Hollow Core Slabs (kN/m2)</t>
  </si>
  <si>
    <t>Frequent</t>
  </si>
  <si>
    <r>
      <rPr>
        <rFont val="Calibri"/>
        <color theme="1"/>
        <sz val="11.0"/>
      </rPr>
      <t xml:space="preserve">&lt;24 meter  </t>
    </r>
    <r>
      <rPr>
        <rFont val="Calibri"/>
        <b/>
        <color rgb="FF38761D"/>
        <sz val="11.0"/>
      </rPr>
      <t xml:space="preserve"> ✓ OK</t>
    </r>
  </si>
  <si>
    <t>Total area of the Floor</t>
  </si>
  <si>
    <t>8,15</t>
  </si>
  <si>
    <t>Ed = gk + psi1.Qk,1</t>
  </si>
  <si>
    <t>sq meter</t>
  </si>
  <si>
    <t>Span (m)</t>
  </si>
  <si>
    <r>
      <rPr>
        <rFont val="Calibri"/>
        <color theme="1"/>
        <sz val="11.0"/>
      </rPr>
      <t xml:space="preserve">800 m²&lt;x&lt;1000 m² </t>
    </r>
    <r>
      <rPr>
        <rFont val="Calibri"/>
        <b/>
        <color rgb="FF38761D"/>
        <sz val="11.0"/>
      </rPr>
      <t>✓ OK</t>
    </r>
  </si>
  <si>
    <t xml:space="preserve">Atria Lengt </t>
  </si>
  <si>
    <t>Atria widht</t>
  </si>
  <si>
    <t>-Hollow core PE 180 mm</t>
  </si>
  <si>
    <t>Quasi-permanent</t>
  </si>
  <si>
    <t>Atria area</t>
  </si>
  <si>
    <t>-Hollow core DB 220mm</t>
  </si>
  <si>
    <t>Gk (permanent loads)</t>
  </si>
  <si>
    <t>-Hollow core JE 270 mm</t>
  </si>
  <si>
    <t>qd (kN/m2) excluding the selfweight (ULS)</t>
  </si>
  <si>
    <t>Selection of the thickness (mm)</t>
  </si>
  <si>
    <t xml:space="preserve"> ELEMENTS GEOMETRY  AND VALUES</t>
  </si>
  <si>
    <t>7,67</t>
  </si>
  <si>
    <t>Ed = gk + psi2.Qk,1</t>
  </si>
  <si>
    <t>Type manually according to the figure</t>
  </si>
  <si>
    <t>Imposed loads</t>
  </si>
  <si>
    <t>Ground Floor</t>
  </si>
  <si>
    <t>kn/m2</t>
  </si>
  <si>
    <t>Snow load leading</t>
  </si>
  <si>
    <t>Ground floor</t>
  </si>
  <si>
    <t>Characteristic</t>
  </si>
  <si>
    <t>Column width (  40 cm x 40 cm )</t>
  </si>
  <si>
    <t>cm</t>
  </si>
  <si>
    <t>CRH Catalog</t>
  </si>
  <si>
    <t>Column depth (  40 cm x 40 cm )</t>
  </si>
  <si>
    <t>Beam width (  24cm x 36cm )</t>
  </si>
  <si>
    <t xml:space="preserve">CRH Catalog  RB 24/36 </t>
  </si>
  <si>
    <t>Beam depth (  24cm x 36cm )</t>
  </si>
  <si>
    <t>Hollow core width (120cmx27cm)</t>
  </si>
  <si>
    <t>CRH Catalog  JE 270</t>
  </si>
  <si>
    <t>Ground floor, office area</t>
  </si>
  <si>
    <t>Hollow core depth (120cmx27cm)</t>
  </si>
  <si>
    <t>h,bj</t>
  </si>
  <si>
    <t>Hollow core depth (120cmx22cm)</t>
  </si>
  <si>
    <t>CRH Catalog  DB 220</t>
  </si>
  <si>
    <t>roof and residental area</t>
  </si>
  <si>
    <t>2nd Floor</t>
  </si>
  <si>
    <t>IMPOSED LOADS</t>
  </si>
  <si>
    <t>Basement Floor</t>
  </si>
  <si>
    <t>Self-weight</t>
  </si>
  <si>
    <t>kN/m2</t>
  </si>
  <si>
    <t>EN/DS 1991-1-1 DK Tab. 6.2 Category D1</t>
  </si>
  <si>
    <t>3rd Floor</t>
  </si>
  <si>
    <t>2nd &amp; 3rd floor - offices</t>
  </si>
  <si>
    <t>EN/DS 1991-1-1 DK Tab. 6.2 Category B</t>
  </si>
  <si>
    <t>`+ moveable partiton  wall</t>
  </si>
  <si>
    <t>EN 1991-1-1  6.5.3.1</t>
  </si>
  <si>
    <t xml:space="preserve">qk ​=max{0.35kN/m2,  (0.4/m)x​ (Qk)​}   
assume 10 cm  ytong   2 kN/m </t>
  </si>
  <si>
    <t>Offices total imposed load</t>
  </si>
  <si>
    <t>4th Floor</t>
  </si>
  <si>
    <t>4th floor - residential</t>
  </si>
  <si>
    <t>EN/DS 1991-1-1 DK Tab. 6.2 Category A1</t>
  </si>
  <si>
    <t>Snow</t>
  </si>
  <si>
    <t>Roof</t>
  </si>
  <si>
    <t>EN 1991-1-1 Tab. 6.2 Catagori H</t>
  </si>
  <si>
    <t>NATURAL LOADS ON ROOF</t>
  </si>
  <si>
    <t>Wind load leading</t>
  </si>
  <si>
    <t>Snow Calculation</t>
  </si>
  <si>
    <t>Characteristic ground snow load in Denmark, sk</t>
  </si>
  <si>
    <t>EN 1991-1-3 National Annex  4.1.(1)</t>
  </si>
  <si>
    <t>Flat roof  μ1​=0.8Ce,F​</t>
  </si>
  <si>
    <t>EN 1991-1- 3  7.5.2</t>
  </si>
  <si>
    <t xml:space="preserve">L=38 m , W =24 m
Lc​=2W−(L)^2 /W =32,85 m
Lc​≤50m    Ce,F​=Ce​
</t>
  </si>
  <si>
    <t>Terrain Catagory 3  ce normal b</t>
  </si>
  <si>
    <t xml:space="preserve">Exposure Coefficient   Normal ( Ce) </t>
  </si>
  <si>
    <t>EN 1991-1- 3   7.3</t>
  </si>
  <si>
    <t>Terrain Catagory 3</t>
  </si>
  <si>
    <t>Termal Coefficient    Normal</t>
  </si>
  <si>
    <t>EN 1991-1- 3   7.4</t>
  </si>
  <si>
    <t>Good isolated building
Artias glass roof
 is not considered</t>
  </si>
  <si>
    <t>Snow Load s=μ1x​Ct​xsk​</t>
  </si>
  <si>
    <t>EN 1991-1- 3   7.2</t>
  </si>
  <si>
    <t>Wind Calculation</t>
  </si>
  <si>
    <t>Location Copenhagen  (Assumption)</t>
  </si>
  <si>
    <t>Vb,0</t>
  </si>
  <si>
    <t>m/s</t>
  </si>
  <si>
    <t>EN 1991-1-4 DK NATIONAL ANEX 4.2.1</t>
  </si>
  <si>
    <t>Basic wind speed over 
all Copenhagen area</t>
  </si>
  <si>
    <t>Wind Direction</t>
  </si>
  <si>
    <t>cdir</t>
  </si>
  <si>
    <t>Self-weight other</t>
  </si>
  <si>
    <t>2nd floor</t>
  </si>
  <si>
    <t>EN 1991-1-1-4 NA table 1a</t>
  </si>
  <si>
    <t>There is a wind direction table on NA. 
We assume the worst direction
 and choose cdir =1</t>
  </si>
  <si>
    <t>C season</t>
  </si>
  <si>
    <t>c season</t>
  </si>
  <si>
    <t>EN 1991-1-1-4 NA table 1b</t>
  </si>
  <si>
    <t>Permanent Building  c season =1</t>
  </si>
  <si>
    <t>C probablity</t>
  </si>
  <si>
    <t>c prop</t>
  </si>
  <si>
    <t>EN 1991-1-1-4     6.2 Basic Values</t>
  </si>
  <si>
    <t>Our projects standart design life is
 50 years. 
And we choose c prob =1</t>
  </si>
  <si>
    <t>C altitue</t>
  </si>
  <si>
    <t>c alt</t>
  </si>
  <si>
    <t xml:space="preserve">Denmark is located sea level.
 there is no  c alt correction. 
 it is 1 unless NA writes any diffrent value. </t>
  </si>
  <si>
    <t>Wind</t>
  </si>
  <si>
    <t xml:space="preserve"> Vb=cprob x cdir x c season x c alt x vb,0</t>
  </si>
  <si>
    <t>Imposed load only</t>
  </si>
  <si>
    <t>Terrain orograpy and avrage wind speed</t>
  </si>
  <si>
    <t>Z0</t>
  </si>
  <si>
    <t>m</t>
  </si>
  <si>
    <t>EN 1991-1-1-4   Table 6.1</t>
  </si>
  <si>
    <t>Zmin</t>
  </si>
  <si>
    <t>kr</t>
  </si>
  <si>
    <t>9,07</t>
  </si>
  <si>
    <t>roughness factor  cr(z)=kr x ln(z/z0)</t>
  </si>
  <si>
    <t>cr(14)</t>
  </si>
  <si>
    <t>EN 1991-1-4     6.6</t>
  </si>
  <si>
    <t>for z min &lt;z &lt;z max        z max = 200 m
z=14</t>
  </si>
  <si>
    <t>orograpy factor  c (0)</t>
  </si>
  <si>
    <t>c0</t>
  </si>
  <si>
    <t>EN 1991-1-4     6.3.1</t>
  </si>
  <si>
    <t>Slope is less than %5 around our building
 c0 can be taken 1</t>
  </si>
  <si>
    <t>avarage speed of wind  Vm(z) = cr(z) x c0 (z) x vb</t>
  </si>
  <si>
    <t xml:space="preserve">Wind Turbulance </t>
  </si>
  <si>
    <t>Turbulace intensity     lu(z)=k1/ (c0(z) x ln (z/z0))</t>
  </si>
  <si>
    <t>turbulance factor</t>
  </si>
  <si>
    <t>k1</t>
  </si>
  <si>
    <t>EN 1991-1-4     6.9</t>
  </si>
  <si>
    <t>Self weight leading</t>
  </si>
  <si>
    <t>1.2 KFI</t>
  </si>
  <si>
    <t>Peak wind velocity and peak velocity presure</t>
  </si>
  <si>
    <t>vp(z)=vm(z) x  (1 + gu x lu(z))</t>
  </si>
  <si>
    <t>EN 1991-1-4     6.5</t>
  </si>
  <si>
    <t>gu</t>
  </si>
  <si>
    <t>EN 1991-1-4     6.5 /6.11</t>
  </si>
  <si>
    <t xml:space="preserve">peak factor for  turbulent </t>
  </si>
  <si>
    <t>peak presure</t>
  </si>
  <si>
    <t>qp(z)= 1/2 x p x (vp(z))^2</t>
  </si>
  <si>
    <t>755 kg/(mxs^2)   = 755 Pascal
1 Pascal =1 N/ m2</t>
  </si>
  <si>
    <t>p</t>
  </si>
  <si>
    <t>kg/m^3</t>
  </si>
  <si>
    <t>GROUND 4 - RESIDENTIAL AREA</t>
  </si>
  <si>
    <t>EN 1991-1-4     6.2</t>
  </si>
  <si>
    <t>air density</t>
  </si>
  <si>
    <t xml:space="preserve">External Pressure Coefficients  Cpe </t>
  </si>
  <si>
    <t>EN 1991-1-4  table B.2  page 64</t>
  </si>
  <si>
    <t>d</t>
  </si>
  <si>
    <t>h/d</t>
  </si>
  <si>
    <t>Zone D  presure</t>
  </si>
  <si>
    <t>6,79</t>
  </si>
  <si>
    <t>ψ0 Imposed loads (A)</t>
  </si>
  <si>
    <t>Zone E  vacuum</t>
  </si>
  <si>
    <t>cnet</t>
  </si>
  <si>
    <t>0,8 - (-0,5) = 1,3</t>
  </si>
  <si>
    <t>with correlation factor  0,85</t>
  </si>
  <si>
    <t>pressure and vacuum don´t effect at the same time, 
Eurocode allows to reduce %15 this effect. 
 if h/d  less than 1 or equal</t>
  </si>
  <si>
    <t>Net Wind Pressure w net =qp(14) x c net x c factor</t>
  </si>
  <si>
    <r>
      <rPr>
        <rFont val="Calibri"/>
        <b/>
        <color theme="1"/>
        <sz val="14.0"/>
      </rPr>
      <t xml:space="preserve">qnet </t>
    </r>
    <r>
      <rPr>
        <rFont val="Calibri"/>
        <b val="0"/>
        <color theme="1"/>
        <sz val="10.0"/>
      </rPr>
      <t>(without 
selfweight 
of hollow core )</t>
    </r>
  </si>
  <si>
    <r>
      <rPr>
        <rFont val="Calibri"/>
        <b/>
        <color theme="1"/>
        <sz val="14.0"/>
      </rPr>
      <t xml:space="preserve">qnet </t>
    </r>
    <r>
      <rPr>
        <rFont val="Calibri"/>
        <b val="0"/>
        <color theme="1"/>
        <sz val="10.0"/>
      </rPr>
      <t>used without selfweight</t>
    </r>
  </si>
  <si>
    <t>Roof wind calculation</t>
  </si>
  <si>
    <t>Lecture 3 - Slayt 28.  we make 
a simplifation and use -0,3 kN/m2</t>
  </si>
  <si>
    <t>Dead Loads</t>
  </si>
  <si>
    <t>6,03</t>
  </si>
  <si>
    <t>Hollow Core DB 220 mm</t>
  </si>
  <si>
    <t>Hollow Core JE 270 mm</t>
  </si>
  <si>
    <t>3rd floor</t>
  </si>
  <si>
    <t>LOAD DEFINATION   #1   ROOF</t>
  </si>
  <si>
    <t>Self Weight , structure</t>
  </si>
  <si>
    <t>Charakteristic
 Values</t>
  </si>
  <si>
    <t>Units</t>
  </si>
  <si>
    <t>-Hollow core PE 180mm</t>
  </si>
  <si>
    <t>Self Weight ,Other</t>
  </si>
  <si>
    <t>Membran</t>
  </si>
  <si>
    <t>-Screed  40 mm</t>
  </si>
  <si>
    <t>-Installations</t>
  </si>
  <si>
    <t>Imposed Loads</t>
  </si>
  <si>
    <t>Service Load cat H</t>
  </si>
  <si>
    <t>Snow Load</t>
  </si>
  <si>
    <t>Wind Load</t>
  </si>
  <si>
    <t>LOAD DEFINATION   #2 RESIDENTAL AREA</t>
  </si>
  <si>
    <t>-Timber flooring (14 mm)</t>
  </si>
  <si>
    <t>Partitions</t>
  </si>
  <si>
    <t>Service Load cat A</t>
  </si>
  <si>
    <t>LOAD DEFINATION   #3   OFFICE AREA</t>
  </si>
  <si>
    <t>-Hollow core DB 220 mm</t>
  </si>
  <si>
    <t>-Linoleum  16 mm</t>
  </si>
  <si>
    <t>Service Load cat B</t>
  </si>
  <si>
    <t>4th floor</t>
  </si>
  <si>
    <t>moveable partition (*10cm ytong)</t>
  </si>
  <si>
    <t>LOAD DEFINATION   #4   GROUND FLOOR</t>
  </si>
  <si>
    <t>Service Load cat D1</t>
  </si>
  <si>
    <t>Initial design of beams:</t>
  </si>
  <si>
    <t>Self weight of beams is excluded in this primary estimation (catalog)- but self-weight of hollow core was accounted</t>
  </si>
  <si>
    <t>Ground / Level</t>
  </si>
  <si>
    <t>m of hollow core transfering load</t>
  </si>
  <si>
    <t>Design load  (excluding self-weight)</t>
  </si>
  <si>
    <t>kN/m</t>
  </si>
  <si>
    <t>L of beams is 6m (constant)</t>
  </si>
  <si>
    <t>Beam model</t>
  </si>
  <si>
    <t>Perimeter Beams</t>
  </si>
  <si>
    <t>Roof + 4</t>
  </si>
  <si>
    <t>RB18/42</t>
  </si>
  <si>
    <t>Ground + 2-3</t>
  </si>
  <si>
    <t>RB24/48</t>
  </si>
  <si>
    <t>GROUND 2-3 - OFFICE AREA</t>
  </si>
  <si>
    <t>Inside Beams</t>
  </si>
  <si>
    <t>ψ0 Imposed loads (B)</t>
  </si>
  <si>
    <r>
      <rPr>
        <rFont val="Calibri"/>
        <b/>
        <color theme="1"/>
        <sz val="14.0"/>
      </rPr>
      <t xml:space="preserve">qnet </t>
    </r>
    <r>
      <rPr>
        <rFont val="Calibri"/>
        <b val="0"/>
        <color theme="1"/>
        <sz val="10.0"/>
      </rPr>
      <t>(without 
selfweight 
of hollow core )</t>
    </r>
  </si>
  <si>
    <t>RB24/54</t>
  </si>
  <si>
    <r>
      <rPr>
        <rFont val="Calibri"/>
        <b/>
        <color theme="1"/>
        <sz val="14.0"/>
      </rPr>
      <t xml:space="preserve">qnet </t>
    </r>
    <r>
      <rPr>
        <rFont val="Calibri"/>
        <b val="0"/>
        <color theme="1"/>
        <sz val="10.0"/>
      </rPr>
      <t>used without selfweight</t>
    </r>
  </si>
  <si>
    <t>RB24/72</t>
  </si>
  <si>
    <t>Rectangular beams:</t>
  </si>
  <si>
    <t>4,23</t>
  </si>
  <si>
    <t>GROUND FLOOR - COMMERCE</t>
  </si>
  <si>
    <t>ψ0 Imposed loads (D)</t>
  </si>
  <si>
    <r>
      <rPr>
        <rFont val="Calibri"/>
        <b/>
        <color theme="1"/>
        <sz val="14.0"/>
      </rPr>
      <t xml:space="preserve">qnet </t>
    </r>
    <r>
      <rPr>
        <rFont val="Calibri"/>
        <b val="0"/>
        <color theme="1"/>
        <sz val="10.0"/>
      </rPr>
      <t>(without 
selfweight 
of hollow core )</t>
    </r>
  </si>
  <si>
    <r>
      <rPr>
        <rFont val="Calibri"/>
        <b/>
        <color theme="1"/>
        <sz val="14.0"/>
      </rPr>
      <t xml:space="preserve">qnet </t>
    </r>
    <r>
      <rPr>
        <rFont val="Calibri"/>
        <b val="0"/>
        <color theme="1"/>
        <sz val="10.0"/>
      </rPr>
      <t>used without selfweight</t>
    </r>
  </si>
  <si>
    <t>Checking for Hollow Core JE 270 mm Ground Floor</t>
  </si>
  <si>
    <t>STEP 1 – Characteristic moment: Mk = qk × L² / 8</t>
  </si>
  <si>
    <t xml:space="preserve">Mk = </t>
  </si>
  <si>
    <t>KNm</t>
  </si>
  <si>
    <t>qk from SLS Short Term load</t>
  </si>
  <si>
    <t>widht</t>
  </si>
  <si>
    <t>qk Line Load</t>
  </si>
  <si>
    <t>STEP 2 – Compare Mk with catalog cracking moment</t>
  </si>
  <si>
    <t>Mcr =Mrev</t>
  </si>
  <si>
    <t>kNm</t>
  </si>
  <si>
    <t>from CRH  catalog</t>
  </si>
  <si>
    <t>96,672 &lt; 136,2</t>
  </si>
  <si>
    <t>✅</t>
  </si>
  <si>
    <t xml:space="preserve">Checking stress </t>
  </si>
  <si>
    <t>STEP 3 – Prestressing force: P = n × P0</t>
  </si>
  <si>
    <t>n=number of strand</t>
  </si>
  <si>
    <t>-</t>
  </si>
  <si>
    <t>CRH Catalog JE 270  Slabs</t>
  </si>
  <si>
    <t>Ap = Strands sectional area</t>
  </si>
  <si>
    <t>mm2</t>
  </si>
  <si>
    <t>Assigment 4C  Notes</t>
  </si>
  <si>
    <t>σ = pre stressed value</t>
  </si>
  <si>
    <t>kN</t>
  </si>
  <si>
    <t>P</t>
  </si>
  <si>
    <t>Dimension</t>
  </si>
  <si>
    <t>Unit Change</t>
  </si>
  <si>
    <t>A – catalog area incl. joint (×10³ mm²)</t>
  </si>
  <si>
    <t>b</t>
  </si>
  <si>
    <t>A</t>
  </si>
  <si>
    <t>m2</t>
  </si>
  <si>
    <t>189X10^3 mm2</t>
  </si>
  <si>
    <t>Void Diameter</t>
  </si>
  <si>
    <t>mm</t>
  </si>
  <si>
    <t>Solid Cross sectional area
(270x1200mm)</t>
  </si>
  <si>
    <t>Area of one void
(π x d² )/4</t>
  </si>
  <si>
    <t>Area of 5 void</t>
  </si>
  <si>
    <t>Assigment C3 (b) Ultimate Design Moment Resistance</t>
  </si>
  <si>
    <t>n of voids</t>
  </si>
  <si>
    <t>Net Cross sectional area</t>
  </si>
  <si>
    <t>For ground floor Rectangular Beam   24/72 cm</t>
  </si>
  <si>
    <t>Steps &amp; Equations</t>
  </si>
  <si>
    <t>Mp = -N X e</t>
  </si>
  <si>
    <t>e</t>
  </si>
  <si>
    <t>Note</t>
  </si>
  <si>
    <t>Distance from center of strands
 to middle of hollow core</t>
  </si>
  <si>
    <t>Mp =</t>
  </si>
  <si>
    <t>STEP 1 – Design load vs. catalog capacity</t>
  </si>
  <si>
    <t>q_Ed – design load on beam</t>
  </si>
  <si>
    <t>Mk =</t>
  </si>
  <si>
    <t xml:space="preserve">Inertia of rectangular slab
according to X Axis
</t>
  </si>
  <si>
    <t>Beam Calculations – inside beam (excl. beam self-weight)</t>
  </si>
  <si>
    <t>q_Rd – catalog capacity at L = 6.0 m</t>
  </si>
  <si>
    <t>mm⁴</t>
  </si>
  <si>
    <t>5 pieces voids inertia X Axis</t>
  </si>
  <si>
    <t>CRH / Betonelement catalog RB 24/72 (qRd)</t>
  </si>
  <si>
    <t>Check: q_Ed ≤ q_Rd</t>
  </si>
  <si>
    <t xml:space="preserve">It   (net)  
steels cross sectional area ignored. 
Slabs and Voids  X axis  accepted same
checked form CRH Catalog
</t>
  </si>
  <si>
    <t>yb (270mm/2)</t>
  </si>
  <si>
    <t>½</t>
  </si>
  <si>
    <t>P/A</t>
  </si>
  <si>
    <t xml:space="preserve">→ CRH RB24/72 can be used (8 tendons bottom, 2 top)
</t>
  </si>
  <si>
    <t>MPa</t>
  </si>
  <si>
    <t xml:space="preserve">σn = −P/A + (Mp + Mk) × yb / I_t
</t>
  </si>
  <si>
    <t>Checking Ultimate Design Moment Resistance by hand calculation</t>
  </si>
  <si>
    <t>STEP 2 – Section, tendon and material data</t>
  </si>
  <si>
    <t>h – beam height</t>
  </si>
  <si>
    <t>Mpa</t>
  </si>
  <si>
    <t>fctk,0.05 – C55/67, EC2 Table 3.1 [MPa]</t>
  </si>
  <si>
    <t>Check: σn ≤ fctk,0.05</t>
  </si>
  <si>
    <t>Beam Calculations (beam model RB b/h in cm)</t>
  </si>
  <si>
    <t>N</t>
  </si>
  <si>
    <t>b – beam width</t>
  </si>
  <si>
    <t>STEP 8 – Cracking moment Mcr from Navier Eq</t>
  </si>
  <si>
    <t xml:space="preserve">Finding Mcr from Navier  Calculation and Checking the Value from CRH Catalog , 
we can find Mcr when σn is 3 Mpa  </t>
  </si>
  <si>
    <t>8,303x10^-8</t>
  </si>
  <si>
    <t>mm^-3</t>
  </si>
  <si>
    <t>41,47X10^6</t>
  </si>
  <si>
    <t>Nmm</t>
  </si>
  <si>
    <t>N/mm^2</t>
  </si>
  <si>
    <t>3,44Mpa</t>
  </si>
  <si>
    <t>fctk,0.05 = −P/A + (Mp + Mcr) × yb / I_t</t>
  </si>
  <si>
    <t>d – effective depth</t>
  </si>
  <si>
    <t>3,17+3,44</t>
  </si>
  <si>
    <t>→ Mcr = (fctk,0.05 + P/A) × I_t / yb − Mp</t>
  </si>
  <si>
    <t xml:space="preserve">Mcr </t>
  </si>
  <si>
    <t>n – number of tendons, bottom</t>
  </si>
  <si>
    <t>CRH Catalog (bund = 8, top = 2)</t>
  </si>
  <si>
    <t>A_tendon – area of 1 tendon (L12.5)</t>
  </si>
  <si>
    <t>mm^2</t>
  </si>
  <si>
    <t>Assignment C</t>
  </si>
  <si>
    <t>Ap = n × A_tendon</t>
  </si>
  <si>
    <t>fck – concrete compressive strength</t>
  </si>
  <si>
    <t xml:space="preserve">Mcr (hand) / Mrev (catalog) Error Ratio
</t>
  </si>
  <si>
    <t>fp0,1k – 0.1 % proof strength of tendon</t>
  </si>
  <si>
    <t>Assignment C / Lecture 5A Slide 14</t>
  </si>
  <si>
    <t>Ep – modulus of elasticity of tendon</t>
  </si>
  <si>
    <t>Gpa</t>
  </si>
  <si>
    <t>Lecture 5A Slide 14</t>
  </si>
  <si>
    <t>εu – ultimate tendon strain</t>
  </si>
  <si>
    <t>Assignment D1</t>
  </si>
  <si>
    <t>γc – partial factor, concrete</t>
  </si>
  <si>
    <t>Pre Selection Column Dimensions</t>
  </si>
  <si>
    <t>Lecture 5A Slide 15 (EC2 + DK-NA, precast)</t>
  </si>
  <si>
    <t>γs – partial factor, tendons</t>
  </si>
  <si>
    <t>P – effective prestressing force per tendon</t>
  </si>
  <si>
    <t>Given in Assignment C sheet</t>
  </si>
  <si>
    <t>STEP 3 – Design strengths and tendon force</t>
  </si>
  <si>
    <t>Ground Floor Column</t>
  </si>
  <si>
    <t>fcd = fck / γc</t>
  </si>
  <si>
    <t xml:space="preserve">reduction for office floor 
same catagory same load </t>
  </si>
  <si>
    <t>αn=(1 + (n-1)*ψ₀)/n</t>
  </si>
  <si>
    <t>n=</t>
  </si>
  <si>
    <t>ψ₀=</t>
  </si>
  <si>
    <t>αn=</t>
  </si>
  <si>
    <t>Design Strength Calculation</t>
  </si>
  <si>
    <t>fpd = fp0,1k / γs</t>
  </si>
  <si>
    <t>Design Strength of Prestressed Tendon</t>
  </si>
  <si>
    <t>q (kN/m²)</t>
  </si>
  <si>
    <t xml:space="preserve">Fp = Ap × fpd  (tendon force at yield)
</t>
  </si>
  <si>
    <t>q × 8 m (kN/m)</t>
  </si>
  <si>
    <t>From Slabs to Beam  (×6 m)</t>
  </si>
  <si>
    <t>Beam Self Weight</t>
  </si>
  <si>
    <t>R_i (kN)</t>
  </si>
  <si>
    <t>Ri (kN) with reduction factor</t>
  </si>
  <si>
    <t>Total tensile force at the tendon that it can carry</t>
  </si>
  <si>
    <t>Fp in kN</t>
  </si>
  <si>
    <t>Total tensile force in kN</t>
  </si>
  <si>
    <t>STEP 4 – Stress-block factors (EC2 3.1.7)</t>
  </si>
  <si>
    <t>λ</t>
  </si>
  <si>
    <t>Block height Lecture 5A Slide 16 (Rectangular stress block in pressure zone)</t>
  </si>
  <si>
    <t>η</t>
  </si>
  <si>
    <t>Stress in the pressure block</t>
  </si>
  <si>
    <t>STEP 5 – Equilibrium Fc = Fp → a, x, z</t>
  </si>
  <si>
    <t>Fc = η × fcd × b × a</t>
  </si>
  <si>
    <t>Pressure Force</t>
  </si>
  <si>
    <t>Equilibrium: Fc = Fp</t>
  </si>
  <si>
    <t>4th</t>
  </si>
  <si>
    <t>→ a = Fp / (η × fcd × b)</t>
  </si>
  <si>
    <t xml:space="preserve">a </t>
  </si>
  <si>
    <t>3rd</t>
  </si>
  <si>
    <t xml:space="preserve">Depth of pressure zone </t>
  </si>
  <si>
    <t xml:space="preserve">x = a / λ </t>
  </si>
  <si>
    <t>2nd</t>
  </si>
  <si>
    <t>Depth of Neutral Axis</t>
  </si>
  <si>
    <t xml:space="preserve">z = d − a/2 </t>
  </si>
  <si>
    <t>Distance between Fc ( center of the block) and Fp (tendons)-Lever arm</t>
  </si>
  <si>
    <t>Ground</t>
  </si>
  <si>
    <t>STEP 6 – Strain compatibility in the tendons</t>
  </si>
  <si>
    <t>εp,eff = (P / A_tendon) / Ep (initial strain)</t>
  </si>
  <si>
    <t>Columns weight</t>
  </si>
  <si>
    <t>Strain in tendon before loading</t>
  </si>
  <si>
    <t>εcu3 – concrete strain (EC2 T3.1)</t>
  </si>
  <si>
    <t>Selfweight of beams</t>
  </si>
  <si>
    <t>RB24/54 (roof+4.floor)</t>
  </si>
  <si>
    <t>Ultimate compressive strain of concrete from EC2 table 3.1</t>
  </si>
  <si>
    <t>Total Ri</t>
  </si>
  <si>
    <t>Similar triangles: Δεp = εcu3 × (d − x) / x</t>
  </si>
  <si>
    <t xml:space="preserve">Δεp </t>
  </si>
  <si>
    <t>RB24/72
(ground Floor,2,3)</t>
  </si>
  <si>
    <t>Additional tendon strain at failure</t>
  </si>
  <si>
    <t>εp,total = εp,eff + Δεp</t>
  </si>
  <si>
    <t>we choose 40cm 40 cm column from the table.</t>
  </si>
  <si>
    <t>Total tendon strain</t>
  </si>
  <si>
    <t>Connection 1  (Slabs-Beam)</t>
  </si>
  <si>
    <t>εyd = fpd / Ep (yield strain)</t>
  </si>
  <si>
    <t>Joint Details Hollow Core- Beams</t>
  </si>
  <si>
    <t>T</t>
  </si>
  <si>
    <t xml:space="preserve">mm </t>
  </si>
  <si>
    <t>Slayt 16    L&gt;7,2 m</t>
  </si>
  <si>
    <t>c</t>
  </si>
  <si>
    <t>a min</t>
  </si>
  <si>
    <t>a0</t>
  </si>
  <si>
    <t>amax</t>
  </si>
  <si>
    <t>e1</t>
  </si>
  <si>
    <t>Limit yield strain of tendon</t>
  </si>
  <si>
    <t>e2</t>
  </si>
  <si>
    <t>STEP 7 – Failure mode</t>
  </si>
  <si>
    <t>εp,total &gt; εyd ?</t>
  </si>
  <si>
    <t>Connection 2 (Beam Column)</t>
  </si>
  <si>
    <t>h=</t>
  </si>
  <si>
    <t>amin=</t>
  </si>
  <si>
    <t>If yes, use fpd as tendon stress in step 3 is correct</t>
  </si>
  <si>
    <t>εp,total &lt; εu ?</t>
  </si>
  <si>
    <t>amax=</t>
  </si>
  <si>
    <t>If yes tendons are not failed, if no insufficient tendon warning</t>
  </si>
  <si>
    <t>Failure mode</t>
  </si>
  <si>
    <t>e1=</t>
  </si>
  <si>
    <t>e2=</t>
  </si>
  <si>
    <t>Ductility control (tendons must yield without fail)</t>
  </si>
  <si>
    <t>STEP 8 – Design moment resistance</t>
  </si>
  <si>
    <t>MRd = Fp × z</t>
  </si>
  <si>
    <t>Design Moment strength calculation</t>
  </si>
  <si>
    <t>MRd – CRH catalog</t>
  </si>
  <si>
    <t>CRH catalog RB 24/72</t>
  </si>
  <si>
    <t>MRd (hand) / MRd (catalog)</t>
  </si>
  <si>
    <t>Assignment D2 Calculation</t>
  </si>
  <si>
    <t>a_min = 1/3·c − ½T = 1/3·150 − 20 = 30 mm</t>
  </si>
  <si>
    <t>a_max = 2/3·c + ½T = 2/3·150 + 20 = 120 mm</t>
  </si>
  <si>
    <t xml:space="preserve">½h* = 740/2 = 370 mm </t>
  </si>
  <si>
    <t>e1 = ½h* − a_min = 370 − 30 = 340 mm</t>
  </si>
  <si>
    <t xml:space="preserve">e2 = ½h* − a_max = 370 − 120 = 250 mm </t>
  </si>
  <si>
    <t xml:space="preserve">Assigment D3 </t>
  </si>
  <si>
    <t>The columns are checked in ULS.   A column carries the loads from all floors above, so the most important combination is the one that gives the largest axial force. This is the imposed load leading combination on the office, residential and ground floors. On the roof, the snow leading combination governs.
The self-weight leading combination  gives smaller loads and is not governing. Wind leading combinations also give smaller axial forces. We assume that the horizontal wind load is carried by the stability walls, not by the columns.
A second important case is unbalanced loading: the variable load acts on one side of the column only. This gives the largest moment from the eccentric beam reactions 
SLS genarally is  not governing for columns</t>
  </si>
  <si>
    <t>Assigment D4</t>
  </si>
  <si>
    <t>Line loads from slabs on beams</t>
  </si>
  <si>
    <t>Each beam receives load from the hollow-core slabs on both sides. With slab span 8 m, each side gives a width of 4 m. The line load from one side is:
n = qEd × 4 m [kN/m]</t>
  </si>
  <si>
    <t>qEd is the ULS slab load including slab self-weight. The beam self-weight is added separately. The governing case is imposed load leading (snow leading on the roof).</t>
  </si>
  <si>
    <t>maksimum (N) 
imposed load leading on Beam A 
( nL2 and  nR2 from the figure)</t>
  </si>
  <si>
    <t>Beam B with just dead load 
(max moment )</t>
  </si>
  <si>
    <t>hand calc ≤ catalog → conservative (top tendons ignored)</t>
  </si>
  <si>
    <t>Gk (kN/m²)</t>
  </si>
  <si>
    <t xml:space="preserve"> qEd(kN/m²)</t>
  </si>
  <si>
    <t>STEP 9 – Extra check: M_Ed ≤ M_Rd</t>
  </si>
  <si>
    <t>qEdx4 meter (kN/m)</t>
  </si>
  <si>
    <t>Gkx4 meter (kN/m)</t>
  </si>
  <si>
    <t>L – beam span</t>
  </si>
  <si>
    <t>4.29</t>
  </si>
  <si>
    <t>5.49</t>
  </si>
  <si>
    <t>Beam Calculations (L = 6 m, constant)</t>
  </si>
  <si>
    <t>21.96</t>
  </si>
  <si>
    <t>g_beam – self-weight of beam</t>
  </si>
  <si>
    <t>17.16</t>
  </si>
  <si>
    <t>CRH catalog RB 24/72 (g = 4.15 kN/m)</t>
  </si>
  <si>
    <t>q_Ed,tot = q_Ed + KFI × 1.0 × g_beam</t>
  </si>
  <si>
    <t xml:space="preserve">4. </t>
  </si>
  <si>
    <t>5.32</t>
  </si>
  <si>
    <t>7.57</t>
  </si>
  <si>
    <t>30.28</t>
  </si>
  <si>
    <t>21.28</t>
  </si>
  <si>
    <t xml:space="preserve">3. </t>
  </si>
  <si>
    <t>4.86</t>
  </si>
  <si>
    <t>9.81</t>
  </si>
  <si>
    <t>39.24</t>
  </si>
  <si>
    <t>19.44</t>
  </si>
  <si>
    <t xml:space="preserve">2. </t>
  </si>
  <si>
    <t>5.27</t>
  </si>
  <si>
    <t>12.47</t>
  </si>
  <si>
    <t>49.88</t>
  </si>
  <si>
    <t>KFI from ULS Combinations (Ground floor)</t>
  </si>
  <si>
    <t>M_Ed = q_Ed,tot × L² / 8</t>
  </si>
  <si>
    <t>Check: M_Ed ≤ M_Rd</t>
  </si>
  <si>
    <t>Utilisation M_Ed / M_Rd</t>
  </si>
  <si>
    <t xml:space="preserve">85.3%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</si>
</sst>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dd.mm"/>
  </numFmts>
  <fonts count="31">
    <font>
      <sz val="11.0"/>
      <color theme="1"/>
      <name val="Calibri"/>
      <scheme val="minor"/>
    </font>
    <font>
      <b/>
      <sz val="11.0"/>
      <color rgb="FFFFFFFF"/>
      <name val="Arial"/>
    </font>
    <font>
      <b/>
      <color rgb="FFFFFFFF"/>
      <name val="Calibri"/>
      <scheme val="minor"/>
    </font>
    <font>
      <color theme="1"/>
      <name val="Calibri"/>
      <scheme val="minor"/>
    </font>
    <font>
      <b/>
      <sz val="11.0"/>
      <color theme="1"/>
      <name val="Arial"/>
    </font>
    <font>
      <sz val="11.0"/>
      <color rgb="FF000000"/>
      <name val="Arial"/>
    </font>
    <font/>
    <font>
      <i/>
      <sz val="9.0"/>
      <color rgb="FF595959"/>
      <name val="Arial"/>
    </font>
    <font>
      <b/>
      <sz val="9.0"/>
      <color rgb="FFFFFFFF"/>
      <name val="Arial"/>
    </font>
    <font>
      <sz val="9.0"/>
      <color theme="1"/>
      <name val="Arial"/>
    </font>
    <font>
      <sz val="11.0"/>
      <color theme="1"/>
      <name val="Calibri"/>
    </font>
    <font>
      <b/>
      <sz val="14.0"/>
      <color theme="1"/>
      <name val="Calibri"/>
      <scheme val="minor"/>
    </font>
    <font>
      <b/>
      <sz val="11.0"/>
      <color theme="1"/>
      <name val="Calibri"/>
      <scheme val="minor"/>
    </font>
    <font>
      <b/>
      <sz val="9.0"/>
      <color rgb="FF1F4E79"/>
      <name val="Arial"/>
    </font>
    <font>
      <b/>
      <sz val="9.0"/>
      <color theme="1"/>
      <name val="Arial"/>
    </font>
    <font>
      <i/>
      <sz val="8.0"/>
      <color rgb="FF9C0006"/>
      <name val="Arial"/>
    </font>
    <font>
      <b/>
      <i/>
      <sz val="9.0"/>
      <color theme="1"/>
      <name val="Arial"/>
    </font>
    <font>
      <b/>
      <i/>
      <color theme="1"/>
      <name val="Calibri"/>
      <scheme val="minor"/>
    </font>
    <font>
      <b/>
      <color theme="1"/>
      <name val="Calibri"/>
      <scheme val="minor"/>
    </font>
    <font>
      <b/>
      <i/>
      <sz val="9.0"/>
      <color rgb="FF000000"/>
      <name val="Arial"/>
    </font>
    <font>
      <b/>
      <i/>
      <sz val="14.0"/>
      <color theme="1"/>
      <name val="Calibri"/>
      <scheme val="minor"/>
    </font>
    <font>
      <b/>
      <sz val="13.0"/>
      <color theme="1"/>
      <name val="Calibri"/>
      <scheme val="minor"/>
    </font>
    <font>
      <b/>
      <sz val="12.0"/>
      <color theme="1"/>
      <name val="Calibri"/>
      <scheme val="minor"/>
    </font>
    <font>
      <b/>
      <sz val="9.0"/>
      <color rgb="FF375623"/>
      <name val="Arial"/>
    </font>
    <font>
      <b/>
      <sz val="13.0"/>
      <color rgb="FF000000"/>
      <name val="Calibri"/>
      <scheme val="minor"/>
    </font>
    <font>
      <b/>
      <sz val="11.0"/>
      <color rgb="FF1F4E79"/>
      <name val="Calibri"/>
    </font>
    <font>
      <b/>
      <sz val="13.0"/>
      <color rgb="FF1F4E79"/>
      <name val="Calibri"/>
    </font>
    <font>
      <sz val="11.0"/>
      <color rgb="FF000000"/>
      <name val="Calibri"/>
    </font>
    <font>
      <sz val="11.0"/>
      <color rgb="FF0000FF"/>
      <name val="Calibri"/>
    </font>
    <font>
      <b/>
      <sz val="11.0"/>
      <color rgb="FF000000"/>
      <name val="Calibri"/>
    </font>
    <font>
      <b/>
      <sz val="13.0"/>
      <color rgb="FF000000"/>
      <name val="Calibri"/>
    </font>
  </fonts>
  <fills count="26">
    <fill>
      <patternFill patternType="none"/>
    </fill>
    <fill>
      <patternFill patternType="lightGray"/>
    </fill>
    <fill>
      <patternFill patternType="solid">
        <fgColor rgb="FF3C78D8"/>
        <bgColor rgb="FF3C78D8"/>
      </patternFill>
    </fill>
    <fill>
      <patternFill patternType="solid">
        <fgColor rgb="FF000000"/>
        <bgColor rgb="FF000000"/>
      </patternFill>
    </fill>
    <fill>
      <patternFill patternType="solid">
        <fgColor rgb="FFF2F2F2"/>
        <bgColor rgb="FFF2F2F2"/>
      </patternFill>
    </fill>
    <fill>
      <patternFill patternType="solid">
        <fgColor rgb="FFEAD1DC"/>
        <bgColor rgb="FFEAD1DC"/>
      </patternFill>
    </fill>
    <fill>
      <patternFill patternType="solid">
        <fgColor rgb="FFD0E0E3"/>
        <bgColor rgb="FFD0E0E3"/>
      </patternFill>
    </fill>
    <fill>
      <patternFill patternType="solid">
        <fgColor rgb="FFCFE2F3"/>
        <bgColor rgb="FFCFE2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69138"/>
        <bgColor rgb="FFE69138"/>
      </patternFill>
    </fill>
    <fill>
      <patternFill patternType="solid">
        <fgColor theme="9"/>
        <bgColor theme="9"/>
      </patternFill>
    </fill>
    <fill>
      <patternFill patternType="solid">
        <fgColor theme="6"/>
        <bgColor theme="6"/>
      </patternFill>
    </fill>
    <fill>
      <patternFill patternType="solid">
        <fgColor rgb="FFA4C2F4"/>
        <bgColor rgb="FFA4C2F4"/>
      </patternFill>
    </fill>
    <fill>
      <patternFill patternType="solid">
        <fgColor rgb="FF4A86E8"/>
        <bgColor rgb="FF4A86E8"/>
      </patternFill>
    </fill>
    <fill>
      <patternFill patternType="solid">
        <fgColor rgb="FF00FF00"/>
        <bgColor rgb="FF00FF00"/>
      </patternFill>
    </fill>
    <fill>
      <patternFill patternType="solid">
        <fgColor rgb="FFF1C232"/>
        <bgColor rgb="FFF1C232"/>
      </patternFill>
    </fill>
    <fill>
      <patternFill patternType="solid">
        <fgColor rgb="FFB7E1CD"/>
        <bgColor rgb="FFB7E1CD"/>
      </patternFill>
    </fill>
    <fill>
      <patternFill patternType="solid">
        <fgColor rgb="FFCCCCCC"/>
        <bgColor rgb="FFCCCCCC"/>
      </patternFill>
    </fill>
    <fill>
      <patternFill patternType="solid">
        <fgColor rgb="FFA2C4C9"/>
        <bgColor rgb="FFA2C4C9"/>
      </patternFill>
    </fill>
    <fill>
      <patternFill patternType="solid">
        <fgColor rgb="FFD9D2E9"/>
        <bgColor rgb="FFD9D2E9"/>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s>
  <borders count="13">
    <border/>
    <border>
      <left style="thin">
        <color rgb="FF000000"/>
      </left>
      <right style="thin">
        <color rgb="FF000000"/>
      </right>
      <top style="thin">
        <color rgb="FF000000"/>
      </top>
      <bottom style="thin">
        <color rgb="FF000000"/>
      </bottom>
    </border>
    <border>
      <left/>
      <top/>
      <bottom/>
    </border>
    <border>
      <bottom style="thin">
        <color rgb="FF000000"/>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FBFBF"/>
      </lef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2" fontId="2" numFmtId="0" xfId="0" applyAlignment="1" applyFill="1" applyFont="1">
      <alignment readingOrder="0"/>
    </xf>
    <xf borderId="2" fillId="3" fontId="1" numFmtId="0" xfId="0" applyAlignment="1" applyBorder="1" applyFill="1" applyFont="1">
      <alignment horizontal="center" readingOrder="0" shrinkToFit="0" vertical="center" wrapText="0"/>
    </xf>
    <xf borderId="3" fillId="0" fontId="3" numFmtId="0" xfId="0" applyBorder="1" applyFont="1"/>
    <xf borderId="1" fillId="0" fontId="4" numFmtId="0" xfId="0" applyAlignment="1" applyBorder="1" applyFont="1">
      <alignment horizontal="left" readingOrder="0" shrinkToFit="0" wrapText="0"/>
    </xf>
    <xf borderId="1" fillId="0" fontId="5" numFmtId="0" xfId="0" applyAlignment="1" applyBorder="1" applyFont="1">
      <alignment horizontal="left" readingOrder="0" shrinkToFit="0" wrapText="0"/>
    </xf>
    <xf borderId="0" fillId="0" fontId="3" numFmtId="0" xfId="0" applyAlignment="1" applyFont="1">
      <alignment horizontal="center"/>
    </xf>
    <xf borderId="2" fillId="4" fontId="1" numFmtId="0" xfId="0" applyAlignment="1" applyBorder="1" applyFill="1" applyFont="1">
      <alignment horizontal="center" shrinkToFit="0" vertical="center" wrapText="0"/>
    </xf>
    <xf borderId="4" fillId="0" fontId="6" numFmtId="0" xfId="0" applyBorder="1" applyFont="1"/>
    <xf borderId="1" fillId="5" fontId="3" numFmtId="0" xfId="0" applyAlignment="1" applyBorder="1" applyFill="1" applyFont="1">
      <alignment readingOrder="0"/>
    </xf>
    <xf borderId="1" fillId="6" fontId="3" numFmtId="0" xfId="0" applyAlignment="1" applyBorder="1" applyFill="1" applyFont="1">
      <alignment readingOrder="0"/>
    </xf>
    <xf borderId="0" fillId="4" fontId="7" numFmtId="0" xfId="0" applyAlignment="1" applyFill="1" applyFont="1">
      <alignment horizontal="center" shrinkToFit="0" vertical="bottom" wrapText="1"/>
    </xf>
    <xf borderId="1" fillId="0" fontId="3" numFmtId="0" xfId="0" applyAlignment="1" applyBorder="1" applyFont="1">
      <alignment readingOrder="0"/>
    </xf>
    <xf borderId="1" fillId="3" fontId="8" numFmtId="0" xfId="0" applyAlignment="1" applyBorder="1" applyFill="1" applyFont="1">
      <alignment horizontal="center" readingOrder="0" shrinkToFit="0" vertical="center" wrapText="0"/>
    </xf>
    <xf borderId="1" fillId="3" fontId="8" numFmtId="0" xfId="0" applyAlignment="1" applyBorder="1" applyFill="1" applyFont="1">
      <alignment horizontal="center" shrinkToFit="0" vertical="center" wrapText="0"/>
    </xf>
    <xf borderId="5" fillId="7" fontId="3" numFmtId="0" xfId="0" applyAlignment="1" applyBorder="1" applyFill="1" applyFont="1">
      <alignment readingOrder="0" textRotation="0"/>
    </xf>
    <xf borderId="6" fillId="0" fontId="6" numFmtId="0" xfId="0" applyBorder="1" applyFont="1"/>
    <xf borderId="7" fillId="0" fontId="6" numFmtId="0" xfId="0" applyBorder="1" applyFont="1"/>
    <xf borderId="1" fillId="0" fontId="5" numFmtId="4" xfId="0" applyAlignment="1" applyBorder="1" applyFont="1" applyNumberFormat="1">
      <alignment horizontal="center" readingOrder="0" shrinkToFit="0" wrapText="0"/>
    </xf>
    <xf borderId="0" fillId="0" fontId="3" numFmtId="0" xfId="0" applyAlignment="1" applyFont="1">
      <alignment readingOrder="0"/>
    </xf>
    <xf borderId="1" fillId="4" fontId="9" numFmtId="0" xfId="0" applyAlignment="1" applyBorder="1" applyFill="1" applyFont="1">
      <alignment readingOrder="0" shrinkToFit="0" vertical="center" wrapText="1"/>
    </xf>
    <xf borderId="1" fillId="7" fontId="3" numFmtId="0" xfId="0" applyAlignment="1" applyBorder="1" applyFill="1" applyFont="1">
      <alignment readingOrder="0" vertical="center"/>
    </xf>
    <xf borderId="1" fillId="4" fontId="10" numFmtId="0" xfId="0" applyAlignment="1" applyBorder="1" applyFill="1" applyFont="1">
      <alignment horizontal="center" shrinkToFit="0" vertical="center" wrapText="0"/>
    </xf>
    <xf borderId="1" fillId="0" fontId="4" numFmtId="49" xfId="0" applyAlignment="1" applyBorder="1" applyFont="1" applyNumberFormat="1">
      <alignment horizontal="center" readingOrder="0" shrinkToFit="0" wrapText="0"/>
    </xf>
    <xf borderId="1" fillId="5" fontId="11" numFmtId="0" xfId="0" applyAlignment="1" applyBorder="1" applyFill="1" applyFont="1">
      <alignment horizontal="center" readingOrder="0" vertical="center"/>
    </xf>
    <xf borderId="1" fillId="0" fontId="7" numFmtId="0" xfId="0" applyAlignment="1" applyBorder="1" applyFont="1">
      <alignment horizontal="left" readingOrder="0" shrinkToFit="0" wrapText="0"/>
    </xf>
    <xf borderId="1" fillId="5" fontId="11" numFmtId="0" xfId="0" applyAlignment="1" applyBorder="1" applyFill="1" applyFont="1">
      <alignment horizontal="center" readingOrder="0" shrinkToFit="0" vertical="center" wrapText="1"/>
    </xf>
    <xf borderId="1" fillId="8" fontId="3" numFmtId="0" xfId="0" applyAlignment="1" applyBorder="1" applyFill="1" applyFont="1">
      <alignment readingOrder="0"/>
    </xf>
    <xf borderId="1" fillId="4" fontId="3" numFmtId="0" xfId="0" applyAlignment="1" applyBorder="1" applyFill="1" applyFont="1">
      <alignment horizontal="center" readingOrder="0"/>
    </xf>
    <xf borderId="1" fillId="4" fontId="9" numFmtId="0" xfId="0" applyAlignment="1" applyBorder="1" applyFill="1" applyFont="1">
      <alignment shrinkToFit="0" vertical="center" wrapText="1"/>
    </xf>
    <xf borderId="1" fillId="6" fontId="12" numFmtId="49" xfId="0" applyAlignment="1" applyBorder="1" applyFill="1" applyFont="1" applyNumberFormat="1">
      <alignment horizontal="center" readingOrder="0"/>
    </xf>
    <xf borderId="1" fillId="4" fontId="10" numFmtId="0" xfId="0" applyAlignment="1" applyBorder="1" applyFill="1" applyFont="1">
      <alignment horizontal="center" readingOrder="0" shrinkToFit="0" vertical="center" wrapText="0"/>
    </xf>
    <xf borderId="8" fillId="6" fontId="3" numFmtId="49" xfId="0" applyAlignment="1" applyBorder="1" applyFill="1" applyFont="1" applyNumberFormat="1">
      <alignment horizontal="center" vertical="center"/>
    </xf>
    <xf borderId="1" fillId="0" fontId="3" numFmtId="2" xfId="0" applyBorder="1" applyFont="1" applyNumberFormat="1"/>
    <xf borderId="5" fillId="9" fontId="3" numFmtId="0" xfId="0" applyAlignment="1" applyBorder="1" applyFill="1" applyFont="1">
      <alignment readingOrder="0"/>
    </xf>
    <xf borderId="1" fillId="9" fontId="3" numFmtId="0" xfId="0" applyAlignment="1" applyBorder="1" applyFill="1" applyFont="1">
      <alignment horizontal="center" readingOrder="0"/>
    </xf>
    <xf borderId="1" fillId="0" fontId="3" numFmtId="2" xfId="0" applyAlignment="1" applyBorder="1" applyFont="1" applyNumberFormat="1">
      <alignment horizontal="center" vertical="center"/>
    </xf>
    <xf borderId="1" fillId="4" fontId="10" numFmtId="4" xfId="0" applyAlignment="1" applyBorder="1" applyFill="1" applyFont="1" applyNumberFormat="1">
      <alignment horizontal="center" readingOrder="0" shrinkToFit="0" vertical="center" wrapText="0"/>
    </xf>
    <xf borderId="1" fillId="0" fontId="3" numFmtId="0" xfId="0" applyAlignment="1" applyBorder="1" applyFont="1">
      <alignment horizontal="center" readingOrder="0"/>
    </xf>
    <xf borderId="9" fillId="0" fontId="6" numFmtId="0" xfId="0" applyBorder="1" applyFont="1"/>
    <xf borderId="1" fillId="10" fontId="3" numFmtId="0" xfId="0" applyAlignment="1" applyBorder="1" applyFill="1" applyFont="1">
      <alignment readingOrder="0"/>
    </xf>
    <xf borderId="8" fillId="6" fontId="3" numFmtId="2" xfId="0" applyAlignment="1" applyBorder="1" applyFill="1" applyFont="1" applyNumberFormat="1">
      <alignment horizontal="center" vertical="center"/>
    </xf>
    <xf borderId="1" fillId="10" fontId="10" numFmtId="0" xfId="0" applyAlignment="1" applyBorder="1" applyFill="1" applyFont="1">
      <alignment vertical="bottom"/>
    </xf>
    <xf borderId="1" fillId="4" fontId="3" numFmtId="0" xfId="0" applyBorder="1" applyFill="1" applyFont="1"/>
    <xf borderId="1" fillId="4" fontId="3" numFmtId="0" xfId="0" applyAlignment="1" applyBorder="1" applyFill="1" applyFont="1">
      <alignment horizontal="center"/>
    </xf>
    <xf borderId="1" fillId="0" fontId="3" numFmtId="0" xfId="0" applyBorder="1" applyFont="1"/>
    <xf borderId="1" fillId="9" fontId="3" numFmtId="0" xfId="0" applyAlignment="1" applyBorder="1" applyFill="1" applyFont="1">
      <alignment readingOrder="0"/>
    </xf>
    <xf borderId="1" fillId="11" fontId="13" numFmtId="0" xfId="0" applyAlignment="1" applyBorder="1" applyFill="1" applyFont="1">
      <alignment horizontal="left" readingOrder="0" shrinkToFit="0" vertical="center" wrapText="0"/>
    </xf>
    <xf borderId="10" fillId="0" fontId="6" numFmtId="0" xfId="0" applyBorder="1" applyFont="1"/>
    <xf borderId="1" fillId="4" fontId="13" numFmtId="0" xfId="0" applyAlignment="1" applyBorder="1" applyFill="1" applyFont="1">
      <alignment horizontal="left" shrinkToFit="0" vertical="center" wrapText="0"/>
    </xf>
    <xf borderId="1" fillId="4" fontId="13" numFmtId="0" xfId="0" applyAlignment="1" applyBorder="1" applyFill="1" applyFont="1">
      <alignment horizontal="center" shrinkToFit="0" vertical="center" wrapText="0"/>
    </xf>
    <xf borderId="1" fillId="4" fontId="14" numFmtId="0" xfId="0" applyAlignment="1" applyBorder="1" applyFill="1" applyFont="1">
      <alignment shrinkToFit="0" vertical="center" wrapText="1"/>
    </xf>
    <xf borderId="1" fillId="0" fontId="11" numFmtId="2" xfId="0" applyBorder="1" applyFont="1" applyNumberFormat="1"/>
    <xf borderId="1" fillId="0" fontId="3" numFmtId="2" xfId="0" applyAlignment="1" applyBorder="1" applyFont="1" applyNumberFormat="1">
      <alignment horizontal="center"/>
    </xf>
    <xf borderId="5" fillId="10" fontId="3" numFmtId="0" xfId="0" applyAlignment="1" applyBorder="1" applyFill="1" applyFont="1">
      <alignment readingOrder="0"/>
    </xf>
    <xf borderId="5" fillId="4" fontId="15" numFmtId="0" xfId="0" applyAlignment="1" applyBorder="1" applyFill="1" applyFont="1">
      <alignment horizontal="left" shrinkToFit="0" vertical="bottom" wrapText="1"/>
    </xf>
    <xf borderId="1" fillId="5" fontId="12" numFmtId="49" xfId="0" applyAlignment="1" applyBorder="1" applyFill="1" applyFont="1" applyNumberFormat="1">
      <alignment horizontal="center" readingOrder="0"/>
    </xf>
    <xf borderId="1" fillId="12" fontId="13" numFmtId="0" xfId="0" applyAlignment="1" applyBorder="1" applyFill="1" applyFont="1">
      <alignment horizontal="left" readingOrder="0" shrinkToFit="0" vertical="center" wrapText="0"/>
    </xf>
    <xf borderId="1" fillId="4" fontId="14" numFmtId="0" xfId="0" applyAlignment="1" applyBorder="1" applyFill="1" applyFont="1">
      <alignment readingOrder="0" shrinkToFit="0" vertical="center" wrapText="1"/>
    </xf>
    <xf borderId="8" fillId="5" fontId="3" numFmtId="49" xfId="0" applyAlignment="1" applyBorder="1" applyFill="1" applyFont="1" applyNumberFormat="1">
      <alignment horizontal="center" vertical="center"/>
    </xf>
    <xf borderId="1" fillId="4" fontId="3" numFmtId="0" xfId="0" applyAlignment="1" applyBorder="1" applyFill="1" applyFont="1">
      <alignment readingOrder="0"/>
    </xf>
    <xf borderId="1" fillId="4" fontId="16" numFmtId="0" xfId="0" applyAlignment="1" applyBorder="1" applyFill="1" applyFont="1">
      <alignment readingOrder="0" shrinkToFit="0" vertical="center" wrapText="1"/>
    </xf>
    <xf borderId="1" fillId="13" fontId="17" numFmtId="0" xfId="0" applyAlignment="1" applyBorder="1" applyFill="1" applyFont="1">
      <alignment readingOrder="0"/>
    </xf>
    <xf borderId="1" fillId="13" fontId="18" numFmtId="0" xfId="0" applyBorder="1" applyFill="1" applyFont="1"/>
    <xf borderId="1" fillId="13" fontId="18" numFmtId="0" xfId="0" applyAlignment="1" applyBorder="1" applyFill="1" applyFont="1">
      <alignment readingOrder="0"/>
    </xf>
    <xf borderId="1" fillId="13" fontId="14" numFmtId="0" xfId="0" applyAlignment="1" applyBorder="1" applyFill="1" applyFont="1">
      <alignment readingOrder="0" shrinkToFit="0" vertical="center" wrapText="1"/>
    </xf>
    <xf borderId="1" fillId="4" fontId="19" numFmtId="0" xfId="0" applyAlignment="1" applyBorder="1" applyFill="1" applyFont="1">
      <alignment horizontal="left" readingOrder="0" shrinkToFit="0" vertical="center" wrapText="0"/>
    </xf>
    <xf borderId="1" fillId="0" fontId="9" numFmtId="0" xfId="0" applyAlignment="1" applyBorder="1" applyFont="1">
      <alignment readingOrder="0" shrinkToFit="0" vertical="center" wrapText="1"/>
    </xf>
    <xf borderId="1" fillId="13" fontId="16" numFmtId="0" xfId="0" applyAlignment="1" applyBorder="1" applyFill="1" applyFont="1">
      <alignment readingOrder="0" shrinkToFit="0" vertical="center" wrapText="1"/>
    </xf>
    <xf borderId="1" fillId="13" fontId="9" numFmtId="0" xfId="0" applyAlignment="1" applyBorder="1" applyFill="1" applyFont="1">
      <alignment shrinkToFit="0" vertical="center" wrapText="1"/>
    </xf>
    <xf borderId="1" fillId="0" fontId="3" numFmtId="0" xfId="0" applyBorder="1" applyFont="1"/>
    <xf borderId="1" fillId="13" fontId="17" numFmtId="0" xfId="0" applyBorder="1" applyFill="1" applyFont="1"/>
    <xf borderId="1" fillId="14" fontId="12" numFmtId="49" xfId="0" applyAlignment="1" applyBorder="1" applyFill="1" applyFont="1" applyNumberFormat="1">
      <alignment horizontal="center" readingOrder="0"/>
    </xf>
    <xf borderId="8" fillId="14" fontId="3" numFmtId="49" xfId="0" applyAlignment="1" applyBorder="1" applyFill="1" applyFont="1" applyNumberFormat="1">
      <alignment horizontal="center" vertical="center"/>
    </xf>
    <xf borderId="0" fillId="0" fontId="3" numFmtId="2" xfId="0" applyAlignment="1" applyFont="1" applyNumberFormat="1">
      <alignment horizontal="center"/>
    </xf>
    <xf borderId="5" fillId="5" fontId="3" numFmtId="0" xfId="0" applyAlignment="1" applyBorder="1" applyFill="1" applyFont="1">
      <alignment readingOrder="0"/>
    </xf>
    <xf borderId="1" fillId="13" fontId="17" numFmtId="0" xfId="0" applyBorder="1" applyFill="1" applyFont="1"/>
    <xf borderId="1" fillId="13" fontId="3" numFmtId="0" xfId="0" applyBorder="1" applyFill="1" applyFont="1"/>
    <xf borderId="1" fillId="0" fontId="20" numFmtId="0" xfId="0" applyAlignment="1" applyBorder="1" applyFont="1">
      <alignment readingOrder="0"/>
    </xf>
    <xf borderId="1" fillId="0" fontId="18" numFmtId="0" xfId="0" applyAlignment="1" applyBorder="1" applyFont="1">
      <alignment readingOrder="0"/>
    </xf>
    <xf borderId="0" fillId="0" fontId="3" numFmtId="0" xfId="0" applyFont="1"/>
    <xf borderId="0" fillId="15" fontId="18" numFmtId="0" xfId="0" applyAlignment="1" applyFill="1" applyFont="1">
      <alignment readingOrder="0"/>
    </xf>
    <xf borderId="0" fillId="0" fontId="18" numFmtId="0" xfId="0" applyAlignment="1" applyFont="1">
      <alignment readingOrder="0"/>
    </xf>
    <xf borderId="1" fillId="16" fontId="17" numFmtId="0" xfId="0" applyAlignment="1" applyBorder="1" applyFill="1" applyFont="1">
      <alignment readingOrder="0"/>
    </xf>
    <xf borderId="1" fillId="17" fontId="17" numFmtId="0" xfId="0" applyAlignment="1" applyBorder="1" applyFill="1" applyFont="1">
      <alignment readingOrder="0"/>
    </xf>
    <xf borderId="1" fillId="18" fontId="21" numFmtId="0" xfId="0" applyAlignment="1" applyBorder="1" applyFill="1" applyFont="1">
      <alignment readingOrder="0"/>
    </xf>
    <xf borderId="1" fillId="17" fontId="18" numFmtId="0" xfId="0" applyAlignment="1" applyBorder="1" applyFill="1" applyFont="1">
      <alignment readingOrder="0"/>
    </xf>
    <xf borderId="1" fillId="10" fontId="12" numFmtId="49" xfId="0" applyAlignment="1" applyBorder="1" applyFill="1" applyFont="1" applyNumberFormat="1">
      <alignment horizontal="center" readingOrder="0"/>
    </xf>
    <xf borderId="8" fillId="10" fontId="3" numFmtId="49" xfId="0" applyAlignment="1" applyBorder="1" applyFill="1" applyFont="1" applyNumberFormat="1">
      <alignment horizontal="center" vertical="center"/>
    </xf>
    <xf borderId="1" fillId="18" fontId="11" numFmtId="0" xfId="0" applyAlignment="1" applyBorder="1" applyFill="1" applyFont="1">
      <alignment readingOrder="0"/>
    </xf>
    <xf borderId="1" fillId="19" fontId="3" numFmtId="0" xfId="0" applyAlignment="1" applyBorder="1" applyFill="1" applyFont="1">
      <alignment readingOrder="0"/>
    </xf>
    <xf borderId="1" fillId="19" fontId="3" numFmtId="2" xfId="0" applyBorder="1" applyFill="1" applyFont="1" applyNumberFormat="1"/>
    <xf borderId="0" fillId="0" fontId="22" numFmtId="0" xfId="0" applyAlignment="1" applyFont="1">
      <alignment readingOrder="0"/>
    </xf>
    <xf borderId="0" fillId="0" fontId="3" numFmtId="0" xfId="0" applyAlignment="1" applyFont="1">
      <alignment readingOrder="0" shrinkToFit="0" wrapText="1"/>
    </xf>
    <xf borderId="1" fillId="20" fontId="12" numFmtId="49" xfId="0" applyAlignment="1" applyBorder="1" applyFill="1" applyFont="1" applyNumberFormat="1">
      <alignment horizontal="center"/>
    </xf>
    <xf borderId="8" fillId="20" fontId="3" numFmtId="49" xfId="0" applyAlignment="1" applyBorder="1" applyFill="1" applyFont="1" applyNumberFormat="1">
      <alignment horizontal="center" readingOrder="0" vertical="center"/>
    </xf>
    <xf borderId="0" fillId="0" fontId="3" numFmtId="2" xfId="0" applyFont="1" applyNumberFormat="1"/>
    <xf borderId="0" fillId="0" fontId="3" numFmtId="0" xfId="0" applyFont="1"/>
    <xf borderId="11" fillId="4" fontId="14" numFmtId="0" xfId="0" applyAlignment="1" applyBorder="1" applyFill="1" applyFont="1">
      <alignment shrinkToFit="0" vertical="center" wrapText="1"/>
    </xf>
    <xf borderId="12" fillId="4" fontId="14" numFmtId="0" xfId="0" applyAlignment="1" applyBorder="1" applyFill="1" applyFont="1">
      <alignment shrinkToFit="0" vertical="center" wrapText="1"/>
    </xf>
    <xf borderId="12" fillId="4" fontId="23" numFmtId="0" xfId="0" applyAlignment="1" applyBorder="1" applyFill="1" applyFont="1">
      <alignment horizontal="center" shrinkToFit="0" vertical="center" wrapText="1"/>
    </xf>
    <xf borderId="0" fillId="4" fontId="3" numFmtId="0" xfId="0" applyFill="1" applyFont="1"/>
    <xf borderId="0" fillId="4" fontId="3" numFmtId="0" xfId="0" applyAlignment="1" applyFill="1" applyFont="1">
      <alignment horizontal="center"/>
    </xf>
    <xf borderId="1" fillId="21" fontId="12" numFmtId="49" xfId="0" applyAlignment="1" applyBorder="1" applyFill="1" applyFont="1" applyNumberFormat="1">
      <alignment horizontal="center"/>
    </xf>
    <xf borderId="8" fillId="21" fontId="3" numFmtId="49" xfId="0" applyAlignment="1" applyBorder="1" applyFill="1" applyFont="1" applyNumberFormat="1">
      <alignment horizontal="center" vertical="center"/>
    </xf>
    <xf borderId="0" fillId="0" fontId="3" numFmtId="0" xfId="0" applyAlignment="1" applyFont="1">
      <alignment horizontal="right" readingOrder="0"/>
    </xf>
    <xf borderId="1" fillId="22" fontId="3" numFmtId="0" xfId="0" applyAlignment="1" applyBorder="1" applyFill="1" applyFont="1">
      <alignment readingOrder="0"/>
    </xf>
    <xf borderId="1" fillId="22" fontId="24" numFmtId="2" xfId="0" applyBorder="1" applyFill="1" applyFont="1" applyNumberFormat="1"/>
    <xf borderId="0" fillId="0" fontId="25" numFmtId="0" xfId="0" applyAlignment="1" applyFont="1">
      <alignment readingOrder="0" shrinkToFit="0" vertical="bottom" wrapText="0"/>
    </xf>
    <xf borderId="0" fillId="13" fontId="18" numFmtId="0" xfId="0" applyAlignment="1" applyFill="1" applyFont="1">
      <alignment readingOrder="0"/>
    </xf>
    <xf borderId="0" fillId="13" fontId="18" numFmtId="0" xfId="0" applyFill="1" applyFont="1"/>
    <xf borderId="0" fillId="0" fontId="3" numFmtId="49" xfId="0" applyFont="1" applyNumberFormat="1"/>
    <xf borderId="0" fillId="0" fontId="17" numFmtId="0" xfId="0" applyAlignment="1" applyFont="1">
      <alignment readingOrder="0"/>
    </xf>
    <xf borderId="0" fillId="0" fontId="26" numFmtId="0" xfId="0" applyAlignment="1" applyFont="1">
      <alignment readingOrder="0" shrinkToFit="0" vertical="bottom" wrapText="0"/>
    </xf>
    <xf borderId="0" fillId="0" fontId="3" numFmtId="0" xfId="0" applyAlignment="1" applyFont="1">
      <alignment horizontal="center" readingOrder="0"/>
    </xf>
    <xf borderId="0" fillId="13" fontId="3" numFmtId="0" xfId="0" applyFill="1" applyFont="1"/>
    <xf borderId="0" fillId="13" fontId="3" numFmtId="0" xfId="0" applyAlignment="1" applyFill="1" applyFont="1">
      <alignment readingOrder="0"/>
    </xf>
    <xf borderId="0" fillId="0" fontId="27" numFmtId="0" xfId="0" applyAlignment="1" applyFont="1">
      <alignment readingOrder="0" shrinkToFit="0" vertical="bottom" wrapText="0"/>
    </xf>
    <xf borderId="1" fillId="23" fontId="3" numFmtId="0" xfId="0" applyAlignment="1" applyBorder="1" applyFill="1" applyFont="1">
      <alignment readingOrder="0"/>
    </xf>
    <xf borderId="0" fillId="13" fontId="22" numFmtId="0" xfId="0" applyAlignment="1" applyFill="1" applyFont="1">
      <alignment readingOrder="0"/>
    </xf>
    <xf borderId="1" fillId="24" fontId="3" numFmtId="0" xfId="0" applyAlignment="1" applyBorder="1" applyFill="1" applyFont="1">
      <alignment readingOrder="0"/>
    </xf>
    <xf borderId="1" fillId="0" fontId="3" numFmtId="164" xfId="0" applyBorder="1" applyFont="1" applyNumberFormat="1"/>
    <xf borderId="5" fillId="24" fontId="18" numFmtId="0" xfId="0" applyAlignment="1" applyBorder="1" applyFill="1" applyFont="1">
      <alignment readingOrder="0"/>
    </xf>
    <xf borderId="1" fillId="25" fontId="25" numFmtId="0" xfId="0" applyAlignment="1" applyBorder="1" applyFill="1" applyFont="1">
      <alignment readingOrder="0" shrinkToFit="0" vertical="bottom" wrapText="0"/>
    </xf>
    <xf borderId="1" fillId="0" fontId="27" numFmtId="0" xfId="0" applyAlignment="1" applyBorder="1" applyFont="1">
      <alignment readingOrder="0" shrinkToFit="0" vertical="bottom" wrapText="0"/>
    </xf>
    <xf borderId="1" fillId="0" fontId="27" numFmtId="0" xfId="0" applyAlignment="1" applyBorder="1" applyFont="1">
      <alignment shrinkToFit="0" vertical="bottom" wrapText="0"/>
    </xf>
    <xf borderId="1" fillId="23" fontId="28" numFmtId="0" xfId="0" applyAlignment="1" applyBorder="1" applyFill="1" applyFont="1">
      <alignment horizontal="right" readingOrder="0" shrinkToFit="0" vertical="bottom" wrapText="0"/>
    </xf>
    <xf borderId="0" fillId="13" fontId="3" numFmtId="11" xfId="0" applyAlignment="1" applyFill="1" applyFont="1" applyNumberFormat="1">
      <alignment readingOrder="0"/>
    </xf>
    <xf borderId="5" fillId="0" fontId="29" numFmtId="0" xfId="0" applyAlignment="1" applyBorder="1" applyFont="1">
      <alignment readingOrder="0" shrinkToFit="0" vertical="bottom" wrapText="0"/>
    </xf>
    <xf borderId="0" fillId="0" fontId="18" numFmtId="4" xfId="0" applyAlignment="1" applyFont="1" applyNumberFormat="1">
      <alignment readingOrder="0"/>
    </xf>
    <xf borderId="0" fillId="0" fontId="28" numFmtId="0" xfId="0" applyAlignment="1" applyFont="1">
      <alignment horizontal="right" readingOrder="0" shrinkToFit="0" vertical="bottom" wrapText="0"/>
    </xf>
    <xf borderId="0" fillId="0" fontId="30" numFmtId="0" xfId="0" applyAlignment="1" applyFont="1">
      <alignment readingOrder="0" shrinkToFit="0" vertical="bottom" wrapText="0"/>
    </xf>
    <xf borderId="0" fillId="0" fontId="27" numFmtId="0" xfId="0" applyAlignment="1" applyFont="1">
      <alignment shrinkToFit="0" vertical="bottom" wrapText="0"/>
    </xf>
    <xf borderId="0" fillId="0" fontId="3" numFmtId="4" xfId="0" applyFont="1" applyNumberFormat="1"/>
    <xf borderId="0" fillId="0" fontId="3" numFmtId="10" xfId="0" applyAlignment="1" applyFont="1" applyNumberFormat="1">
      <alignment readingOrder="0"/>
    </xf>
    <xf borderId="0" fillId="0" fontId="18" numFmtId="0" xfId="0" applyAlignment="1" applyFont="1">
      <alignment horizontal="center" readingOrder="0"/>
    </xf>
    <xf borderId="0" fillId="0" fontId="3" numFmtId="2" xfId="0" applyAlignment="1" applyFont="1" applyNumberFormat="1">
      <alignment readingOrder="0"/>
    </xf>
    <xf borderId="1" fillId="0" fontId="3" numFmtId="1" xfId="0" applyBorder="1" applyFont="1" applyNumberFormat="1"/>
    <xf borderId="1" fillId="0" fontId="27" numFmtId="0" xfId="0" applyAlignment="1" applyBorder="1" applyFont="1">
      <alignment shrinkToFit="0" vertical="bottom" wrapText="0"/>
    </xf>
    <xf borderId="1" fillId="0" fontId="25" numFmtId="0" xfId="0" applyAlignment="1" applyBorder="1" applyFont="1">
      <alignment readingOrder="0" shrinkToFit="0" vertical="bottom" wrapText="0"/>
    </xf>
    <xf borderId="1" fillId="24" fontId="3" numFmtId="0" xfId="0" applyBorder="1" applyFill="1" applyFont="1"/>
    <xf borderId="1" fillId="0" fontId="27" numFmtId="10" xfId="0" applyAlignment="1" applyBorder="1" applyFont="1" applyNumberFormat="1">
      <alignment horizontal="right" readingOrder="0" shrinkToFit="0" vertical="bottom" wrapText="0"/>
    </xf>
    <xf borderId="0" fillId="0" fontId="3" numFmtId="0" xfId="0" applyAlignment="1" applyFont="1">
      <alignment horizontal="left" readingOrder="0"/>
    </xf>
    <xf borderId="0" fillId="0" fontId="3" numFmtId="165" xfId="0" applyAlignment="1" applyFont="1" applyNumberForma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35.png"/><Relationship Id="rId3" Type="http://schemas.openxmlformats.org/officeDocument/2006/relationships/image" Target="../media/image8.png"/><Relationship Id="rId4"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0.png"/><Relationship Id="rId3" Type="http://schemas.openxmlformats.org/officeDocument/2006/relationships/image" Target="../media/image22.png"/><Relationship Id="rId4" Type="http://schemas.openxmlformats.org/officeDocument/2006/relationships/image" Target="../media/image7.png"/><Relationship Id="rId10" Type="http://schemas.openxmlformats.org/officeDocument/2006/relationships/image" Target="../media/image38.png"/><Relationship Id="rId9" Type="http://schemas.openxmlformats.org/officeDocument/2006/relationships/image" Target="../media/image30.png"/><Relationship Id="rId5" Type="http://schemas.openxmlformats.org/officeDocument/2006/relationships/image" Target="../media/image23.png"/><Relationship Id="rId6" Type="http://schemas.openxmlformats.org/officeDocument/2006/relationships/image" Target="../media/image27.png"/><Relationship Id="rId7" Type="http://schemas.openxmlformats.org/officeDocument/2006/relationships/image" Target="../media/image9.png"/><Relationship Id="rId8" Type="http://schemas.openxmlformats.org/officeDocument/2006/relationships/image" Target="../media/image19.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6.png"/><Relationship Id="rId3" Type="http://schemas.openxmlformats.org/officeDocument/2006/relationships/image" Target="../media/image14.png"/><Relationship Id="rId4" Type="http://schemas.openxmlformats.org/officeDocument/2006/relationships/image" Target="../media/image32.png"/><Relationship Id="rId5" Type="http://schemas.openxmlformats.org/officeDocument/2006/relationships/image" Target="../media/image5.png"/><Relationship Id="rId6"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1" Type="http://schemas.openxmlformats.org/officeDocument/2006/relationships/image" Target="../media/image15.png"/><Relationship Id="rId10" Type="http://schemas.openxmlformats.org/officeDocument/2006/relationships/image" Target="../media/image37.png"/><Relationship Id="rId13" Type="http://schemas.openxmlformats.org/officeDocument/2006/relationships/image" Target="../media/image6.png"/><Relationship Id="rId12" Type="http://schemas.openxmlformats.org/officeDocument/2006/relationships/image" Target="../media/image33.png"/><Relationship Id="rId1" Type="http://schemas.openxmlformats.org/officeDocument/2006/relationships/image" Target="../media/image2.png"/><Relationship Id="rId2" Type="http://schemas.openxmlformats.org/officeDocument/2006/relationships/image" Target="../media/image39.png"/><Relationship Id="rId3" Type="http://schemas.openxmlformats.org/officeDocument/2006/relationships/image" Target="../media/image36.png"/><Relationship Id="rId4" Type="http://schemas.openxmlformats.org/officeDocument/2006/relationships/image" Target="../media/image20.png"/><Relationship Id="rId9" Type="http://schemas.openxmlformats.org/officeDocument/2006/relationships/image" Target="../media/image18.png"/><Relationship Id="rId5" Type="http://schemas.openxmlformats.org/officeDocument/2006/relationships/image" Target="../media/image11.png"/><Relationship Id="rId6" Type="http://schemas.openxmlformats.org/officeDocument/2006/relationships/image" Target="../media/image12.png"/><Relationship Id="rId7" Type="http://schemas.openxmlformats.org/officeDocument/2006/relationships/image" Target="../media/image26.png"/><Relationship Id="rId8"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219075</xdr:colOff>
      <xdr:row>5</xdr:row>
      <xdr:rowOff>152400</xdr:rowOff>
    </xdr:from>
    <xdr:ext cx="3076575" cy="1476375"/>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438150</xdr:colOff>
      <xdr:row>38</xdr:row>
      <xdr:rowOff>161925</xdr:rowOff>
    </xdr:from>
    <xdr:ext cx="4295775" cy="2400300"/>
    <xdr:pic>
      <xdr:nvPicPr>
        <xdr:cNvPr id="0" name="image3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381000</xdr:colOff>
      <xdr:row>25</xdr:row>
      <xdr:rowOff>28575</xdr:rowOff>
    </xdr:from>
    <xdr:ext cx="3857625" cy="2238375"/>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219075</xdr:colOff>
      <xdr:row>14</xdr:row>
      <xdr:rowOff>76200</xdr:rowOff>
    </xdr:from>
    <xdr:ext cx="3076575" cy="1714500"/>
    <xdr:pic>
      <xdr:nvPicPr>
        <xdr:cNvPr id="0" name="image29.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1</xdr:row>
      <xdr:rowOff>95250</xdr:rowOff>
    </xdr:from>
    <xdr:ext cx="5829300" cy="2819400"/>
    <xdr:pic>
      <xdr:nvPicPr>
        <xdr:cNvPr id="0" name="image3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942975</xdr:colOff>
      <xdr:row>1</xdr:row>
      <xdr:rowOff>95250</xdr:rowOff>
    </xdr:from>
    <xdr:ext cx="5524500" cy="2247900"/>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390525</xdr:colOff>
      <xdr:row>0</xdr:row>
      <xdr:rowOff>142875</xdr:rowOff>
    </xdr:from>
    <xdr:ext cx="5591175" cy="2400300"/>
    <xdr:pic>
      <xdr:nvPicPr>
        <xdr:cNvPr id="0" name="image4.png" title="Resim"/>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390525</xdr:colOff>
      <xdr:row>13</xdr:row>
      <xdr:rowOff>66675</xdr:rowOff>
    </xdr:from>
    <xdr:ext cx="4876800" cy="5133975"/>
    <xdr:pic>
      <xdr:nvPicPr>
        <xdr:cNvPr id="0" name="image17.png" title="Resi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1543050</xdr:colOff>
      <xdr:row>27</xdr:row>
      <xdr:rowOff>171450</xdr:rowOff>
    </xdr:from>
    <xdr:ext cx="1809750" cy="38100"/>
    <xdr:grpSp>
      <xdr:nvGrpSpPr>
        <xdr:cNvPr id="2" name="Shape 2" title="Dibujo"/>
        <xdr:cNvGrpSpPr/>
      </xdr:nvGrpSpPr>
      <xdr:grpSpPr>
        <a:xfrm>
          <a:off x="1370975" y="2211575"/>
          <a:ext cx="1791300" cy="20100"/>
          <a:chOff x="1370975" y="2211575"/>
          <a:chExt cx="1791300" cy="20100"/>
        </a:xfrm>
      </xdr:grpSpPr>
      <xdr:cxnSp>
        <xdr:nvCxnSpPr>
          <xdr:cNvPr id="3" name="Shape 3"/>
          <xdr:cNvCxnSpPr/>
        </xdr:nvCxnSpPr>
        <xdr:spPr>
          <a:xfrm>
            <a:off x="1370975" y="2211575"/>
            <a:ext cx="1791300" cy="20100"/>
          </a:xfrm>
          <a:prstGeom prst="straightConnector1">
            <a:avLst/>
          </a:prstGeom>
          <a:noFill/>
          <a:ln cap="flat" cmpd="sng" w="38100">
            <a:solidFill>
              <a:srgbClr val="0000FF"/>
            </a:solidFill>
            <a:prstDash val="solid"/>
            <a:round/>
            <a:headEnd len="med" w="med" type="none"/>
            <a:tailEnd len="med" w="med" type="triangle"/>
          </a:ln>
        </xdr:spPr>
      </xdr:cxnSp>
    </xdr:grpSp>
    <xdr:clientData fLocksWithSheet="0"/>
  </xdr:oneCellAnchor>
  <xdr:oneCellAnchor>
    <xdr:from>
      <xdr:col>0</xdr:col>
      <xdr:colOff>1485900</xdr:colOff>
      <xdr:row>33</xdr:row>
      <xdr:rowOff>104775</xdr:rowOff>
    </xdr:from>
    <xdr:ext cx="2105025" cy="28575"/>
    <xdr:grpSp>
      <xdr:nvGrpSpPr>
        <xdr:cNvPr id="2" name="Shape 2" title="Dibujo"/>
        <xdr:cNvGrpSpPr/>
      </xdr:nvGrpSpPr>
      <xdr:grpSpPr>
        <a:xfrm>
          <a:off x="1931375" y="1861425"/>
          <a:ext cx="2081400" cy="9900"/>
          <a:chOff x="1931375" y="1861425"/>
          <a:chExt cx="2081400" cy="9900"/>
        </a:xfrm>
      </xdr:grpSpPr>
      <xdr:cxnSp>
        <xdr:nvCxnSpPr>
          <xdr:cNvPr id="4" name="Shape 4"/>
          <xdr:cNvCxnSpPr/>
        </xdr:nvCxnSpPr>
        <xdr:spPr>
          <a:xfrm flipH="1" rot="10800000">
            <a:off x="1931375" y="1861425"/>
            <a:ext cx="2081400" cy="9900"/>
          </a:xfrm>
          <a:prstGeom prst="straightConnector1">
            <a:avLst/>
          </a:prstGeom>
          <a:noFill/>
          <a:ln cap="flat" cmpd="sng" w="38100">
            <a:solidFill>
              <a:srgbClr val="0000FF"/>
            </a:solidFill>
            <a:prstDash val="solid"/>
            <a:round/>
            <a:headEnd len="med" w="med" type="none"/>
            <a:tailEnd len="med" w="med" type="triangle"/>
          </a:ln>
        </xdr:spPr>
      </xdr:cxnSp>
    </xdr:grpSp>
    <xdr:clientData fLocksWithSheet="0"/>
  </xdr:oneCellAnchor>
  <xdr:oneCellAnchor>
    <xdr:from>
      <xdr:col>0</xdr:col>
      <xdr:colOff>1543050</xdr:colOff>
      <xdr:row>32</xdr:row>
      <xdr:rowOff>104775</xdr:rowOff>
    </xdr:from>
    <xdr:ext cx="2857500" cy="38100"/>
    <xdr:grpSp>
      <xdr:nvGrpSpPr>
        <xdr:cNvPr id="2" name="Shape 2" title="Dibujo"/>
        <xdr:cNvGrpSpPr/>
      </xdr:nvGrpSpPr>
      <xdr:grpSpPr>
        <a:xfrm>
          <a:off x="1731225" y="2211475"/>
          <a:ext cx="2841900" cy="20100"/>
          <a:chOff x="1731225" y="2211475"/>
          <a:chExt cx="2841900" cy="20100"/>
        </a:xfrm>
      </xdr:grpSpPr>
      <xdr:cxnSp>
        <xdr:nvCxnSpPr>
          <xdr:cNvPr id="5" name="Shape 5"/>
          <xdr:cNvCxnSpPr/>
        </xdr:nvCxnSpPr>
        <xdr:spPr>
          <a:xfrm flipH="1" rot="10800000">
            <a:off x="1731225" y="2211475"/>
            <a:ext cx="2841900" cy="20100"/>
          </a:xfrm>
          <a:prstGeom prst="straightConnector1">
            <a:avLst/>
          </a:prstGeom>
          <a:noFill/>
          <a:ln cap="flat" cmpd="sng" w="38100">
            <a:solidFill>
              <a:srgbClr val="0000FF"/>
            </a:solidFill>
            <a:prstDash val="solid"/>
            <a:round/>
            <a:headEnd len="med" w="med" type="none"/>
            <a:tailEnd len="med" w="med" type="triangle"/>
          </a:ln>
        </xdr:spPr>
      </xdr:cxnSp>
    </xdr:grpSp>
    <xdr:clientData fLocksWithSheet="0"/>
  </xdr:oneCellAnchor>
  <xdr:oneCellAnchor>
    <xdr:from>
      <xdr:col>0</xdr:col>
      <xdr:colOff>1514475</xdr:colOff>
      <xdr:row>36</xdr:row>
      <xdr:rowOff>47625</xdr:rowOff>
    </xdr:from>
    <xdr:ext cx="2047875" cy="38100"/>
    <xdr:grpSp>
      <xdr:nvGrpSpPr>
        <xdr:cNvPr id="2" name="Shape 2" title="Dibujo"/>
        <xdr:cNvGrpSpPr/>
      </xdr:nvGrpSpPr>
      <xdr:grpSpPr>
        <a:xfrm>
          <a:off x="2401700" y="2001425"/>
          <a:ext cx="2031600" cy="20100"/>
          <a:chOff x="2401700" y="2001425"/>
          <a:chExt cx="2031600" cy="20100"/>
        </a:xfrm>
      </xdr:grpSpPr>
      <xdr:cxnSp>
        <xdr:nvCxnSpPr>
          <xdr:cNvPr id="6" name="Shape 6"/>
          <xdr:cNvCxnSpPr/>
        </xdr:nvCxnSpPr>
        <xdr:spPr>
          <a:xfrm>
            <a:off x="2401700" y="2001425"/>
            <a:ext cx="2031600" cy="20100"/>
          </a:xfrm>
          <a:prstGeom prst="straightConnector1">
            <a:avLst/>
          </a:prstGeom>
          <a:noFill/>
          <a:ln cap="flat" cmpd="sng" w="38100">
            <a:solidFill>
              <a:srgbClr val="0000FF"/>
            </a:solidFill>
            <a:prstDash val="solid"/>
            <a:round/>
            <a:headEnd len="med" w="med" type="none"/>
            <a:tailEnd len="med" w="med" type="triangle"/>
          </a:ln>
        </xdr:spPr>
      </xdr:cxnSp>
    </xdr:grpSp>
    <xdr:clientData fLocksWithSheet="0"/>
  </xdr:oneCellAnchor>
  <xdr:oneCellAnchor>
    <xdr:from>
      <xdr:col>2</xdr:col>
      <xdr:colOff>657225</xdr:colOff>
      <xdr:row>23</xdr:row>
      <xdr:rowOff>171450</xdr:rowOff>
    </xdr:from>
    <xdr:ext cx="190500" cy="3067050"/>
    <xdr:grpSp>
      <xdr:nvGrpSpPr>
        <xdr:cNvPr id="2" name="Shape 2" title="Dibujo"/>
        <xdr:cNvGrpSpPr/>
      </xdr:nvGrpSpPr>
      <xdr:grpSpPr>
        <a:xfrm>
          <a:off x="3332375" y="510400"/>
          <a:ext cx="60000" cy="4823400"/>
          <a:chOff x="3332375" y="510400"/>
          <a:chExt cx="60000" cy="4823400"/>
        </a:xfrm>
      </xdr:grpSpPr>
      <xdr:cxnSp>
        <xdr:nvCxnSpPr>
          <xdr:cNvPr id="7" name="Shape 7"/>
          <xdr:cNvCxnSpPr/>
        </xdr:nvCxnSpPr>
        <xdr:spPr>
          <a:xfrm flipH="1" rot="10800000">
            <a:off x="3332375" y="510400"/>
            <a:ext cx="60000" cy="4823400"/>
          </a:xfrm>
          <a:prstGeom prst="straightConnector1">
            <a:avLst/>
          </a:prstGeom>
          <a:noFill/>
          <a:ln cap="flat" cmpd="sng" w="38100">
            <a:solidFill>
              <a:srgbClr val="0000FF"/>
            </a:solidFill>
            <a:prstDash val="solid"/>
            <a:round/>
            <a:headEnd len="med" w="med" type="none"/>
            <a:tailEnd len="med" w="med" type="triangle"/>
          </a:ln>
        </xdr:spPr>
      </xdr:cxnSp>
    </xdr:grpSp>
    <xdr:clientData fLocksWithSheet="0"/>
  </xdr:oneCellAnchor>
  <xdr:oneCellAnchor>
    <xdr:from>
      <xdr:col>0</xdr:col>
      <xdr:colOff>904875</xdr:colOff>
      <xdr:row>14</xdr:row>
      <xdr:rowOff>-123825</xdr:rowOff>
    </xdr:from>
    <xdr:ext cx="6972300" cy="5362575"/>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733425</xdr:colOff>
      <xdr:row>13</xdr:row>
      <xdr:rowOff>66675</xdr:rowOff>
    </xdr:from>
    <xdr:ext cx="1924050" cy="1543050"/>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171450</xdr:colOff>
      <xdr:row>1</xdr:row>
      <xdr:rowOff>19050</xdr:rowOff>
    </xdr:from>
    <xdr:ext cx="6305550" cy="3400425"/>
    <xdr:pic>
      <xdr:nvPicPr>
        <xdr:cNvPr id="0" name="image13.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xdr:row>
      <xdr:rowOff>38100</xdr:rowOff>
    </xdr:from>
    <xdr:ext cx="2495550" cy="914400"/>
    <xdr:pic>
      <xdr:nvPicPr>
        <xdr:cNvPr id="0" name="image10.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123825</xdr:colOff>
      <xdr:row>19</xdr:row>
      <xdr:rowOff>152400</xdr:rowOff>
    </xdr:from>
    <xdr:ext cx="5153025" cy="1971675"/>
    <xdr:pic>
      <xdr:nvPicPr>
        <xdr:cNvPr id="0" name="image22.png" title="Resim"/>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838200</xdr:colOff>
      <xdr:row>31</xdr:row>
      <xdr:rowOff>104775</xdr:rowOff>
    </xdr:from>
    <xdr:ext cx="4143375" cy="2562225"/>
    <xdr:pic>
      <xdr:nvPicPr>
        <xdr:cNvPr id="0" name="image7.png" title="Resim"/>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952500</xdr:colOff>
      <xdr:row>2</xdr:row>
      <xdr:rowOff>19050</xdr:rowOff>
    </xdr:from>
    <xdr:ext cx="1924050" cy="619125"/>
    <xdr:pic>
      <xdr:nvPicPr>
        <xdr:cNvPr id="0" name="image23.png" title="Resim"/>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333375</xdr:colOff>
      <xdr:row>45</xdr:row>
      <xdr:rowOff>47625</xdr:rowOff>
    </xdr:from>
    <xdr:ext cx="2238375" cy="971550"/>
    <xdr:pic>
      <xdr:nvPicPr>
        <xdr:cNvPr id="0" name="image27.png" title="Resim"/>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600075</xdr:colOff>
      <xdr:row>48</xdr:row>
      <xdr:rowOff>523875</xdr:rowOff>
    </xdr:from>
    <xdr:ext cx="1714500" cy="685800"/>
    <xdr:pic>
      <xdr:nvPicPr>
        <xdr:cNvPr id="0" name="image9.png" title="Resim"/>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923925</xdr:colOff>
      <xdr:row>46</xdr:row>
      <xdr:rowOff>171450</xdr:rowOff>
    </xdr:from>
    <xdr:ext cx="9410700" cy="3200400"/>
    <xdr:pic>
      <xdr:nvPicPr>
        <xdr:cNvPr id="0" name="image19.png" title="Resim"/>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695325</xdr:colOff>
      <xdr:row>68</xdr:row>
      <xdr:rowOff>28575</xdr:rowOff>
    </xdr:from>
    <xdr:ext cx="5276850" cy="5048250"/>
    <xdr:pic>
      <xdr:nvPicPr>
        <xdr:cNvPr id="0" name="image30.png" title="Resim"/>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552450</xdr:colOff>
      <xdr:row>57</xdr:row>
      <xdr:rowOff>104775</xdr:rowOff>
    </xdr:from>
    <xdr:ext cx="7191375" cy="2066925"/>
    <xdr:pic>
      <xdr:nvPicPr>
        <xdr:cNvPr id="0" name="image38.png" title="Resim"/>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0</xdr:row>
      <xdr:rowOff>0</xdr:rowOff>
    </xdr:from>
    <xdr:ext cx="9963150" cy="2219325"/>
    <xdr:pic>
      <xdr:nvPicPr>
        <xdr:cNvPr id="0" name="image3.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523875</xdr:colOff>
      <xdr:row>13</xdr:row>
      <xdr:rowOff>95250</xdr:rowOff>
    </xdr:from>
    <xdr:ext cx="6600825" cy="4381500"/>
    <xdr:pic>
      <xdr:nvPicPr>
        <xdr:cNvPr id="0" name="image16.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247650</xdr:colOff>
      <xdr:row>37</xdr:row>
      <xdr:rowOff>38100</xdr:rowOff>
    </xdr:from>
    <xdr:ext cx="2305050" cy="3019425"/>
    <xdr:pic>
      <xdr:nvPicPr>
        <xdr:cNvPr id="0" name="image14.png" title="Resim"/>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123825</xdr:colOff>
      <xdr:row>64</xdr:row>
      <xdr:rowOff>76200</xdr:rowOff>
    </xdr:from>
    <xdr:ext cx="7972425" cy="4181475"/>
    <xdr:pic>
      <xdr:nvPicPr>
        <xdr:cNvPr id="0" name="image32.png" title="Resim"/>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809625</xdr:colOff>
      <xdr:row>44</xdr:row>
      <xdr:rowOff>66675</xdr:rowOff>
    </xdr:from>
    <xdr:ext cx="3400425" cy="3676650"/>
    <xdr:pic>
      <xdr:nvPicPr>
        <xdr:cNvPr id="0" name="image5.png" title="Resim"/>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723900</xdr:colOff>
      <xdr:row>37</xdr:row>
      <xdr:rowOff>123825</xdr:rowOff>
    </xdr:from>
    <xdr:ext cx="4457700" cy="1276350"/>
    <xdr:pic>
      <xdr:nvPicPr>
        <xdr:cNvPr id="0" name="image21.png" title="Resim"/>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15</xdr:row>
      <xdr:rowOff>180975</xdr:rowOff>
    </xdr:from>
    <xdr:ext cx="2752725" cy="186690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14</xdr:row>
      <xdr:rowOff>190500</xdr:rowOff>
    </xdr:from>
    <xdr:ext cx="4305300" cy="3314700"/>
    <xdr:pic>
      <xdr:nvPicPr>
        <xdr:cNvPr id="0" name="image39.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152400</xdr:colOff>
      <xdr:row>73</xdr:row>
      <xdr:rowOff>123825</xdr:rowOff>
    </xdr:from>
    <xdr:ext cx="5210175" cy="2800350"/>
    <xdr:pic>
      <xdr:nvPicPr>
        <xdr:cNvPr id="0" name="image36.png" title="Resi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276225</xdr:colOff>
      <xdr:row>72</xdr:row>
      <xdr:rowOff>-66675</xdr:rowOff>
    </xdr:from>
    <xdr:ext cx="6696075" cy="3724275"/>
    <xdr:pic>
      <xdr:nvPicPr>
        <xdr:cNvPr id="0" name="image20.png" title="Resim"/>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99</xdr:row>
      <xdr:rowOff>152400</xdr:rowOff>
    </xdr:from>
    <xdr:ext cx="7467600" cy="5048250"/>
    <xdr:pic>
      <xdr:nvPicPr>
        <xdr:cNvPr id="0" name="image11.png" title="Resim"/>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447675</xdr:colOff>
      <xdr:row>99</xdr:row>
      <xdr:rowOff>152400</xdr:rowOff>
    </xdr:from>
    <xdr:ext cx="6696075" cy="3514725"/>
    <xdr:pic>
      <xdr:nvPicPr>
        <xdr:cNvPr id="0" name="image12.png" title="Resi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276225</xdr:colOff>
      <xdr:row>133</xdr:row>
      <xdr:rowOff>190500</xdr:rowOff>
    </xdr:from>
    <xdr:ext cx="4305300" cy="3314700"/>
    <xdr:pic>
      <xdr:nvPicPr>
        <xdr:cNvPr id="0" name="image39.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152400</xdr:colOff>
      <xdr:row>134</xdr:row>
      <xdr:rowOff>152400</xdr:rowOff>
    </xdr:from>
    <xdr:ext cx="8086725" cy="4981575"/>
    <xdr:pic>
      <xdr:nvPicPr>
        <xdr:cNvPr id="0" name="image26.png" title="Resim"/>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152400</xdr:colOff>
      <xdr:row>45</xdr:row>
      <xdr:rowOff>152400</xdr:rowOff>
    </xdr:from>
    <xdr:ext cx="4972050" cy="3724275"/>
    <xdr:pic>
      <xdr:nvPicPr>
        <xdr:cNvPr id="0" name="image34.png" title="Resi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152400</xdr:colOff>
      <xdr:row>163</xdr:row>
      <xdr:rowOff>152400</xdr:rowOff>
    </xdr:from>
    <xdr:ext cx="10829925" cy="5048250"/>
    <xdr:pic>
      <xdr:nvPicPr>
        <xdr:cNvPr id="0" name="image18.png" title="Resim"/>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152400</xdr:colOff>
      <xdr:row>164</xdr:row>
      <xdr:rowOff>152400</xdr:rowOff>
    </xdr:from>
    <xdr:ext cx="7248525" cy="4048125"/>
    <xdr:pic>
      <xdr:nvPicPr>
        <xdr:cNvPr id="0" name="image37.png" title="Resim"/>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152400</xdr:colOff>
      <xdr:row>12</xdr:row>
      <xdr:rowOff>104775</xdr:rowOff>
    </xdr:from>
    <xdr:ext cx="4791075" cy="2524125"/>
    <xdr:pic>
      <xdr:nvPicPr>
        <xdr:cNvPr id="0" name="image15.png" title="Resim"/>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212</xdr:row>
      <xdr:rowOff>190500</xdr:rowOff>
    </xdr:from>
    <xdr:ext cx="4181475" cy="3219450"/>
    <xdr:pic>
      <xdr:nvPicPr>
        <xdr:cNvPr id="0" name="image33.png" title="Resim"/>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752475</xdr:colOff>
      <xdr:row>214</xdr:row>
      <xdr:rowOff>57150</xdr:rowOff>
    </xdr:from>
    <xdr:ext cx="3352800" cy="1952625"/>
    <xdr:pic>
      <xdr:nvPicPr>
        <xdr:cNvPr id="0" name="image6.png" title="Resim"/>
        <xdr:cNvPicPr preferRelativeResize="0"/>
      </xdr:nvPicPr>
      <xdr:blipFill>
        <a:blip cstate="print" r:embed="rId1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6.29"/>
    <col customWidth="1" min="2" max="2" width="14.0"/>
    <col customWidth="1" min="3" max="3" width="16.0"/>
    <col customWidth="1" min="4" max="4" width="9.0"/>
    <col customWidth="1" min="5" max="5" width="34.0"/>
    <col customWidth="1" min="6" max="6" width="36.57"/>
    <col customWidth="1" min="7" max="7" width="29.57"/>
    <col customWidth="1" min="8" max="8" width="36.43"/>
  </cols>
  <sheetData>
    <row r="1" ht="21.75" customHeight="1">
      <c r="A1" s="3" t="s">
        <v>1</v>
      </c>
      <c r="B1" s="8"/>
      <c r="C1" s="9"/>
      <c r="D1" s="9"/>
      <c r="E1" s="9"/>
      <c r="F1" s="9"/>
    </row>
    <row r="2" ht="21.75" customHeight="1">
      <c r="A2" s="12"/>
    </row>
    <row r="3" ht="15.75" customHeight="1">
      <c r="A3" s="14" t="s">
        <v>14</v>
      </c>
      <c r="B3" s="15" t="s">
        <v>16</v>
      </c>
      <c r="C3" s="14" t="s">
        <v>17</v>
      </c>
      <c r="D3" s="14" t="s">
        <v>18</v>
      </c>
      <c r="E3" s="14" t="s">
        <v>19</v>
      </c>
      <c r="F3" s="15" t="s">
        <v>21</v>
      </c>
    </row>
    <row r="4" ht="15.75" customHeight="1">
      <c r="A4" s="21" t="s">
        <v>23</v>
      </c>
      <c r="B4" s="21" t="s">
        <v>25</v>
      </c>
      <c r="C4" s="21">
        <v>36.0</v>
      </c>
      <c r="D4" s="21" t="s">
        <v>27</v>
      </c>
      <c r="E4" s="21"/>
      <c r="F4" s="23"/>
    </row>
    <row r="5" ht="15.75" customHeight="1">
      <c r="A5" s="21" t="s">
        <v>35</v>
      </c>
      <c r="B5" s="21" t="s">
        <v>36</v>
      </c>
      <c r="C5" s="21">
        <v>24.0</v>
      </c>
      <c r="D5" s="21" t="s">
        <v>27</v>
      </c>
      <c r="E5" s="21"/>
      <c r="F5" s="23"/>
    </row>
    <row r="6" ht="15.75" customHeight="1">
      <c r="A6" s="21" t="s">
        <v>38</v>
      </c>
      <c r="B6" s="21" t="s">
        <v>39</v>
      </c>
      <c r="C6" s="21">
        <v>3.2</v>
      </c>
      <c r="D6" s="21" t="s">
        <v>27</v>
      </c>
      <c r="E6" s="21" t="s">
        <v>41</v>
      </c>
      <c r="F6" s="29" t="s">
        <v>43</v>
      </c>
    </row>
    <row r="7" ht="15.75" customHeight="1">
      <c r="A7" s="21" t="s">
        <v>49</v>
      </c>
      <c r="B7" s="30"/>
      <c r="C7" s="21">
        <v>5.0</v>
      </c>
      <c r="D7" s="30"/>
      <c r="E7" s="21" t="s">
        <v>41</v>
      </c>
      <c r="F7" s="32" t="s">
        <v>51</v>
      </c>
    </row>
    <row r="8" ht="15.75" customHeight="1">
      <c r="A8" s="21" t="s">
        <v>52</v>
      </c>
      <c r="B8" s="30"/>
      <c r="C8" s="30">
        <f>C6*C7</f>
        <v>16</v>
      </c>
      <c r="D8" s="21" t="s">
        <v>27</v>
      </c>
      <c r="E8" s="21" t="s">
        <v>41</v>
      </c>
      <c r="F8" s="32" t="s">
        <v>55</v>
      </c>
    </row>
    <row r="9" ht="15.75" customHeight="1">
      <c r="A9" s="21" t="s">
        <v>56</v>
      </c>
      <c r="B9" s="30"/>
      <c r="C9" s="30">
        <f>C4*C5</f>
        <v>864</v>
      </c>
      <c r="D9" s="21" t="s">
        <v>59</v>
      </c>
      <c r="E9" s="21" t="s">
        <v>41</v>
      </c>
      <c r="F9" s="38" t="s">
        <v>61</v>
      </c>
    </row>
    <row r="10" ht="15.75" customHeight="1">
      <c r="A10" s="21" t="s">
        <v>62</v>
      </c>
      <c r="B10" s="30"/>
      <c r="C10" s="21">
        <v>6.0</v>
      </c>
      <c r="D10" s="30"/>
      <c r="E10" s="30"/>
      <c r="F10" s="23"/>
    </row>
    <row r="11" ht="15.75" customHeight="1">
      <c r="A11" s="21" t="s">
        <v>63</v>
      </c>
      <c r="B11" s="30"/>
      <c r="C11" s="21">
        <v>8.0</v>
      </c>
      <c r="D11" s="21" t="s">
        <v>59</v>
      </c>
      <c r="E11" s="30"/>
      <c r="F11" s="23"/>
    </row>
    <row r="12" ht="15.75" customHeight="1">
      <c r="A12" s="21" t="s">
        <v>66</v>
      </c>
      <c r="B12" s="30"/>
      <c r="C12" s="30">
        <f>C10*C11</f>
        <v>48</v>
      </c>
      <c r="D12" s="21" t="s">
        <v>59</v>
      </c>
      <c r="E12" s="30"/>
      <c r="F12" s="23"/>
    </row>
    <row r="13" ht="15.75" customHeight="1">
      <c r="A13" s="44"/>
      <c r="B13" s="44"/>
      <c r="C13" s="44"/>
      <c r="D13" s="44"/>
      <c r="E13" s="44"/>
      <c r="F13" s="45"/>
    </row>
    <row r="14" ht="18.0" customHeight="1">
      <c r="A14" s="48" t="s">
        <v>72</v>
      </c>
      <c r="B14" s="50"/>
      <c r="C14" s="50"/>
      <c r="D14" s="50"/>
      <c r="E14" s="50"/>
      <c r="F14" s="51"/>
    </row>
    <row r="15" ht="15.75" customHeight="1">
      <c r="A15" s="21" t="s">
        <v>82</v>
      </c>
      <c r="B15" s="30"/>
      <c r="C15" s="21">
        <v>40.0</v>
      </c>
      <c r="D15" s="21" t="s">
        <v>83</v>
      </c>
      <c r="E15" s="21" t="s">
        <v>84</v>
      </c>
      <c r="F15" s="23"/>
    </row>
    <row r="16" ht="15.75" customHeight="1">
      <c r="A16" s="21" t="s">
        <v>85</v>
      </c>
      <c r="B16" s="30"/>
      <c r="C16" s="21">
        <v>40.0</v>
      </c>
      <c r="D16" s="21" t="s">
        <v>83</v>
      </c>
      <c r="E16" s="30"/>
      <c r="F16" s="23"/>
    </row>
    <row r="17" ht="15.75" customHeight="1">
      <c r="A17" s="21" t="s">
        <v>86</v>
      </c>
      <c r="B17" s="30"/>
      <c r="C17" s="21">
        <v>24.0</v>
      </c>
      <c r="D17" s="21" t="s">
        <v>83</v>
      </c>
      <c r="E17" s="21" t="s">
        <v>87</v>
      </c>
      <c r="F17" s="23"/>
    </row>
    <row r="18" ht="15.75" customHeight="1">
      <c r="A18" s="21" t="s">
        <v>88</v>
      </c>
      <c r="B18" s="30"/>
      <c r="C18" s="21">
        <v>36.0</v>
      </c>
      <c r="D18" s="21" t="s">
        <v>83</v>
      </c>
      <c r="E18" s="21" t="s">
        <v>87</v>
      </c>
      <c r="F18" s="23"/>
    </row>
    <row r="19" ht="15.75" customHeight="1">
      <c r="A19" s="21" t="s">
        <v>89</v>
      </c>
      <c r="B19" s="30"/>
      <c r="C19" s="21">
        <v>120.0</v>
      </c>
      <c r="D19" s="21" t="s">
        <v>83</v>
      </c>
      <c r="E19" s="21" t="s">
        <v>90</v>
      </c>
      <c r="F19" s="32" t="s">
        <v>91</v>
      </c>
    </row>
    <row r="20" ht="15.75" customHeight="1">
      <c r="A20" s="21" t="s">
        <v>92</v>
      </c>
      <c r="B20" s="30" t="s">
        <v>93</v>
      </c>
      <c r="C20" s="21">
        <v>27.0</v>
      </c>
      <c r="D20" s="21" t="s">
        <v>83</v>
      </c>
      <c r="E20" s="21" t="s">
        <v>90</v>
      </c>
      <c r="F20" s="32" t="s">
        <v>91</v>
      </c>
    </row>
    <row r="21" ht="15.75" customHeight="1">
      <c r="A21" s="21" t="s">
        <v>94</v>
      </c>
      <c r="B21" s="30"/>
      <c r="C21" s="52"/>
      <c r="D21" s="30"/>
      <c r="E21" s="21" t="s">
        <v>95</v>
      </c>
      <c r="F21" s="32" t="s">
        <v>96</v>
      </c>
    </row>
    <row r="22" ht="15.75" customHeight="1">
      <c r="A22" s="30"/>
      <c r="B22" s="30"/>
      <c r="C22" s="30"/>
      <c r="D22" s="30"/>
      <c r="E22" s="30"/>
      <c r="F22" s="23"/>
    </row>
    <row r="23" ht="15.75" customHeight="1">
      <c r="A23" s="30"/>
      <c r="B23" s="30"/>
      <c r="C23" s="30"/>
      <c r="D23" s="30"/>
      <c r="E23" s="30"/>
      <c r="F23" s="23"/>
    </row>
    <row r="24" ht="15.75" customHeight="1">
      <c r="A24" s="30"/>
      <c r="B24" s="30"/>
      <c r="C24" s="30"/>
      <c r="D24" s="30"/>
      <c r="E24" s="30"/>
      <c r="F24" s="23"/>
    </row>
    <row r="25" ht="15.75" customHeight="1">
      <c r="A25" s="30"/>
      <c r="B25" s="30"/>
      <c r="C25" s="30"/>
      <c r="D25" s="30"/>
      <c r="E25" s="30"/>
      <c r="F25" s="23"/>
    </row>
    <row r="26" ht="15.75" customHeight="1">
      <c r="A26" s="30"/>
      <c r="B26" s="30"/>
      <c r="C26" s="30"/>
      <c r="D26" s="30"/>
      <c r="E26" s="30"/>
      <c r="F26" s="23"/>
    </row>
    <row r="27" ht="6.0" customHeight="1">
      <c r="A27" s="44"/>
      <c r="B27" s="44"/>
      <c r="C27" s="44"/>
      <c r="D27" s="44"/>
      <c r="E27" s="44"/>
      <c r="F27" s="45"/>
    </row>
    <row r="28" ht="21.75" customHeight="1">
      <c r="A28" s="56"/>
      <c r="B28" s="17"/>
      <c r="C28" s="17"/>
      <c r="D28" s="17"/>
      <c r="E28" s="17"/>
      <c r="F28" s="18"/>
    </row>
    <row r="29" ht="6.0" customHeight="1">
      <c r="A29" s="44"/>
      <c r="B29" s="44"/>
      <c r="C29" s="44"/>
      <c r="D29" s="44"/>
      <c r="E29" s="44"/>
      <c r="F29" s="45"/>
    </row>
    <row r="30" ht="18.0" customHeight="1">
      <c r="A30" s="58" t="s">
        <v>98</v>
      </c>
      <c r="B30" s="50"/>
      <c r="C30" s="50"/>
      <c r="D30" s="50"/>
      <c r="E30" s="50"/>
      <c r="F30" s="51"/>
    </row>
    <row r="31" ht="27.75" customHeight="1">
      <c r="A31" s="21" t="s">
        <v>99</v>
      </c>
      <c r="B31" s="30"/>
      <c r="C31" s="59">
        <v>4.0</v>
      </c>
      <c r="D31" s="21" t="s">
        <v>101</v>
      </c>
      <c r="E31" s="21" t="s">
        <v>102</v>
      </c>
      <c r="F31" s="23"/>
    </row>
    <row r="32" ht="15.75" customHeight="1">
      <c r="A32" s="21" t="s">
        <v>77</v>
      </c>
      <c r="B32" s="30"/>
      <c r="C32" s="59">
        <v>4.0</v>
      </c>
      <c r="D32" s="21" t="s">
        <v>101</v>
      </c>
      <c r="E32" s="21" t="s">
        <v>102</v>
      </c>
      <c r="F32" s="23"/>
    </row>
    <row r="33" ht="15.75" customHeight="1">
      <c r="A33" s="21" t="s">
        <v>104</v>
      </c>
      <c r="B33" s="30"/>
      <c r="C33" s="59">
        <v>2.5</v>
      </c>
      <c r="D33" s="21" t="s">
        <v>101</v>
      </c>
      <c r="E33" s="21" t="s">
        <v>105</v>
      </c>
      <c r="F33" s="23"/>
    </row>
    <row r="34" ht="38.25" customHeight="1">
      <c r="A34" s="21" t="s">
        <v>106</v>
      </c>
      <c r="B34" s="30"/>
      <c r="C34" s="59">
        <v>0.8</v>
      </c>
      <c r="D34" s="21" t="s">
        <v>101</v>
      </c>
      <c r="E34" s="21" t="s">
        <v>107</v>
      </c>
      <c r="F34" s="32" t="s">
        <v>108</v>
      </c>
    </row>
    <row r="35" ht="15.75" customHeight="1">
      <c r="A35" s="21" t="s">
        <v>109</v>
      </c>
      <c r="B35" s="30"/>
      <c r="C35" s="52">
        <f>C33+C34</f>
        <v>3.3</v>
      </c>
      <c r="D35" s="21" t="s">
        <v>101</v>
      </c>
      <c r="E35" s="30"/>
      <c r="F35" s="23"/>
    </row>
    <row r="36" ht="15.75" customHeight="1">
      <c r="A36" s="21" t="s">
        <v>111</v>
      </c>
      <c r="B36" s="30"/>
      <c r="C36" s="59">
        <v>1.5</v>
      </c>
      <c r="D36" s="21" t="s">
        <v>101</v>
      </c>
      <c r="E36" s="21" t="s">
        <v>112</v>
      </c>
      <c r="F36" s="23"/>
    </row>
    <row r="37" ht="17.25" customHeight="1">
      <c r="A37" s="61" t="s">
        <v>114</v>
      </c>
      <c r="B37" s="44"/>
      <c r="C37" s="59">
        <v>0.4</v>
      </c>
      <c r="D37" s="21" t="s">
        <v>101</v>
      </c>
      <c r="E37" s="61" t="s">
        <v>115</v>
      </c>
      <c r="F37" s="45"/>
    </row>
    <row r="38" ht="17.25" customHeight="1">
      <c r="A38" s="44"/>
      <c r="B38" s="44"/>
      <c r="C38" s="44"/>
      <c r="D38" s="44"/>
      <c r="E38" s="44"/>
      <c r="F38" s="45"/>
    </row>
    <row r="39" ht="17.25" customHeight="1">
      <c r="A39" s="44"/>
      <c r="B39" s="44"/>
      <c r="C39" s="44"/>
      <c r="D39" s="44"/>
      <c r="E39" s="44"/>
      <c r="F39" s="45"/>
    </row>
    <row r="40" ht="18.0" customHeight="1">
      <c r="A40" s="58" t="s">
        <v>116</v>
      </c>
      <c r="B40" s="50"/>
      <c r="C40" s="50"/>
      <c r="D40" s="50"/>
      <c r="E40" s="50"/>
      <c r="F40" s="51"/>
    </row>
    <row r="41" ht="41.25" customHeight="1">
      <c r="A41" s="62" t="s">
        <v>118</v>
      </c>
      <c r="B41" s="30"/>
      <c r="C41" s="59"/>
      <c r="D41" s="21"/>
      <c r="E41" s="21"/>
      <c r="F41" s="23"/>
    </row>
    <row r="42" ht="15.75" customHeight="1">
      <c r="A42" s="21" t="s">
        <v>119</v>
      </c>
      <c r="B42" s="30"/>
      <c r="C42" s="59">
        <v>1.0</v>
      </c>
      <c r="D42" s="21" t="s">
        <v>101</v>
      </c>
      <c r="E42" s="21" t="s">
        <v>120</v>
      </c>
      <c r="F42" s="23"/>
      <c r="G42" s="46"/>
    </row>
    <row r="43" ht="53.25" customHeight="1">
      <c r="A43" s="21" t="s">
        <v>121</v>
      </c>
      <c r="B43" s="30"/>
      <c r="C43" s="59">
        <v>0.8</v>
      </c>
      <c r="D43" s="30"/>
      <c r="E43" s="21" t="s">
        <v>122</v>
      </c>
      <c r="F43" s="32" t="s">
        <v>123</v>
      </c>
      <c r="G43" s="13" t="s">
        <v>124</v>
      </c>
    </row>
    <row r="44" ht="15.75" customHeight="1">
      <c r="A44" s="21" t="s">
        <v>125</v>
      </c>
      <c r="B44" s="30"/>
      <c r="C44" s="59">
        <v>1.0</v>
      </c>
      <c r="D44" s="30"/>
      <c r="E44" s="21" t="s">
        <v>126</v>
      </c>
      <c r="F44" s="32" t="s">
        <v>127</v>
      </c>
      <c r="G44" s="46"/>
    </row>
    <row r="45" ht="69.75" customHeight="1">
      <c r="A45" s="21" t="s">
        <v>128</v>
      </c>
      <c r="B45" s="30"/>
      <c r="C45" s="59">
        <v>1.0</v>
      </c>
      <c r="D45" s="30"/>
      <c r="E45" s="21" t="s">
        <v>129</v>
      </c>
      <c r="F45" s="32" t="s">
        <v>130</v>
      </c>
      <c r="G45" s="46"/>
    </row>
    <row r="46" ht="15.75" customHeight="1">
      <c r="A46" s="63" t="s">
        <v>131</v>
      </c>
      <c r="B46" s="64"/>
      <c r="C46" s="65">
        <v>0.8</v>
      </c>
      <c r="D46" s="66" t="s">
        <v>101</v>
      </c>
      <c r="E46" s="21" t="s">
        <v>132</v>
      </c>
      <c r="F46" s="45"/>
    </row>
    <row r="47" ht="52.5" customHeight="1">
      <c r="A47" s="67" t="s">
        <v>133</v>
      </c>
      <c r="B47" s="50"/>
      <c r="C47" s="50"/>
      <c r="D47" s="50"/>
      <c r="E47" s="50"/>
      <c r="F47" s="51"/>
    </row>
    <row r="48" ht="30.75" customHeight="1">
      <c r="A48" s="21" t="s">
        <v>134</v>
      </c>
      <c r="B48" s="68" t="s">
        <v>135</v>
      </c>
      <c r="C48" s="21">
        <v>24.0</v>
      </c>
      <c r="D48" s="21" t="s">
        <v>136</v>
      </c>
      <c r="E48" s="21" t="s">
        <v>137</v>
      </c>
      <c r="F48" s="32" t="s">
        <v>138</v>
      </c>
    </row>
    <row r="49" ht="15.75" customHeight="1">
      <c r="A49" s="21" t="s">
        <v>127</v>
      </c>
      <c r="B49" s="30"/>
      <c r="C49" s="30"/>
      <c r="D49" s="30"/>
      <c r="E49" s="21" t="s">
        <v>41</v>
      </c>
      <c r="F49" s="23"/>
    </row>
    <row r="50" ht="15.75" customHeight="1">
      <c r="A50" s="21"/>
      <c r="B50" s="30"/>
      <c r="C50" s="30"/>
      <c r="D50" s="30"/>
      <c r="E50" s="44"/>
      <c r="F50" s="23"/>
    </row>
    <row r="51" ht="48.75" customHeight="1">
      <c r="A51" s="21" t="s">
        <v>139</v>
      </c>
      <c r="B51" s="21" t="s">
        <v>140</v>
      </c>
      <c r="C51" s="21">
        <v>1.0</v>
      </c>
      <c r="D51" s="30"/>
      <c r="E51" s="21" t="s">
        <v>143</v>
      </c>
      <c r="F51" s="32" t="s">
        <v>144</v>
      </c>
    </row>
    <row r="52" ht="15.75" customHeight="1">
      <c r="A52" s="21" t="s">
        <v>145</v>
      </c>
      <c r="B52" s="21" t="s">
        <v>146</v>
      </c>
      <c r="C52" s="21">
        <v>1.0</v>
      </c>
      <c r="D52" s="30"/>
      <c r="E52" s="21" t="s">
        <v>147</v>
      </c>
      <c r="F52" s="32" t="s">
        <v>148</v>
      </c>
    </row>
    <row r="53" ht="45.75" customHeight="1">
      <c r="A53" s="21" t="s">
        <v>149</v>
      </c>
      <c r="B53" s="21" t="s">
        <v>150</v>
      </c>
      <c r="C53" s="21">
        <v>1.0</v>
      </c>
      <c r="D53" s="30"/>
      <c r="E53" s="21" t="s">
        <v>151</v>
      </c>
      <c r="F53" s="32" t="s">
        <v>152</v>
      </c>
    </row>
    <row r="54" ht="69.75" customHeight="1">
      <c r="A54" s="21" t="s">
        <v>153</v>
      </c>
      <c r="B54" s="21" t="s">
        <v>154</v>
      </c>
      <c r="C54" s="21">
        <v>1.0</v>
      </c>
      <c r="D54" s="30"/>
      <c r="E54" s="21" t="s">
        <v>151</v>
      </c>
      <c r="F54" s="32" t="s">
        <v>155</v>
      </c>
    </row>
    <row r="55" ht="39.0" customHeight="1">
      <c r="A55" s="69" t="s">
        <v>157</v>
      </c>
      <c r="B55" s="70"/>
      <c r="C55" s="66">
        <v>24.0</v>
      </c>
      <c r="D55" s="66" t="s">
        <v>136</v>
      </c>
      <c r="E55" s="21" t="s">
        <v>151</v>
      </c>
      <c r="F55" s="23"/>
    </row>
    <row r="56" ht="6.0" customHeight="1">
      <c r="A56" s="44"/>
      <c r="B56" s="44"/>
      <c r="C56" s="44"/>
      <c r="D56" s="44"/>
      <c r="E56" s="44"/>
      <c r="F56" s="45"/>
    </row>
    <row r="57" ht="18.0" customHeight="1">
      <c r="A57" s="67" t="s">
        <v>159</v>
      </c>
      <c r="B57" s="50"/>
      <c r="C57" s="50"/>
      <c r="D57" s="50"/>
      <c r="E57" s="50"/>
      <c r="F57" s="51"/>
    </row>
    <row r="58" ht="39.0" customHeight="1">
      <c r="A58" s="61" t="s">
        <v>127</v>
      </c>
      <c r="B58" s="61" t="s">
        <v>160</v>
      </c>
      <c r="C58" s="61">
        <v>0.3</v>
      </c>
      <c r="D58" s="61" t="s">
        <v>161</v>
      </c>
      <c r="E58" s="61" t="s">
        <v>162</v>
      </c>
      <c r="F58" s="45"/>
    </row>
    <row r="59" ht="15.75" customHeight="1">
      <c r="A59" s="30"/>
      <c r="B59" s="21" t="s">
        <v>163</v>
      </c>
      <c r="C59" s="21">
        <v>5.0</v>
      </c>
      <c r="D59" s="21" t="s">
        <v>161</v>
      </c>
      <c r="E59" s="30"/>
      <c r="F59" s="23"/>
    </row>
    <row r="60" ht="15.75" customHeight="1">
      <c r="A60" s="30"/>
      <c r="B60" s="21" t="s">
        <v>164</v>
      </c>
      <c r="C60" s="21">
        <v>0.22</v>
      </c>
      <c r="D60" s="30"/>
      <c r="E60" s="30"/>
      <c r="F60" s="23"/>
    </row>
    <row r="61" ht="43.5" customHeight="1">
      <c r="A61" s="13" t="s">
        <v>166</v>
      </c>
      <c r="B61" s="13" t="s">
        <v>167</v>
      </c>
      <c r="C61" s="13">
        <v>0.826</v>
      </c>
      <c r="D61" s="71"/>
      <c r="E61" s="13" t="s">
        <v>168</v>
      </c>
      <c r="F61" s="13" t="s">
        <v>169</v>
      </c>
    </row>
    <row r="62" ht="36.75" customHeight="1">
      <c r="A62" s="13" t="s">
        <v>170</v>
      </c>
      <c r="B62" s="13" t="s">
        <v>171</v>
      </c>
      <c r="C62" s="13">
        <v>1.0</v>
      </c>
      <c r="D62" s="71"/>
      <c r="E62" s="13" t="s">
        <v>172</v>
      </c>
      <c r="F62" s="13" t="s">
        <v>173</v>
      </c>
    </row>
    <row r="63" ht="31.5" customHeight="1">
      <c r="A63" s="63" t="s">
        <v>174</v>
      </c>
      <c r="B63" s="72"/>
      <c r="C63" s="63">
        <v>19.82</v>
      </c>
      <c r="D63" s="63" t="s">
        <v>136</v>
      </c>
      <c r="E63" s="13" t="s">
        <v>172</v>
      </c>
      <c r="F63" s="46"/>
    </row>
    <row r="64" ht="15.75" customHeight="1">
      <c r="A64" s="71"/>
      <c r="B64" s="71"/>
      <c r="C64" s="71"/>
      <c r="D64" s="71"/>
      <c r="E64" s="71"/>
      <c r="F64" s="71"/>
    </row>
    <row r="65" ht="15.75" customHeight="1">
      <c r="A65" s="13" t="s">
        <v>175</v>
      </c>
      <c r="B65" s="71"/>
      <c r="C65" s="71"/>
      <c r="D65" s="71"/>
      <c r="E65" s="71"/>
      <c r="F65" s="71"/>
    </row>
    <row r="66" ht="15.75" customHeight="1">
      <c r="A66" s="13" t="s">
        <v>176</v>
      </c>
      <c r="B66" s="71"/>
      <c r="C66" s="13">
        <v>0.26</v>
      </c>
      <c r="D66" s="71"/>
      <c r="E66" s="71"/>
      <c r="F66" s="71"/>
    </row>
    <row r="67" ht="15.75" customHeight="1">
      <c r="A67" s="13" t="s">
        <v>177</v>
      </c>
      <c r="B67" s="13" t="s">
        <v>178</v>
      </c>
      <c r="C67" s="13">
        <v>1.0</v>
      </c>
      <c r="D67" s="71"/>
      <c r="E67" s="13" t="s">
        <v>179</v>
      </c>
      <c r="F67" s="71"/>
    </row>
    <row r="68" ht="15.75" customHeight="1">
      <c r="A68" s="13" t="s">
        <v>170</v>
      </c>
      <c r="B68" s="13" t="s">
        <v>171</v>
      </c>
      <c r="C68" s="13">
        <v>1.0</v>
      </c>
      <c r="D68" s="71"/>
      <c r="E68" s="71"/>
      <c r="F68" s="71"/>
    </row>
    <row r="69" ht="15.75" customHeight="1">
      <c r="A69" s="71"/>
      <c r="B69" s="71"/>
      <c r="C69" s="71"/>
      <c r="D69" s="71"/>
      <c r="E69" s="71"/>
      <c r="F69" s="71"/>
    </row>
    <row r="70" ht="14.25" customHeight="1">
      <c r="A70" s="46"/>
      <c r="B70" s="46"/>
      <c r="C70" s="46"/>
      <c r="D70" s="46"/>
      <c r="E70" s="46"/>
      <c r="F70" s="46"/>
    </row>
    <row r="71" ht="15.75" customHeight="1">
      <c r="A71" s="13" t="s">
        <v>182</v>
      </c>
      <c r="B71" s="71"/>
      <c r="C71" s="71"/>
      <c r="D71" s="71"/>
      <c r="E71" s="71"/>
      <c r="F71" s="71"/>
    </row>
    <row r="72" ht="24.0" customHeight="1">
      <c r="A72" s="13" t="s">
        <v>183</v>
      </c>
      <c r="B72" s="71"/>
      <c r="C72" s="13">
        <v>34.76</v>
      </c>
      <c r="D72" s="13" t="s">
        <v>136</v>
      </c>
      <c r="E72" s="13" t="s">
        <v>184</v>
      </c>
      <c r="F72" s="71"/>
    </row>
    <row r="73" ht="15.75" customHeight="1">
      <c r="A73" s="71"/>
      <c r="B73" s="13" t="s">
        <v>185</v>
      </c>
      <c r="C73" s="13">
        <v>2.9</v>
      </c>
      <c r="D73" s="71"/>
      <c r="E73" s="13" t="s">
        <v>186</v>
      </c>
      <c r="F73" s="13" t="s">
        <v>187</v>
      </c>
    </row>
    <row r="74" ht="15.75" customHeight="1">
      <c r="A74" s="71"/>
      <c r="B74" s="71"/>
      <c r="C74" s="71"/>
      <c r="D74" s="71"/>
      <c r="E74" s="71"/>
      <c r="F74" s="71"/>
    </row>
    <row r="75" ht="15.75" customHeight="1">
      <c r="A75" s="13" t="s">
        <v>188</v>
      </c>
      <c r="B75" s="71"/>
      <c r="C75" s="71"/>
      <c r="D75" s="71"/>
      <c r="E75" s="71"/>
      <c r="F75" s="71"/>
    </row>
    <row r="76" ht="44.25" customHeight="1">
      <c r="A76" s="13" t="s">
        <v>189</v>
      </c>
      <c r="B76" s="71"/>
      <c r="C76" s="13">
        <v>0.755</v>
      </c>
      <c r="D76" s="13" t="s">
        <v>101</v>
      </c>
      <c r="E76" s="71"/>
      <c r="F76" s="13" t="s">
        <v>190</v>
      </c>
    </row>
    <row r="77" ht="15.75" customHeight="1">
      <c r="A77" s="71"/>
      <c r="B77" s="13"/>
      <c r="C77" s="13"/>
      <c r="D77" s="13"/>
      <c r="E77" s="13"/>
      <c r="F77" s="13"/>
    </row>
    <row r="78" ht="15.75" customHeight="1">
      <c r="A78" s="71"/>
      <c r="B78" s="13" t="s">
        <v>191</v>
      </c>
      <c r="C78" s="13">
        <v>1.25</v>
      </c>
      <c r="D78" s="13" t="s">
        <v>192</v>
      </c>
      <c r="E78" s="13" t="s">
        <v>194</v>
      </c>
      <c r="F78" s="13" t="s">
        <v>195</v>
      </c>
    </row>
    <row r="79" ht="15.75" customHeight="1">
      <c r="A79" s="71"/>
      <c r="B79" s="71"/>
      <c r="C79" s="71"/>
      <c r="D79" s="71"/>
      <c r="E79" s="71"/>
      <c r="F79" s="71"/>
    </row>
    <row r="80" ht="15.75" customHeight="1">
      <c r="A80" s="13" t="s">
        <v>196</v>
      </c>
      <c r="B80" s="13" t="s">
        <v>39</v>
      </c>
      <c r="C80" s="13">
        <v>14.0</v>
      </c>
      <c r="D80" s="13" t="s">
        <v>161</v>
      </c>
      <c r="E80" s="13" t="s">
        <v>197</v>
      </c>
      <c r="F80" s="71"/>
    </row>
    <row r="81" ht="15.75" customHeight="1">
      <c r="A81" s="71"/>
      <c r="B81" s="13" t="s">
        <v>198</v>
      </c>
      <c r="C81" s="13">
        <v>24.0</v>
      </c>
      <c r="D81" s="13" t="s">
        <v>161</v>
      </c>
      <c r="E81" s="71"/>
      <c r="F81" s="71"/>
    </row>
    <row r="82" ht="24.75" customHeight="1">
      <c r="A82" s="46"/>
      <c r="B82" s="13" t="s">
        <v>199</v>
      </c>
      <c r="C82" s="13">
        <v>0.583</v>
      </c>
      <c r="D82" s="46"/>
      <c r="E82" s="46"/>
      <c r="F82" s="46"/>
    </row>
    <row r="83" ht="18.0" customHeight="1">
      <c r="A83" s="13" t="s">
        <v>200</v>
      </c>
      <c r="B83" s="71"/>
      <c r="C83" s="71">
        <f>0.8</f>
        <v>0.8</v>
      </c>
      <c r="D83" s="71"/>
      <c r="E83" s="71"/>
      <c r="F83" s="71"/>
    </row>
    <row r="84" ht="15.75" customHeight="1">
      <c r="A84" s="13" t="s">
        <v>203</v>
      </c>
      <c r="B84" s="71"/>
      <c r="C84" s="13">
        <v>-0.5</v>
      </c>
      <c r="D84" s="71"/>
      <c r="E84" s="71"/>
      <c r="F84" s="71"/>
    </row>
    <row r="85" ht="15.75" customHeight="1">
      <c r="A85" s="13" t="s">
        <v>204</v>
      </c>
      <c r="B85" s="71"/>
      <c r="C85" s="13">
        <v>1.3</v>
      </c>
      <c r="D85" s="71"/>
      <c r="E85" s="71"/>
      <c r="F85" s="13" t="s">
        <v>205</v>
      </c>
    </row>
    <row r="86" ht="49.5" customHeight="1">
      <c r="A86" s="13" t="s">
        <v>206</v>
      </c>
      <c r="B86" s="71"/>
      <c r="C86" s="13">
        <v>1.105</v>
      </c>
      <c r="D86" s="71"/>
      <c r="E86" s="71"/>
      <c r="F86" s="13" t="s">
        <v>207</v>
      </c>
    </row>
    <row r="87" ht="15.75" customHeight="1">
      <c r="A87" s="71"/>
      <c r="B87" s="71"/>
      <c r="C87" s="71"/>
      <c r="D87" s="71"/>
      <c r="E87" s="71"/>
      <c r="F87" s="71"/>
    </row>
    <row r="88" ht="15.75" customHeight="1">
      <c r="A88" s="63" t="s">
        <v>208</v>
      </c>
      <c r="B88" s="77"/>
      <c r="C88" s="63">
        <v>0.834</v>
      </c>
      <c r="D88" s="63" t="s">
        <v>101</v>
      </c>
      <c r="E88" s="71"/>
      <c r="F88" s="71"/>
    </row>
    <row r="89" ht="15.75" customHeight="1">
      <c r="A89" s="71"/>
      <c r="B89" s="71"/>
      <c r="C89" s="71"/>
      <c r="D89" s="71"/>
      <c r="E89" s="71"/>
      <c r="F89" s="71"/>
    </row>
    <row r="90" ht="43.5" customHeight="1">
      <c r="A90" s="63" t="s">
        <v>211</v>
      </c>
      <c r="B90" s="78"/>
      <c r="C90" s="65">
        <v>-0.3</v>
      </c>
      <c r="D90" s="65" t="s">
        <v>101</v>
      </c>
      <c r="E90" s="71"/>
      <c r="F90" s="13" t="s">
        <v>212</v>
      </c>
    </row>
    <row r="91" ht="15.75" customHeight="1">
      <c r="A91" s="71"/>
      <c r="B91" s="71"/>
      <c r="C91" s="71"/>
      <c r="D91" s="71"/>
      <c r="E91" s="71"/>
      <c r="F91" s="71"/>
    </row>
    <row r="92">
      <c r="A92" s="79" t="s">
        <v>213</v>
      </c>
      <c r="B92" s="46"/>
      <c r="C92" s="46"/>
      <c r="D92" s="46"/>
      <c r="E92" s="46"/>
      <c r="F92" s="46"/>
    </row>
    <row r="93" ht="18.0" customHeight="1">
      <c r="A93" s="71"/>
      <c r="B93" s="71"/>
      <c r="C93" s="71"/>
      <c r="D93" s="71"/>
      <c r="E93" s="71"/>
      <c r="F93" s="71"/>
    </row>
    <row r="94" ht="15.75" customHeight="1">
      <c r="A94" s="80" t="s">
        <v>215</v>
      </c>
      <c r="B94" s="71"/>
      <c r="C94" s="80">
        <v>3.24</v>
      </c>
      <c r="D94" s="80" t="s">
        <v>101</v>
      </c>
      <c r="E94" s="71"/>
      <c r="F94" s="13" t="s">
        <v>84</v>
      </c>
    </row>
    <row r="95" ht="15.75" customHeight="1">
      <c r="A95" s="80" t="s">
        <v>216</v>
      </c>
      <c r="B95" s="46"/>
      <c r="C95" s="80">
        <v>3.65</v>
      </c>
      <c r="D95" s="80" t="s">
        <v>101</v>
      </c>
      <c r="E95" s="71"/>
      <c r="F95" s="13" t="s">
        <v>84</v>
      </c>
    </row>
    <row r="96" ht="15.75" customHeight="1">
      <c r="C96" s="81"/>
      <c r="D96" s="81"/>
      <c r="E96" s="81"/>
      <c r="F96" s="81"/>
      <c r="H96" s="82"/>
    </row>
    <row r="97">
      <c r="C97" s="81"/>
      <c r="D97" s="81"/>
      <c r="E97" s="81"/>
      <c r="F97" s="81"/>
      <c r="H97" s="83"/>
      <c r="I97" s="81"/>
    </row>
    <row r="99" ht="18.0" customHeight="1">
      <c r="A99" s="84" t="s">
        <v>218</v>
      </c>
      <c r="B99" s="71"/>
      <c r="C99" s="71"/>
      <c r="D99" s="81"/>
      <c r="E99" s="81"/>
      <c r="F99" s="81"/>
    </row>
    <row r="100" ht="15.75" customHeight="1">
      <c r="A100" s="71"/>
      <c r="B100" s="71"/>
      <c r="C100" s="71"/>
      <c r="D100" s="81"/>
      <c r="E100" s="81"/>
      <c r="F100" s="81"/>
    </row>
    <row r="101" ht="15.75" customHeight="1">
      <c r="A101" s="85" t="s">
        <v>219</v>
      </c>
      <c r="B101" s="80" t="s">
        <v>220</v>
      </c>
      <c r="C101" s="80" t="s">
        <v>221</v>
      </c>
      <c r="D101" s="81"/>
      <c r="E101" s="81"/>
      <c r="F101" s="81"/>
    </row>
    <row r="102" ht="15.75" customHeight="1">
      <c r="A102" s="13" t="s">
        <v>222</v>
      </c>
      <c r="B102" s="86">
        <v>3.0</v>
      </c>
      <c r="C102" s="86" t="s">
        <v>101</v>
      </c>
      <c r="D102" s="81"/>
      <c r="E102" s="81"/>
      <c r="F102" s="81"/>
      <c r="H102" s="83"/>
      <c r="I102" s="83"/>
    </row>
    <row r="103">
      <c r="A103" s="87" t="s">
        <v>223</v>
      </c>
      <c r="B103" s="86">
        <f>SUM(B104:B106)</f>
        <v>1.29</v>
      </c>
      <c r="C103" s="86" t="s">
        <v>101</v>
      </c>
      <c r="D103" s="81"/>
      <c r="E103" s="81"/>
      <c r="F103" s="81"/>
    </row>
    <row r="104">
      <c r="A104" s="13" t="s">
        <v>224</v>
      </c>
      <c r="B104" s="13">
        <v>0.07</v>
      </c>
      <c r="C104" s="13" t="s">
        <v>101</v>
      </c>
    </row>
    <row r="105" ht="18.0" customHeight="1">
      <c r="A105" s="13" t="s">
        <v>225</v>
      </c>
      <c r="B105" s="13">
        <v>0.92</v>
      </c>
      <c r="C105" s="13" t="s">
        <v>101</v>
      </c>
      <c r="D105" s="81"/>
      <c r="E105" s="81"/>
      <c r="F105" s="81"/>
    </row>
    <row r="106" ht="15.75" customHeight="1">
      <c r="A106" s="13" t="s">
        <v>226</v>
      </c>
      <c r="B106" s="13">
        <v>0.3</v>
      </c>
      <c r="C106" s="13" t="s">
        <v>101</v>
      </c>
      <c r="D106" s="81"/>
      <c r="E106" s="81"/>
      <c r="F106" s="81"/>
    </row>
    <row r="107" ht="15.75" customHeight="1">
      <c r="A107" s="87" t="s">
        <v>227</v>
      </c>
      <c r="B107" s="90">
        <f>B108</f>
        <v>0.4</v>
      </c>
      <c r="C107" s="86" t="s">
        <v>101</v>
      </c>
      <c r="D107" s="81"/>
      <c r="E107" s="81"/>
      <c r="F107" s="81"/>
    </row>
    <row r="108" ht="15.75" customHeight="1">
      <c r="A108" s="13" t="s">
        <v>228</v>
      </c>
      <c r="B108" s="13">
        <v>0.4</v>
      </c>
      <c r="C108" s="13" t="s">
        <v>101</v>
      </c>
      <c r="D108" s="81"/>
      <c r="E108" s="81"/>
      <c r="F108" s="81"/>
    </row>
    <row r="109" ht="15.75" customHeight="1">
      <c r="A109" s="13" t="s">
        <v>229</v>
      </c>
      <c r="B109" s="13">
        <v>0.8</v>
      </c>
      <c r="C109" s="13" t="s">
        <v>101</v>
      </c>
      <c r="D109" s="81"/>
      <c r="E109" s="81"/>
      <c r="F109" s="81"/>
    </row>
    <row r="110" ht="15.75" customHeight="1">
      <c r="A110" s="13" t="s">
        <v>230</v>
      </c>
      <c r="B110" s="13">
        <v>-0.3</v>
      </c>
      <c r="C110" s="13" t="s">
        <v>101</v>
      </c>
      <c r="D110" s="81"/>
      <c r="E110" s="81"/>
      <c r="F110" s="81"/>
    </row>
    <row r="111" ht="15.75" customHeight="1">
      <c r="A111" s="46"/>
      <c r="B111" s="46"/>
      <c r="C111" s="46"/>
      <c r="D111" s="81"/>
      <c r="E111" s="81"/>
      <c r="F111" s="81"/>
    </row>
    <row r="113" ht="18.0" customHeight="1">
      <c r="A113" s="84" t="s">
        <v>231</v>
      </c>
      <c r="B113" s="71"/>
      <c r="C113" s="71"/>
      <c r="D113" s="81"/>
      <c r="E113" s="81"/>
      <c r="F113" s="81"/>
    </row>
    <row r="114" ht="15.75" customHeight="1">
      <c r="A114" s="71"/>
      <c r="B114" s="71"/>
      <c r="C114" s="71"/>
      <c r="D114" s="81"/>
      <c r="E114" s="81"/>
      <c r="F114" s="81"/>
    </row>
    <row r="115" ht="15.75" customHeight="1">
      <c r="A115" s="85" t="s">
        <v>219</v>
      </c>
      <c r="B115" s="80" t="s">
        <v>220</v>
      </c>
      <c r="C115" s="80" t="s">
        <v>221</v>
      </c>
      <c r="D115" s="81"/>
      <c r="E115" s="81"/>
      <c r="F115" s="81"/>
    </row>
    <row r="116" ht="15.75" customHeight="1">
      <c r="A116" s="13" t="s">
        <v>222</v>
      </c>
      <c r="B116" s="86">
        <v>3.0</v>
      </c>
      <c r="C116" s="86" t="s">
        <v>101</v>
      </c>
      <c r="D116" s="81"/>
      <c r="E116" s="81"/>
      <c r="F116" s="81"/>
    </row>
    <row r="117" ht="15.75" customHeight="1">
      <c r="A117" s="87" t="s">
        <v>223</v>
      </c>
      <c r="B117" s="86">
        <f>SUM(B118:B121)</f>
        <v>2.32</v>
      </c>
      <c r="C117" s="86" t="s">
        <v>101</v>
      </c>
      <c r="D117" s="81"/>
      <c r="E117" s="81"/>
      <c r="F117" s="81"/>
    </row>
    <row r="118" ht="15.75" customHeight="1">
      <c r="A118" s="13" t="s">
        <v>232</v>
      </c>
      <c r="B118" s="13">
        <v>0.1</v>
      </c>
      <c r="C118" s="13" t="s">
        <v>101</v>
      </c>
      <c r="D118" s="81"/>
      <c r="E118" s="81"/>
      <c r="F118" s="81"/>
    </row>
    <row r="119" ht="15.75" customHeight="1">
      <c r="A119" s="13" t="s">
        <v>225</v>
      </c>
      <c r="B119" s="13">
        <v>0.92</v>
      </c>
      <c r="C119" s="13" t="s">
        <v>101</v>
      </c>
      <c r="D119" s="81"/>
      <c r="E119" s="81"/>
      <c r="F119" s="81"/>
    </row>
    <row r="120">
      <c r="A120" s="13" t="s">
        <v>226</v>
      </c>
      <c r="B120" s="13">
        <v>0.5</v>
      </c>
      <c r="C120" s="13" t="s">
        <v>101</v>
      </c>
    </row>
    <row r="121">
      <c r="A121" s="13" t="s">
        <v>233</v>
      </c>
      <c r="B121" s="13">
        <v>0.8</v>
      </c>
      <c r="C121" s="13" t="s">
        <v>101</v>
      </c>
    </row>
    <row r="122" ht="18.0" customHeight="1">
      <c r="A122" s="87" t="s">
        <v>227</v>
      </c>
      <c r="B122" s="90">
        <f>SUM(B123)</f>
        <v>1.5</v>
      </c>
      <c r="C122" s="86" t="s">
        <v>101</v>
      </c>
      <c r="D122" s="81"/>
      <c r="E122" s="81"/>
      <c r="F122" s="81"/>
    </row>
    <row r="123" ht="15.75" customHeight="1">
      <c r="A123" s="13" t="s">
        <v>234</v>
      </c>
      <c r="B123" s="13">
        <v>1.5</v>
      </c>
      <c r="C123" s="13" t="s">
        <v>101</v>
      </c>
      <c r="D123" s="81"/>
      <c r="E123" s="81"/>
      <c r="F123" s="81"/>
    </row>
    <row r="124" ht="15.75" customHeight="1">
      <c r="A124" s="13"/>
      <c r="B124" s="13"/>
      <c r="C124" s="13"/>
      <c r="D124" s="81"/>
      <c r="E124" s="81"/>
      <c r="F124" s="81"/>
    </row>
    <row r="125" ht="15.75" customHeight="1">
      <c r="A125" s="13"/>
      <c r="B125" s="13"/>
      <c r="C125" s="13"/>
      <c r="D125" s="81"/>
      <c r="E125" s="81"/>
      <c r="F125" s="81"/>
    </row>
    <row r="126" ht="15.75" customHeight="1">
      <c r="A126" s="46"/>
      <c r="B126" s="46"/>
      <c r="C126" s="46"/>
      <c r="D126" s="81"/>
      <c r="E126" s="81"/>
      <c r="F126" s="81"/>
    </row>
    <row r="127" ht="6.0" customHeight="1"/>
    <row r="128" ht="18.0" customHeight="1">
      <c r="A128" s="81"/>
      <c r="B128" s="81"/>
      <c r="C128" s="81"/>
      <c r="D128" s="81"/>
      <c r="E128" s="81"/>
      <c r="F128" s="81"/>
    </row>
    <row r="129" ht="15.75" customHeight="1">
      <c r="A129" s="81"/>
      <c r="B129" s="81"/>
      <c r="C129" s="81"/>
      <c r="D129" s="81"/>
      <c r="E129" s="81"/>
      <c r="F129" s="81"/>
    </row>
    <row r="130" ht="15.75" customHeight="1">
      <c r="A130" s="84" t="s">
        <v>235</v>
      </c>
      <c r="B130" s="71"/>
      <c r="C130" s="71"/>
      <c r="D130" s="81"/>
      <c r="E130" s="81"/>
      <c r="F130" s="81"/>
    </row>
    <row r="131" ht="15.75" customHeight="1">
      <c r="A131" s="71"/>
      <c r="B131" s="71"/>
      <c r="C131" s="71"/>
      <c r="D131" s="81"/>
      <c r="E131" s="81"/>
      <c r="F131" s="81"/>
    </row>
    <row r="132">
      <c r="A132" s="85" t="s">
        <v>219</v>
      </c>
      <c r="B132" s="80" t="s">
        <v>220</v>
      </c>
      <c r="C132" s="80" t="s">
        <v>221</v>
      </c>
    </row>
    <row r="133" ht="18.0" customHeight="1">
      <c r="A133" s="13" t="s">
        <v>236</v>
      </c>
      <c r="B133" s="86">
        <v>3.24</v>
      </c>
      <c r="C133" s="86" t="s">
        <v>101</v>
      </c>
      <c r="D133" s="81"/>
      <c r="E133" s="81"/>
      <c r="F133" s="81"/>
    </row>
    <row r="134" ht="21.75" customHeight="1">
      <c r="A134" s="87" t="s">
        <v>223</v>
      </c>
      <c r="B134" s="86">
        <v>1.62</v>
      </c>
      <c r="C134" s="86" t="s">
        <v>101</v>
      </c>
      <c r="D134" s="81"/>
      <c r="E134" s="81"/>
      <c r="F134" s="81"/>
    </row>
    <row r="135">
      <c r="A135" s="13" t="s">
        <v>237</v>
      </c>
      <c r="B135" s="13">
        <v>0.2</v>
      </c>
      <c r="C135" s="13" t="s">
        <v>101</v>
      </c>
    </row>
    <row r="136" ht="15.75" customHeight="1">
      <c r="A136" s="13" t="s">
        <v>225</v>
      </c>
      <c r="B136" s="13">
        <v>0.92</v>
      </c>
      <c r="C136" s="13" t="s">
        <v>101</v>
      </c>
      <c r="D136" s="81"/>
      <c r="E136" s="81"/>
      <c r="F136" s="81"/>
    </row>
    <row r="137" ht="15.75" customHeight="1">
      <c r="A137" s="13" t="s">
        <v>226</v>
      </c>
      <c r="B137" s="13">
        <v>0.5</v>
      </c>
      <c r="C137" s="13" t="s">
        <v>101</v>
      </c>
      <c r="D137" s="81"/>
      <c r="E137" s="81"/>
      <c r="F137" s="81"/>
    </row>
    <row r="138" ht="15.75" customHeight="1">
      <c r="A138" s="87" t="s">
        <v>227</v>
      </c>
      <c r="B138" s="90">
        <f>SUM(B139, B140)</f>
        <v>3.3</v>
      </c>
      <c r="C138" s="86" t="s">
        <v>101</v>
      </c>
      <c r="D138" s="81"/>
      <c r="E138" s="81"/>
      <c r="F138" s="81"/>
    </row>
    <row r="139" ht="15.75" customHeight="1">
      <c r="A139" s="13" t="s">
        <v>238</v>
      </c>
      <c r="B139" s="13">
        <v>2.5</v>
      </c>
      <c r="C139" s="13" t="s">
        <v>101</v>
      </c>
      <c r="D139" s="81"/>
      <c r="E139" s="81"/>
      <c r="F139" s="81"/>
    </row>
    <row r="140" ht="15.75" customHeight="1">
      <c r="A140" s="13" t="s">
        <v>240</v>
      </c>
      <c r="B140" s="13">
        <v>0.8</v>
      </c>
      <c r="C140" s="13" t="s">
        <v>101</v>
      </c>
      <c r="D140" s="81"/>
      <c r="E140" s="81"/>
      <c r="F140" s="81"/>
    </row>
    <row r="141" ht="15.75" customHeight="1">
      <c r="A141" s="81"/>
      <c r="B141" s="81"/>
      <c r="C141" s="81"/>
      <c r="D141" s="81"/>
      <c r="E141" s="81"/>
      <c r="F141" s="81"/>
    </row>
    <row r="142" ht="15.75" customHeight="1">
      <c r="A142" s="81"/>
      <c r="B142" s="81"/>
      <c r="C142" s="81"/>
      <c r="D142" s="81"/>
      <c r="E142" s="81"/>
      <c r="F142" s="81"/>
    </row>
    <row r="143" ht="6.0" customHeight="1"/>
    <row r="144" ht="18.0" customHeight="1">
      <c r="A144" s="84" t="s">
        <v>241</v>
      </c>
      <c r="B144" s="71"/>
      <c r="C144" s="71"/>
      <c r="D144" s="81"/>
      <c r="E144" s="81"/>
      <c r="F144" s="81"/>
    </row>
    <row r="145" ht="15.75" customHeight="1">
      <c r="A145" s="71"/>
      <c r="B145" s="71"/>
      <c r="C145" s="71"/>
      <c r="D145" s="81"/>
      <c r="E145" s="81"/>
      <c r="F145" s="81"/>
    </row>
    <row r="146" ht="15.75" customHeight="1">
      <c r="A146" s="85" t="s">
        <v>219</v>
      </c>
      <c r="B146" s="80" t="s">
        <v>220</v>
      </c>
      <c r="C146" s="80" t="s">
        <v>221</v>
      </c>
      <c r="D146" s="81"/>
      <c r="E146" s="81"/>
      <c r="F146" s="81"/>
    </row>
    <row r="147" ht="15.75" customHeight="1">
      <c r="A147" s="13" t="s">
        <v>69</v>
      </c>
      <c r="B147" s="86">
        <v>3.65</v>
      </c>
      <c r="C147" s="86" t="s">
        <v>101</v>
      </c>
      <c r="D147" s="81"/>
      <c r="E147" s="81"/>
      <c r="F147" s="81"/>
    </row>
    <row r="148" ht="15.75" customHeight="1">
      <c r="A148" s="87" t="s">
        <v>223</v>
      </c>
      <c r="B148" s="86">
        <v>1.62</v>
      </c>
      <c r="C148" s="86" t="s">
        <v>101</v>
      </c>
      <c r="D148" s="81"/>
      <c r="E148" s="81"/>
      <c r="F148" s="81"/>
    </row>
    <row r="149" ht="15.75" customHeight="1">
      <c r="A149" s="13" t="s">
        <v>237</v>
      </c>
      <c r="B149" s="13">
        <v>0.2</v>
      </c>
      <c r="C149" s="13" t="s">
        <v>101</v>
      </c>
      <c r="D149" s="81"/>
      <c r="E149" s="81"/>
      <c r="F149" s="81"/>
    </row>
    <row r="150">
      <c r="A150" s="13" t="s">
        <v>225</v>
      </c>
      <c r="B150" s="13">
        <v>0.92</v>
      </c>
      <c r="C150" s="13" t="s">
        <v>101</v>
      </c>
    </row>
    <row r="151" ht="18.0" customHeight="1">
      <c r="A151" s="13" t="s">
        <v>226</v>
      </c>
      <c r="B151" s="13">
        <v>0.5</v>
      </c>
      <c r="C151" s="13" t="s">
        <v>101</v>
      </c>
      <c r="D151" s="81"/>
      <c r="E151" s="81"/>
      <c r="F151" s="81"/>
    </row>
    <row r="152" ht="15.75" customHeight="1">
      <c r="A152" s="87" t="s">
        <v>227</v>
      </c>
      <c r="B152" s="90">
        <v>4.8</v>
      </c>
      <c r="C152" s="86" t="s">
        <v>101</v>
      </c>
      <c r="D152" s="81"/>
      <c r="E152" s="81"/>
      <c r="F152" s="81"/>
    </row>
    <row r="153" ht="15.75" customHeight="1">
      <c r="A153" s="13" t="s">
        <v>242</v>
      </c>
      <c r="B153" s="13">
        <v>4.0</v>
      </c>
      <c r="C153" s="13" t="s">
        <v>101</v>
      </c>
      <c r="D153" s="81"/>
      <c r="E153" s="81"/>
      <c r="F153" s="81"/>
    </row>
    <row r="154" ht="15.75" customHeight="1">
      <c r="A154" s="13" t="s">
        <v>240</v>
      </c>
      <c r="B154" s="13">
        <v>0.8</v>
      </c>
      <c r="C154" s="13" t="s">
        <v>101</v>
      </c>
      <c r="D154" s="81"/>
      <c r="E154" s="81"/>
      <c r="F154" s="81"/>
    </row>
    <row r="155" ht="15.75" customHeight="1">
      <c r="A155" s="81"/>
      <c r="B155" s="81"/>
      <c r="C155" s="81"/>
      <c r="D155" s="81"/>
      <c r="E155" s="81"/>
      <c r="F155" s="81"/>
    </row>
    <row r="156" ht="15.75" customHeight="1">
      <c r="A156" s="81"/>
      <c r="B156" s="81"/>
      <c r="C156" s="81"/>
      <c r="D156" s="81"/>
      <c r="E156" s="81"/>
      <c r="F156" s="81"/>
    </row>
    <row r="157" ht="6.0" customHeight="1"/>
    <row r="158" ht="18.0" customHeight="1">
      <c r="A158" s="81"/>
      <c r="B158" s="81"/>
      <c r="C158" s="81"/>
      <c r="D158" s="81"/>
      <c r="E158" s="81"/>
      <c r="F158" s="81"/>
    </row>
    <row r="159" ht="15.75" customHeight="1">
      <c r="A159" s="81"/>
      <c r="B159" s="81"/>
      <c r="C159" s="81"/>
      <c r="D159" s="81"/>
      <c r="E159" s="81"/>
      <c r="F159" s="81"/>
    </row>
    <row r="160" ht="15.75" customHeight="1">
      <c r="A160" s="81"/>
      <c r="B160" s="81"/>
      <c r="C160" s="81"/>
      <c r="D160" s="81"/>
      <c r="E160" s="81"/>
      <c r="F160" s="81"/>
    </row>
    <row r="161" ht="15.75" customHeight="1">
      <c r="A161" s="81"/>
      <c r="B161" s="81"/>
      <c r="C161" s="81"/>
      <c r="D161" s="81"/>
      <c r="E161" s="81"/>
      <c r="F161" s="81"/>
    </row>
    <row r="162" ht="15.75" customHeight="1">
      <c r="A162" s="81"/>
      <c r="B162" s="81"/>
      <c r="C162" s="81"/>
      <c r="D162" s="81"/>
      <c r="E162" s="81"/>
      <c r="F162" s="81"/>
    </row>
    <row r="163" ht="15.75" customHeight="1">
      <c r="A163" s="81"/>
      <c r="B163" s="81"/>
      <c r="C163" s="81"/>
      <c r="D163" s="81"/>
      <c r="E163" s="81"/>
      <c r="F163" s="81"/>
    </row>
    <row r="164" ht="6.0" customHeight="1"/>
    <row r="165" ht="18.0" customHeight="1">
      <c r="A165" s="81"/>
      <c r="B165" s="81"/>
      <c r="C165" s="81"/>
      <c r="D165" s="81"/>
      <c r="E165" s="81"/>
      <c r="F165" s="81"/>
    </row>
    <row r="166" ht="15.75" customHeight="1">
      <c r="A166" s="81"/>
      <c r="B166" s="81"/>
      <c r="C166" s="81"/>
      <c r="D166" s="81"/>
      <c r="E166" s="81"/>
      <c r="F166" s="81"/>
    </row>
    <row r="167" ht="15.75" customHeight="1">
      <c r="A167" s="81"/>
      <c r="B167" s="81"/>
      <c r="C167" s="81"/>
      <c r="D167" s="81"/>
      <c r="E167" s="81"/>
      <c r="F167" s="81"/>
    </row>
    <row r="168" ht="15.75" customHeight="1">
      <c r="A168" s="81"/>
      <c r="B168" s="81"/>
      <c r="C168" s="81"/>
      <c r="D168" s="81"/>
      <c r="E168" s="81"/>
      <c r="F168" s="81"/>
    </row>
    <row r="169" ht="15.75" customHeight="1">
      <c r="A169" s="81"/>
      <c r="B169" s="81"/>
      <c r="C169" s="81"/>
      <c r="D169" s="81"/>
      <c r="E169" s="81"/>
      <c r="F169" s="81"/>
    </row>
    <row r="170" ht="15.75" customHeight="1">
      <c r="A170" s="81"/>
      <c r="B170" s="81"/>
      <c r="C170" s="81"/>
      <c r="D170" s="81"/>
      <c r="E170" s="81"/>
      <c r="F170" s="81"/>
    </row>
    <row r="171" ht="15.75" customHeight="1">
      <c r="A171" s="81"/>
      <c r="B171" s="81"/>
      <c r="C171" s="81"/>
      <c r="D171" s="81"/>
      <c r="E171" s="81"/>
      <c r="F171" s="81"/>
    </row>
    <row r="172" ht="15.75" customHeight="1">
      <c r="A172" s="81"/>
      <c r="B172" s="81"/>
      <c r="C172" s="81"/>
      <c r="D172" s="81"/>
      <c r="E172" s="81"/>
      <c r="F172" s="81"/>
    </row>
    <row r="173" ht="15.75" customHeight="1">
      <c r="A173" s="81"/>
      <c r="B173" s="81"/>
      <c r="C173" s="81"/>
      <c r="D173" s="81"/>
      <c r="E173" s="81"/>
      <c r="F173" s="81"/>
    </row>
    <row r="174" ht="15.75" customHeight="1">
      <c r="A174" s="81"/>
      <c r="B174" s="81"/>
      <c r="C174" s="81"/>
      <c r="D174" s="81"/>
      <c r="E174" s="81"/>
      <c r="F174" s="81"/>
    </row>
    <row r="175" ht="15.75" customHeight="1">
      <c r="A175" s="81"/>
      <c r="B175" s="81"/>
      <c r="C175" s="81"/>
      <c r="D175" s="81"/>
      <c r="E175" s="81"/>
      <c r="F175" s="81"/>
    </row>
    <row r="176" ht="15.75" customHeight="1">
      <c r="A176" s="81"/>
      <c r="B176" s="81"/>
      <c r="C176" s="81"/>
      <c r="D176" s="81"/>
      <c r="E176" s="81"/>
      <c r="F176" s="81"/>
    </row>
    <row r="177" ht="15.75" customHeight="1">
      <c r="A177" s="81"/>
      <c r="B177" s="81"/>
      <c r="C177" s="81"/>
      <c r="D177" s="81"/>
      <c r="E177" s="81"/>
      <c r="F177" s="81"/>
    </row>
    <row r="178" ht="15.75" customHeight="1">
      <c r="A178" s="81"/>
      <c r="B178" s="81"/>
      <c r="C178" s="81"/>
      <c r="D178" s="81"/>
      <c r="E178" s="81"/>
      <c r="F178" s="81"/>
    </row>
    <row r="179" ht="15.75" customHeight="1">
      <c r="A179" s="81"/>
      <c r="B179" s="81"/>
      <c r="C179" s="81"/>
      <c r="D179" s="81"/>
      <c r="E179" s="81"/>
      <c r="F179" s="81"/>
    </row>
    <row r="180" ht="15.75" customHeight="1">
      <c r="A180" s="81"/>
      <c r="B180" s="81"/>
      <c r="C180" s="81"/>
      <c r="D180" s="81"/>
      <c r="E180" s="81"/>
      <c r="F180" s="81"/>
    </row>
    <row r="181" ht="15.75" customHeight="1">
      <c r="A181" s="81"/>
      <c r="B181" s="81"/>
      <c r="C181" s="81"/>
      <c r="D181" s="81"/>
      <c r="E181" s="81"/>
      <c r="F181" s="81"/>
    </row>
    <row r="182" ht="15.75" customHeight="1">
      <c r="A182" s="81"/>
      <c r="B182" s="81"/>
      <c r="C182" s="81"/>
      <c r="D182" s="81"/>
      <c r="E182" s="81"/>
      <c r="F182" s="81"/>
    </row>
    <row r="183" ht="15.75" customHeight="1">
      <c r="A183" s="81"/>
      <c r="B183" s="81"/>
      <c r="C183" s="81"/>
      <c r="D183" s="81"/>
      <c r="E183" s="81"/>
      <c r="F183" s="81"/>
    </row>
    <row r="184" ht="15.75" customHeight="1">
      <c r="A184" s="81"/>
      <c r="B184" s="81"/>
      <c r="C184" s="81"/>
      <c r="D184" s="81"/>
      <c r="E184" s="81"/>
      <c r="F184" s="81"/>
    </row>
    <row r="185" ht="15.75" customHeight="1">
      <c r="A185" s="81"/>
      <c r="B185" s="81"/>
      <c r="C185" s="81"/>
      <c r="D185" s="81"/>
      <c r="E185" s="81"/>
      <c r="F185" s="81"/>
    </row>
    <row r="186" ht="15.75" customHeight="1">
      <c r="A186" s="81"/>
      <c r="B186" s="81"/>
      <c r="C186" s="81"/>
      <c r="D186" s="81"/>
      <c r="E186" s="81"/>
      <c r="F186" s="81"/>
    </row>
    <row r="187" ht="15.75" customHeight="1">
      <c r="A187" s="81"/>
      <c r="B187" s="81"/>
      <c r="C187" s="81"/>
      <c r="D187" s="81"/>
      <c r="E187" s="81"/>
      <c r="F187" s="81"/>
    </row>
    <row r="188" ht="15.75" customHeight="1">
      <c r="A188" s="81"/>
      <c r="B188" s="81"/>
      <c r="C188" s="81"/>
      <c r="D188" s="81"/>
      <c r="E188" s="81"/>
      <c r="F188" s="81"/>
    </row>
    <row r="189" ht="15.75" customHeight="1">
      <c r="A189" s="81"/>
      <c r="B189" s="81"/>
      <c r="C189" s="81"/>
      <c r="D189" s="81"/>
      <c r="E189" s="81"/>
      <c r="F189" s="81"/>
    </row>
    <row r="190" ht="6.0" customHeight="1"/>
    <row r="191" ht="6.0" customHeight="1"/>
    <row r="192" ht="18.0" customHeight="1">
      <c r="A192" s="81"/>
      <c r="B192" s="81"/>
      <c r="C192" s="81"/>
      <c r="D192" s="81"/>
      <c r="E192" s="81"/>
      <c r="F192" s="81"/>
    </row>
    <row r="193" ht="15.75" customHeight="1">
      <c r="A193" s="99"/>
      <c r="B193" s="100"/>
      <c r="C193" s="100"/>
      <c r="D193" s="100"/>
      <c r="E193" s="100"/>
      <c r="F193" s="101"/>
    </row>
    <row r="194" ht="15.75" customHeight="1">
      <c r="A194" s="99"/>
      <c r="B194" s="100"/>
      <c r="C194" s="100"/>
      <c r="D194" s="100"/>
      <c r="E194" s="100"/>
      <c r="F194" s="101"/>
    </row>
    <row r="195" ht="15.75" customHeight="1">
      <c r="A195" s="99"/>
      <c r="B195" s="100"/>
      <c r="C195" s="100"/>
      <c r="D195" s="100"/>
      <c r="E195" s="100"/>
      <c r="F195" s="101"/>
    </row>
    <row r="196" ht="15.75" customHeight="1">
      <c r="A196" s="99"/>
      <c r="B196" s="100"/>
      <c r="C196" s="100"/>
      <c r="D196" s="100"/>
      <c r="E196" s="100"/>
      <c r="F196" s="101"/>
    </row>
    <row r="197" ht="15.75" customHeight="1">
      <c r="A197" s="99"/>
      <c r="B197" s="100"/>
      <c r="C197" s="100"/>
      <c r="D197" s="100"/>
      <c r="E197" s="100"/>
      <c r="F197" s="101"/>
    </row>
    <row r="198" ht="15.75" customHeight="1">
      <c r="A198" s="99"/>
      <c r="B198" s="100"/>
      <c r="C198" s="100"/>
      <c r="D198" s="100"/>
      <c r="E198" s="100"/>
      <c r="F198" s="101"/>
    </row>
    <row r="199" ht="15.75" customHeight="1">
      <c r="A199" s="99"/>
      <c r="B199" s="100"/>
      <c r="C199" s="100"/>
      <c r="D199" s="100"/>
      <c r="E199" s="100"/>
      <c r="F199" s="101"/>
    </row>
    <row r="200" ht="15.75" customHeight="1">
      <c r="A200" s="99"/>
      <c r="B200" s="100"/>
      <c r="C200" s="100"/>
      <c r="D200" s="100"/>
      <c r="E200" s="100"/>
      <c r="F200" s="101"/>
    </row>
    <row r="201" ht="15.75" customHeight="1">
      <c r="A201" s="99"/>
      <c r="B201" s="100"/>
      <c r="C201" s="100"/>
      <c r="D201" s="100"/>
      <c r="E201" s="100"/>
      <c r="F201" s="101"/>
    </row>
    <row r="202" ht="15.75" customHeight="1">
      <c r="A202" s="99"/>
      <c r="B202" s="100"/>
      <c r="C202" s="100"/>
      <c r="D202" s="100"/>
      <c r="E202" s="100"/>
      <c r="F202" s="101"/>
    </row>
    <row r="203" ht="15.75" customHeight="1">
      <c r="A203" s="99"/>
      <c r="B203" s="100"/>
      <c r="C203" s="100"/>
      <c r="D203" s="100"/>
      <c r="E203" s="100"/>
      <c r="F203" s="101"/>
    </row>
    <row r="204" ht="15.75" customHeight="1">
      <c r="A204" s="99"/>
      <c r="B204" s="100"/>
      <c r="C204" s="100"/>
      <c r="D204" s="100"/>
      <c r="E204" s="100"/>
      <c r="F204" s="101"/>
    </row>
    <row r="205" ht="15.75" customHeight="1">
      <c r="A205" s="99"/>
      <c r="B205" s="100"/>
      <c r="C205" s="100"/>
      <c r="D205" s="100"/>
      <c r="E205" s="100"/>
      <c r="F205" s="101"/>
    </row>
    <row r="206" ht="15.75" customHeight="1">
      <c r="A206" s="99"/>
      <c r="B206" s="100"/>
      <c r="C206" s="100"/>
      <c r="D206" s="100"/>
      <c r="E206" s="100"/>
      <c r="F206" s="101"/>
    </row>
    <row r="207" ht="6.0" customHeight="1">
      <c r="A207" s="102"/>
      <c r="B207" s="102"/>
      <c r="C207" s="102"/>
      <c r="D207" s="102"/>
      <c r="E207" s="102"/>
      <c r="F207" s="103"/>
    </row>
    <row r="208" ht="15.75" customHeight="1">
      <c r="A208" s="102"/>
      <c r="B208" s="102"/>
      <c r="C208" s="102"/>
      <c r="D208" s="102"/>
      <c r="E208" s="102"/>
      <c r="F208" s="103"/>
    </row>
    <row r="209" ht="15.75" customHeight="1">
      <c r="A209" s="102"/>
      <c r="B209" s="102"/>
      <c r="C209" s="102"/>
      <c r="D209" s="102"/>
      <c r="E209" s="102"/>
      <c r="F209" s="103"/>
    </row>
    <row r="210" ht="15.75" customHeight="1">
      <c r="A210" s="102"/>
      <c r="B210" s="102"/>
      <c r="C210" s="102"/>
      <c r="D210" s="102"/>
      <c r="E210" s="102"/>
      <c r="F210" s="103"/>
    </row>
    <row r="211" ht="15.75" customHeight="1">
      <c r="A211" s="102"/>
      <c r="B211" s="102"/>
      <c r="C211" s="102"/>
      <c r="D211" s="102"/>
      <c r="E211" s="102"/>
      <c r="F211" s="103"/>
    </row>
    <row r="212" ht="15.75" customHeight="1">
      <c r="A212" s="102"/>
      <c r="B212" s="102"/>
      <c r="C212" s="102"/>
      <c r="D212" s="102"/>
      <c r="E212" s="102"/>
      <c r="F212" s="103"/>
    </row>
    <row r="213" ht="15.75" customHeight="1">
      <c r="A213" s="102"/>
      <c r="B213" s="102"/>
      <c r="C213" s="102"/>
      <c r="D213" s="102"/>
      <c r="E213" s="102"/>
      <c r="F213" s="103"/>
    </row>
    <row r="214" ht="15.75" customHeight="1">
      <c r="A214" s="102"/>
      <c r="B214" s="102"/>
      <c r="C214" s="102"/>
      <c r="D214" s="102"/>
      <c r="E214" s="102"/>
      <c r="F214" s="103"/>
    </row>
    <row r="215" ht="15.75" customHeight="1">
      <c r="A215" s="102"/>
      <c r="B215" s="102"/>
      <c r="C215" s="102"/>
      <c r="D215" s="102"/>
      <c r="E215" s="102"/>
      <c r="F215" s="103"/>
    </row>
    <row r="216" ht="15.75" customHeight="1">
      <c r="A216" s="102"/>
      <c r="B216" s="102"/>
      <c r="C216" s="102"/>
      <c r="D216" s="102"/>
      <c r="E216" s="102"/>
      <c r="F216" s="103"/>
    </row>
    <row r="217" ht="15.75" customHeight="1">
      <c r="A217" s="102"/>
      <c r="B217" s="102"/>
      <c r="C217" s="102"/>
      <c r="D217" s="102"/>
      <c r="E217" s="102"/>
      <c r="F217" s="103"/>
    </row>
    <row r="218" ht="15.75" customHeight="1">
      <c r="A218" s="102"/>
      <c r="B218" s="102"/>
      <c r="C218" s="102"/>
      <c r="D218" s="102"/>
      <c r="E218" s="102"/>
      <c r="F218" s="103"/>
    </row>
    <row r="219" ht="15.75" customHeight="1">
      <c r="A219" s="102"/>
      <c r="B219" s="102"/>
      <c r="C219" s="102"/>
      <c r="D219" s="102"/>
      <c r="E219" s="102"/>
      <c r="F219" s="103"/>
    </row>
    <row r="220" ht="15.75" customHeight="1">
      <c r="A220" s="102"/>
      <c r="B220" s="102"/>
      <c r="C220" s="102"/>
      <c r="D220" s="102"/>
      <c r="E220" s="102"/>
      <c r="F220" s="103"/>
    </row>
    <row r="221" ht="15.75" customHeight="1">
      <c r="A221" s="102"/>
      <c r="B221" s="102"/>
      <c r="C221" s="102"/>
      <c r="D221" s="102"/>
      <c r="E221" s="102"/>
      <c r="F221" s="103"/>
    </row>
    <row r="222" ht="15.75" customHeight="1">
      <c r="A222" s="102"/>
      <c r="B222" s="102"/>
      <c r="C222" s="102"/>
      <c r="D222" s="102"/>
      <c r="E222" s="102"/>
      <c r="F222" s="103"/>
    </row>
    <row r="223" ht="15.75" customHeight="1">
      <c r="A223" s="102"/>
      <c r="B223" s="102"/>
      <c r="C223" s="102"/>
      <c r="D223" s="102"/>
      <c r="E223" s="102"/>
      <c r="F223" s="103"/>
    </row>
    <row r="224" ht="15.75" customHeight="1">
      <c r="A224" s="102"/>
      <c r="B224" s="102"/>
      <c r="C224" s="102"/>
      <c r="D224" s="102"/>
      <c r="E224" s="102"/>
      <c r="F224" s="103"/>
    </row>
    <row r="225" ht="15.75" customHeight="1">
      <c r="A225" s="102"/>
      <c r="B225" s="102"/>
      <c r="C225" s="102"/>
      <c r="D225" s="102"/>
      <c r="E225" s="102"/>
      <c r="F225" s="103"/>
    </row>
    <row r="226" ht="15.75" customHeight="1">
      <c r="A226" s="102"/>
      <c r="B226" s="102"/>
      <c r="C226" s="102"/>
      <c r="D226" s="102"/>
      <c r="E226" s="102"/>
      <c r="F226" s="103"/>
    </row>
    <row r="227" ht="15.75" customHeight="1">
      <c r="F227" s="7"/>
    </row>
    <row r="228" ht="15.75" customHeight="1">
      <c r="F228" s="7"/>
    </row>
    <row r="229" ht="15.75" customHeight="1">
      <c r="F229" s="7"/>
    </row>
    <row r="230" ht="15.75" customHeight="1">
      <c r="F230" s="7"/>
    </row>
    <row r="231" ht="15.75" customHeight="1">
      <c r="F231" s="7"/>
    </row>
    <row r="232" ht="15.75" customHeight="1">
      <c r="F232" s="7"/>
    </row>
    <row r="233" ht="15.75" customHeight="1">
      <c r="F233" s="7"/>
    </row>
    <row r="234" ht="15.75" customHeight="1">
      <c r="F234" s="7"/>
    </row>
    <row r="235" ht="15.75" customHeight="1">
      <c r="F235" s="7"/>
    </row>
    <row r="236" ht="15.75" customHeight="1">
      <c r="F236" s="7"/>
    </row>
    <row r="237" ht="15.75" customHeight="1">
      <c r="F237" s="7"/>
    </row>
    <row r="238" ht="15.75" customHeight="1">
      <c r="F238" s="7"/>
    </row>
    <row r="239" ht="15.75" customHeight="1">
      <c r="F239" s="7"/>
    </row>
    <row r="240" ht="15.75" customHeight="1">
      <c r="F240" s="7"/>
    </row>
    <row r="241" ht="15.75" customHeight="1">
      <c r="F241" s="7"/>
    </row>
    <row r="242" ht="15.75" customHeight="1">
      <c r="F242" s="7"/>
    </row>
    <row r="243" ht="15.75" customHeight="1">
      <c r="F243" s="7"/>
    </row>
    <row r="244" ht="15.75" customHeight="1">
      <c r="F244" s="7"/>
    </row>
    <row r="245" ht="15.75" customHeight="1">
      <c r="F245" s="7"/>
    </row>
    <row r="246" ht="15.75" customHeight="1">
      <c r="F246" s="7"/>
    </row>
    <row r="247" ht="15.75" customHeight="1">
      <c r="F247" s="7"/>
    </row>
    <row r="248" ht="15.75" customHeight="1">
      <c r="F248" s="7"/>
    </row>
    <row r="249" ht="15.75" customHeight="1">
      <c r="F249" s="7"/>
    </row>
    <row r="250" ht="15.75" customHeight="1">
      <c r="F250" s="7"/>
    </row>
    <row r="251" ht="15.75" customHeight="1">
      <c r="F251" s="7"/>
    </row>
    <row r="252" ht="15.75" customHeight="1">
      <c r="F252" s="7"/>
    </row>
    <row r="253" ht="15.75" customHeight="1">
      <c r="F253" s="7"/>
    </row>
    <row r="254" ht="15.75" customHeight="1">
      <c r="F254" s="7"/>
    </row>
    <row r="255" ht="15.75" customHeight="1">
      <c r="F255" s="7"/>
    </row>
    <row r="256" ht="15.75" customHeight="1">
      <c r="F256" s="7"/>
    </row>
    <row r="257" ht="15.75" customHeight="1">
      <c r="F257" s="7"/>
    </row>
    <row r="258" ht="15.75" customHeight="1">
      <c r="F258" s="7"/>
    </row>
    <row r="259" ht="15.75" customHeight="1">
      <c r="F259" s="7"/>
    </row>
    <row r="260" ht="15.75" customHeight="1">
      <c r="F260" s="7"/>
    </row>
    <row r="261" ht="15.75" customHeight="1">
      <c r="F261" s="7"/>
    </row>
    <row r="262" ht="15.75" customHeight="1">
      <c r="F262" s="7"/>
    </row>
    <row r="263" ht="15.75" customHeight="1">
      <c r="F263" s="7"/>
    </row>
    <row r="264" ht="15.75" customHeight="1">
      <c r="F264" s="7"/>
    </row>
    <row r="265" ht="15.75" customHeight="1">
      <c r="F265" s="7"/>
    </row>
    <row r="266" ht="15.75" customHeight="1">
      <c r="F266" s="7"/>
    </row>
    <row r="267" ht="15.75" customHeight="1">
      <c r="F267" s="7"/>
    </row>
    <row r="268" ht="15.75" customHeight="1">
      <c r="F268" s="7"/>
    </row>
    <row r="269" ht="15.75" customHeight="1">
      <c r="F269" s="7"/>
    </row>
    <row r="270" ht="15.75" customHeight="1">
      <c r="F270" s="7"/>
    </row>
    <row r="271" ht="15.75" customHeight="1">
      <c r="F271" s="7"/>
    </row>
    <row r="272" ht="15.75" customHeight="1">
      <c r="F272" s="7"/>
    </row>
    <row r="273" ht="15.75" customHeight="1">
      <c r="F273" s="7"/>
    </row>
    <row r="274" ht="15.75" customHeight="1">
      <c r="F274" s="7"/>
    </row>
    <row r="275" ht="15.75" customHeight="1">
      <c r="F275" s="7"/>
    </row>
    <row r="276" ht="15.75" customHeight="1">
      <c r="F276" s="7"/>
    </row>
    <row r="277" ht="15.75" customHeight="1">
      <c r="F277" s="7"/>
    </row>
    <row r="278" ht="15.75" customHeight="1">
      <c r="F278" s="7"/>
    </row>
    <row r="279" ht="15.75" customHeight="1">
      <c r="F279" s="7"/>
    </row>
    <row r="280" ht="15.75" customHeight="1">
      <c r="F280" s="7"/>
    </row>
    <row r="281" ht="15.75" customHeight="1">
      <c r="F281" s="7"/>
    </row>
    <row r="282" ht="15.75" customHeight="1">
      <c r="F282" s="7"/>
    </row>
    <row r="283" ht="15.75" customHeight="1">
      <c r="F283" s="7"/>
    </row>
    <row r="284" ht="15.75" customHeight="1">
      <c r="F284" s="7"/>
    </row>
    <row r="285" ht="15.75" customHeight="1">
      <c r="F285" s="7"/>
    </row>
    <row r="286" ht="15.75" customHeight="1">
      <c r="F286" s="7"/>
    </row>
    <row r="287" ht="15.75" customHeight="1">
      <c r="F287" s="7"/>
    </row>
    <row r="288" ht="15.75" customHeight="1">
      <c r="F288" s="7"/>
    </row>
    <row r="289" ht="15.75" customHeight="1">
      <c r="F289" s="7"/>
    </row>
    <row r="290" ht="15.75" customHeight="1">
      <c r="F290" s="7"/>
    </row>
    <row r="291" ht="15.75" customHeight="1">
      <c r="F291" s="7"/>
    </row>
    <row r="292" ht="15.75" customHeight="1">
      <c r="F292" s="7"/>
    </row>
    <row r="293" ht="15.75" customHeight="1">
      <c r="F293" s="7"/>
    </row>
    <row r="294" ht="15.75" customHeight="1">
      <c r="F294" s="7"/>
    </row>
    <row r="295" ht="15.75" customHeight="1">
      <c r="F295" s="7"/>
    </row>
    <row r="296" ht="15.75" customHeight="1">
      <c r="F296" s="7"/>
    </row>
    <row r="297" ht="15.75" customHeight="1">
      <c r="F297" s="7"/>
    </row>
    <row r="298" ht="15.75" customHeight="1">
      <c r="F298" s="7"/>
    </row>
    <row r="299" ht="15.75" customHeight="1">
      <c r="F299" s="7"/>
    </row>
    <row r="300" ht="15.75" customHeight="1">
      <c r="F300" s="7"/>
    </row>
    <row r="301" ht="15.75" customHeight="1">
      <c r="F301" s="7"/>
    </row>
    <row r="302" ht="15.75" customHeight="1">
      <c r="F302" s="7"/>
    </row>
    <row r="303" ht="15.75" customHeight="1">
      <c r="F303" s="7"/>
    </row>
    <row r="304" ht="15.75" customHeight="1">
      <c r="F304" s="7"/>
    </row>
    <row r="305" ht="15.75" customHeight="1">
      <c r="F305" s="7"/>
    </row>
    <row r="306" ht="15.75" customHeight="1">
      <c r="F306" s="7"/>
    </row>
    <row r="307" ht="15.75" customHeight="1">
      <c r="F307" s="7"/>
    </row>
    <row r="308" ht="15.75" customHeight="1">
      <c r="F308" s="7"/>
    </row>
    <row r="309" ht="15.75" customHeight="1">
      <c r="F309" s="7"/>
    </row>
    <row r="310" ht="15.75" customHeight="1">
      <c r="F310" s="7"/>
    </row>
    <row r="311" ht="15.75" customHeight="1">
      <c r="F311" s="7"/>
    </row>
    <row r="312" ht="15.75" customHeight="1">
      <c r="F312" s="7"/>
    </row>
    <row r="313" ht="15.75" customHeight="1">
      <c r="F313" s="7"/>
    </row>
    <row r="314" ht="15.75" customHeight="1">
      <c r="F314" s="7"/>
    </row>
    <row r="315" ht="15.75" customHeight="1">
      <c r="F315" s="7"/>
    </row>
    <row r="316" ht="15.75" customHeight="1">
      <c r="F316" s="7"/>
    </row>
    <row r="317" ht="15.75" customHeight="1">
      <c r="F317" s="7"/>
    </row>
    <row r="318" ht="15.75" customHeight="1">
      <c r="F318" s="7"/>
    </row>
    <row r="319" ht="15.75" customHeight="1">
      <c r="F319" s="7"/>
    </row>
    <row r="320" ht="15.75" customHeight="1">
      <c r="F320" s="7"/>
    </row>
    <row r="321" ht="15.75" customHeight="1">
      <c r="F321" s="7"/>
    </row>
    <row r="322" ht="15.75" customHeight="1">
      <c r="F322" s="7"/>
    </row>
    <row r="323" ht="15.75" customHeight="1">
      <c r="F323" s="7"/>
    </row>
    <row r="324" ht="15.75" customHeight="1">
      <c r="F324" s="7"/>
    </row>
    <row r="325" ht="15.75" customHeight="1">
      <c r="F325" s="7"/>
    </row>
    <row r="326" ht="15.75" customHeight="1">
      <c r="F326" s="7"/>
    </row>
    <row r="327" ht="15.75" customHeight="1">
      <c r="F327" s="7"/>
    </row>
    <row r="328" ht="15.75" customHeight="1">
      <c r="F328" s="7"/>
    </row>
    <row r="329" ht="15.75" customHeight="1">
      <c r="F329" s="7"/>
    </row>
    <row r="330" ht="15.75" customHeight="1">
      <c r="F330" s="7"/>
    </row>
    <row r="331" ht="15.75" customHeight="1">
      <c r="F331" s="7"/>
    </row>
    <row r="332" ht="15.75" customHeight="1">
      <c r="F332" s="7"/>
    </row>
    <row r="333" ht="15.75" customHeight="1">
      <c r="F333" s="7"/>
    </row>
    <row r="334" ht="15.75" customHeight="1">
      <c r="F334" s="7"/>
    </row>
    <row r="335" ht="15.75" customHeight="1">
      <c r="F335" s="7"/>
    </row>
    <row r="336" ht="15.75" customHeight="1">
      <c r="F336" s="7"/>
    </row>
    <row r="337" ht="15.75" customHeight="1">
      <c r="F337" s="7"/>
    </row>
    <row r="338" ht="15.75" customHeight="1">
      <c r="F338" s="7"/>
    </row>
    <row r="339" ht="15.75" customHeight="1">
      <c r="F339" s="7"/>
    </row>
    <row r="340" ht="15.75" customHeight="1">
      <c r="F340" s="7"/>
    </row>
    <row r="341" ht="15.75" customHeight="1">
      <c r="F341" s="7"/>
    </row>
    <row r="342" ht="15.75" customHeight="1">
      <c r="F342" s="7"/>
    </row>
    <row r="343" ht="15.75" customHeight="1">
      <c r="F343" s="7"/>
    </row>
    <row r="344" ht="15.75" customHeight="1">
      <c r="F344" s="7"/>
    </row>
    <row r="345" ht="15.75" customHeight="1">
      <c r="F345" s="7"/>
    </row>
    <row r="346" ht="15.75" customHeight="1">
      <c r="F346" s="7"/>
    </row>
    <row r="347" ht="15.75" customHeight="1">
      <c r="F347" s="7"/>
    </row>
    <row r="348" ht="15.75" customHeight="1">
      <c r="F348" s="7"/>
    </row>
    <row r="349" ht="15.75" customHeight="1">
      <c r="F349" s="7"/>
    </row>
    <row r="350" ht="15.75" customHeight="1">
      <c r="F350" s="7"/>
    </row>
    <row r="351" ht="15.75" customHeight="1">
      <c r="F351" s="7"/>
    </row>
    <row r="352" ht="15.75" customHeight="1">
      <c r="F352" s="7"/>
    </row>
    <row r="353" ht="15.75" customHeight="1">
      <c r="F353" s="7"/>
    </row>
    <row r="354" ht="15.75" customHeight="1">
      <c r="F354" s="7"/>
    </row>
    <row r="355" ht="15.75" customHeight="1">
      <c r="F355" s="7"/>
    </row>
    <row r="356" ht="15.75" customHeight="1">
      <c r="F356" s="7"/>
    </row>
    <row r="357" ht="15.75" customHeight="1">
      <c r="F357" s="7"/>
    </row>
    <row r="358" ht="15.75" customHeight="1">
      <c r="F358" s="7"/>
    </row>
    <row r="359" ht="15.75" customHeight="1">
      <c r="F359" s="7"/>
    </row>
    <row r="360" ht="15.75" customHeight="1">
      <c r="F360" s="7"/>
    </row>
    <row r="361" ht="15.75" customHeight="1">
      <c r="F361" s="7"/>
    </row>
    <row r="362" ht="15.75" customHeight="1">
      <c r="F362" s="7"/>
    </row>
    <row r="363" ht="15.75" customHeight="1">
      <c r="F363" s="7"/>
    </row>
    <row r="364" ht="15.75" customHeight="1">
      <c r="F364" s="7"/>
    </row>
    <row r="365" ht="15.75" customHeight="1">
      <c r="F365" s="7"/>
    </row>
    <row r="366" ht="15.75" customHeight="1">
      <c r="F366" s="7"/>
    </row>
    <row r="367" ht="15.75" customHeight="1">
      <c r="F367" s="7"/>
    </row>
    <row r="368" ht="15.75" customHeight="1">
      <c r="F368" s="7"/>
    </row>
    <row r="369" ht="15.75" customHeight="1">
      <c r="F369" s="7"/>
    </row>
    <row r="370" ht="15.75" customHeight="1">
      <c r="F370" s="7"/>
    </row>
    <row r="371" ht="15.75" customHeight="1">
      <c r="F371" s="7"/>
    </row>
    <row r="372" ht="15.75" customHeight="1">
      <c r="F372" s="7"/>
    </row>
    <row r="373" ht="15.75" customHeight="1">
      <c r="F373" s="7"/>
    </row>
    <row r="374" ht="15.75" customHeight="1">
      <c r="F374" s="7"/>
    </row>
    <row r="375" ht="15.75" customHeight="1">
      <c r="F375" s="7"/>
    </row>
    <row r="376" ht="15.75" customHeight="1">
      <c r="F376" s="7"/>
    </row>
    <row r="377" ht="15.75" customHeight="1">
      <c r="F377" s="7"/>
    </row>
    <row r="378" ht="15.75" customHeight="1">
      <c r="F378" s="7"/>
    </row>
    <row r="379" ht="15.75" customHeight="1">
      <c r="F379" s="7"/>
    </row>
    <row r="380" ht="15.75" customHeight="1">
      <c r="F380" s="7"/>
    </row>
    <row r="381" ht="15.75" customHeight="1">
      <c r="F381" s="7"/>
    </row>
    <row r="382" ht="15.75" customHeight="1">
      <c r="F382" s="7"/>
    </row>
    <row r="383" ht="15.75" customHeight="1">
      <c r="F383" s="7"/>
    </row>
    <row r="384" ht="15.75" customHeight="1">
      <c r="F384" s="7"/>
    </row>
    <row r="385" ht="15.75" customHeight="1">
      <c r="F385" s="7"/>
    </row>
    <row r="386" ht="15.75" customHeight="1">
      <c r="F386" s="7"/>
    </row>
    <row r="387" ht="15.75" customHeight="1">
      <c r="F387" s="7"/>
    </row>
    <row r="388" ht="15.75" customHeight="1">
      <c r="F388" s="7"/>
    </row>
    <row r="389" ht="15.75" customHeight="1">
      <c r="F389" s="7"/>
    </row>
    <row r="390" ht="15.75" customHeight="1">
      <c r="F390" s="7"/>
    </row>
    <row r="391" ht="15.75" customHeight="1">
      <c r="F391" s="7"/>
    </row>
    <row r="392" ht="15.75" customHeight="1">
      <c r="F392" s="7"/>
    </row>
    <row r="393" ht="15.75" customHeight="1">
      <c r="F393" s="7"/>
    </row>
    <row r="394" ht="15.75" customHeight="1">
      <c r="F394" s="7"/>
    </row>
    <row r="395" ht="15.75" customHeight="1">
      <c r="F395" s="7"/>
    </row>
    <row r="396" ht="15.75" customHeight="1">
      <c r="F396" s="7"/>
    </row>
    <row r="397" ht="15.75" customHeight="1">
      <c r="F397" s="7"/>
    </row>
    <row r="398" ht="15.75" customHeight="1">
      <c r="F398" s="7"/>
    </row>
    <row r="399" ht="15.75" customHeight="1">
      <c r="F399" s="7"/>
    </row>
    <row r="400" ht="15.75" customHeight="1">
      <c r="F400" s="7"/>
    </row>
    <row r="401" ht="15.75" customHeight="1">
      <c r="F401" s="7"/>
    </row>
    <row r="402" ht="15.75" customHeight="1">
      <c r="F402" s="7"/>
    </row>
    <row r="403" ht="15.75" customHeight="1">
      <c r="F403" s="7"/>
    </row>
    <row r="404" ht="15.75" customHeight="1">
      <c r="F404" s="7"/>
    </row>
    <row r="405" ht="15.75" customHeight="1">
      <c r="F405" s="7"/>
    </row>
    <row r="406" ht="15.75" customHeight="1">
      <c r="F406" s="7"/>
    </row>
    <row r="407" ht="15.75" customHeight="1">
      <c r="F407" s="7"/>
    </row>
    <row r="408" ht="15.75" customHeight="1">
      <c r="F408" s="7"/>
    </row>
    <row r="409" ht="15.75" customHeight="1">
      <c r="F409" s="7"/>
    </row>
    <row r="410" ht="15.75" customHeight="1">
      <c r="F410" s="7"/>
    </row>
    <row r="411" ht="15.75" customHeight="1">
      <c r="F411" s="7"/>
    </row>
    <row r="412" ht="15.75" customHeight="1">
      <c r="F412" s="7"/>
    </row>
    <row r="413" ht="15.75" customHeight="1">
      <c r="F413" s="7"/>
    </row>
    <row r="414" ht="15.75" customHeight="1">
      <c r="F414" s="7"/>
    </row>
    <row r="415" ht="15.75" customHeight="1">
      <c r="F415" s="7"/>
    </row>
    <row r="416" ht="15.75" customHeight="1">
      <c r="F416" s="7"/>
    </row>
    <row r="417" ht="15.75" customHeight="1">
      <c r="F417" s="7"/>
    </row>
    <row r="418" ht="15.75" customHeight="1">
      <c r="F418" s="7"/>
    </row>
    <row r="419" ht="15.75" customHeight="1">
      <c r="F419" s="7"/>
    </row>
    <row r="420" ht="15.75" customHeight="1">
      <c r="F420" s="7"/>
    </row>
    <row r="421" ht="15.75" customHeight="1">
      <c r="F421" s="7"/>
    </row>
    <row r="422" ht="15.75" customHeight="1">
      <c r="F422" s="7"/>
    </row>
    <row r="423" ht="15.75" customHeight="1">
      <c r="F423" s="7"/>
    </row>
    <row r="424" ht="15.75" customHeight="1">
      <c r="F424" s="7"/>
    </row>
    <row r="425" ht="15.75" customHeight="1">
      <c r="F425" s="7"/>
    </row>
    <row r="426" ht="15.75" customHeight="1">
      <c r="F426" s="7"/>
    </row>
    <row r="427" ht="15.75" customHeight="1">
      <c r="F427" s="7"/>
    </row>
    <row r="428" ht="15.75" customHeight="1">
      <c r="F428" s="7"/>
    </row>
    <row r="429" ht="15.75" customHeight="1">
      <c r="F429" s="7"/>
    </row>
    <row r="430" ht="15.75" customHeight="1">
      <c r="F430" s="7"/>
    </row>
    <row r="431" ht="15.75" customHeight="1">
      <c r="F431" s="7"/>
    </row>
    <row r="432" ht="15.75" customHeight="1">
      <c r="F432" s="7"/>
    </row>
    <row r="433" ht="15.75" customHeight="1">
      <c r="F433" s="7"/>
    </row>
    <row r="434" ht="15.75" customHeight="1">
      <c r="F434" s="7"/>
    </row>
    <row r="435" ht="15.75" customHeight="1">
      <c r="F435" s="7"/>
    </row>
    <row r="436" ht="15.75" customHeight="1">
      <c r="F436" s="7"/>
    </row>
    <row r="437" ht="15.75" customHeight="1">
      <c r="F437" s="7"/>
    </row>
    <row r="438" ht="15.75" customHeight="1">
      <c r="F438" s="7"/>
    </row>
    <row r="439" ht="15.75" customHeight="1">
      <c r="F439" s="7"/>
    </row>
    <row r="440" ht="15.75" customHeight="1">
      <c r="F440" s="7"/>
    </row>
    <row r="441" ht="15.75" customHeight="1">
      <c r="F441" s="7"/>
    </row>
    <row r="442" ht="15.75" customHeight="1">
      <c r="F442" s="7"/>
    </row>
    <row r="443" ht="15.75" customHeight="1">
      <c r="F443" s="7"/>
    </row>
    <row r="444" ht="15.75" customHeight="1">
      <c r="F444" s="7"/>
    </row>
    <row r="445" ht="15.75" customHeight="1">
      <c r="F445" s="7"/>
    </row>
    <row r="446" ht="15.75" customHeight="1">
      <c r="F446" s="7"/>
    </row>
    <row r="447" ht="15.75" customHeight="1">
      <c r="F447" s="7"/>
    </row>
    <row r="448" ht="15.75" customHeight="1">
      <c r="F448" s="7"/>
    </row>
    <row r="449" ht="15.75" customHeight="1">
      <c r="F449" s="7"/>
    </row>
    <row r="450" ht="15.75" customHeight="1">
      <c r="F450" s="7"/>
    </row>
    <row r="451" ht="15.75" customHeight="1">
      <c r="F451" s="7"/>
    </row>
    <row r="452" ht="15.75" customHeight="1">
      <c r="F452" s="7"/>
    </row>
    <row r="453" ht="15.75" customHeight="1">
      <c r="F453" s="7"/>
    </row>
    <row r="454" ht="15.75" customHeight="1">
      <c r="F454" s="7"/>
    </row>
    <row r="455" ht="15.75" customHeight="1">
      <c r="F455" s="7"/>
    </row>
    <row r="456" ht="15.75" customHeight="1">
      <c r="F456" s="7"/>
    </row>
    <row r="457" ht="15.75" customHeight="1">
      <c r="F457" s="7"/>
    </row>
    <row r="458" ht="15.75" customHeight="1">
      <c r="F458" s="7"/>
    </row>
    <row r="459" ht="15.75" customHeight="1">
      <c r="F459" s="7"/>
    </row>
    <row r="460" ht="15.75" customHeight="1">
      <c r="F460" s="7"/>
    </row>
    <row r="461" ht="15.75" customHeight="1">
      <c r="F461" s="7"/>
    </row>
    <row r="462" ht="15.75" customHeight="1">
      <c r="F462" s="7"/>
    </row>
    <row r="463" ht="15.75" customHeight="1">
      <c r="F463" s="7"/>
    </row>
    <row r="464" ht="15.75" customHeight="1">
      <c r="F464" s="7"/>
    </row>
    <row r="465" ht="15.75" customHeight="1">
      <c r="F465" s="7"/>
    </row>
    <row r="466" ht="15.75" customHeight="1">
      <c r="F466" s="7"/>
    </row>
    <row r="467" ht="15.75" customHeight="1">
      <c r="F467" s="7"/>
    </row>
    <row r="468" ht="15.75" customHeight="1">
      <c r="F468" s="7"/>
    </row>
    <row r="469" ht="15.75" customHeight="1">
      <c r="F469" s="7"/>
    </row>
    <row r="470" ht="15.75" customHeight="1">
      <c r="F470" s="7"/>
    </row>
    <row r="471" ht="15.75" customHeight="1">
      <c r="F471" s="7"/>
    </row>
    <row r="472" ht="15.75" customHeight="1">
      <c r="F472" s="7"/>
    </row>
    <row r="473" ht="15.75" customHeight="1">
      <c r="F473" s="7"/>
    </row>
    <row r="474" ht="15.75" customHeight="1">
      <c r="F474" s="7"/>
    </row>
    <row r="475" ht="15.75" customHeight="1">
      <c r="F475" s="7"/>
    </row>
    <row r="476" ht="15.75" customHeight="1">
      <c r="F476" s="7"/>
    </row>
    <row r="477" ht="15.75" customHeight="1">
      <c r="F477" s="7"/>
    </row>
    <row r="478" ht="15.75" customHeight="1">
      <c r="F478" s="7"/>
    </row>
    <row r="479" ht="15.75" customHeight="1">
      <c r="F479" s="7"/>
    </row>
    <row r="480" ht="15.75" customHeight="1">
      <c r="F480" s="7"/>
    </row>
    <row r="481" ht="15.75" customHeight="1">
      <c r="F481" s="7"/>
    </row>
    <row r="482" ht="15.75" customHeight="1">
      <c r="F482" s="7"/>
    </row>
    <row r="483" ht="15.75" customHeight="1">
      <c r="F483" s="7"/>
    </row>
    <row r="484" ht="15.75" customHeight="1">
      <c r="F484" s="7"/>
    </row>
    <row r="485" ht="15.75" customHeight="1">
      <c r="F485" s="7"/>
    </row>
    <row r="486" ht="15.75" customHeight="1">
      <c r="F486" s="7"/>
    </row>
    <row r="487" ht="15.75" customHeight="1">
      <c r="F487" s="7"/>
    </row>
    <row r="488" ht="15.75" customHeight="1">
      <c r="F488" s="7"/>
    </row>
    <row r="489" ht="15.75" customHeight="1">
      <c r="F489" s="7"/>
    </row>
    <row r="490" ht="15.75" customHeight="1">
      <c r="F490" s="7"/>
    </row>
    <row r="491" ht="15.75" customHeight="1">
      <c r="F491" s="7"/>
    </row>
    <row r="492" ht="15.75" customHeight="1">
      <c r="F492" s="7"/>
    </row>
    <row r="493" ht="15.75" customHeight="1">
      <c r="F493" s="7"/>
    </row>
    <row r="494" ht="15.75" customHeight="1">
      <c r="F494" s="7"/>
    </row>
    <row r="495" ht="15.75" customHeight="1">
      <c r="F495" s="7"/>
    </row>
    <row r="496" ht="15.75" customHeight="1">
      <c r="F496" s="7"/>
    </row>
    <row r="497" ht="15.75" customHeight="1">
      <c r="F497" s="7"/>
    </row>
    <row r="498" ht="15.75" customHeight="1">
      <c r="F498" s="7"/>
    </row>
    <row r="499" ht="15.75" customHeight="1">
      <c r="F499" s="7"/>
    </row>
    <row r="500" ht="15.75" customHeight="1">
      <c r="F500" s="7"/>
    </row>
    <row r="501" ht="15.75" customHeight="1">
      <c r="F501" s="7"/>
    </row>
    <row r="502" ht="15.75" customHeight="1">
      <c r="F502" s="7"/>
    </row>
    <row r="503" ht="15.75" customHeight="1">
      <c r="F503" s="7"/>
    </row>
    <row r="504" ht="15.75" customHeight="1">
      <c r="F504" s="7"/>
    </row>
    <row r="505" ht="15.75" customHeight="1">
      <c r="F505" s="7"/>
    </row>
    <row r="506" ht="15.75" customHeight="1">
      <c r="F506" s="7"/>
    </row>
    <row r="507" ht="15.75" customHeight="1">
      <c r="F507" s="7"/>
    </row>
    <row r="508" ht="15.75" customHeight="1">
      <c r="F508" s="7"/>
    </row>
    <row r="509" ht="15.75" customHeight="1">
      <c r="F509" s="7"/>
    </row>
    <row r="510" ht="15.75" customHeight="1">
      <c r="F510" s="7"/>
    </row>
    <row r="511" ht="15.75" customHeight="1">
      <c r="F511" s="7"/>
    </row>
    <row r="512" ht="15.75" customHeight="1">
      <c r="F512" s="7"/>
    </row>
    <row r="513" ht="15.75" customHeight="1">
      <c r="F513" s="7"/>
    </row>
    <row r="514" ht="15.75" customHeight="1">
      <c r="F514" s="7"/>
    </row>
    <row r="515" ht="15.75" customHeight="1">
      <c r="F515" s="7"/>
    </row>
    <row r="516" ht="15.75" customHeight="1">
      <c r="F516" s="7"/>
    </row>
    <row r="517" ht="15.75" customHeight="1">
      <c r="F517" s="7"/>
    </row>
    <row r="518" ht="15.75" customHeight="1">
      <c r="F518" s="7"/>
    </row>
    <row r="519" ht="15.75" customHeight="1">
      <c r="F519" s="7"/>
    </row>
    <row r="520" ht="15.75" customHeight="1">
      <c r="F520" s="7"/>
    </row>
    <row r="521" ht="15.75" customHeight="1">
      <c r="F521" s="7"/>
    </row>
    <row r="522" ht="15.75" customHeight="1">
      <c r="F522" s="7"/>
    </row>
    <row r="523" ht="15.75" customHeight="1">
      <c r="F523" s="7"/>
    </row>
    <row r="524" ht="15.75" customHeight="1">
      <c r="F524" s="7"/>
    </row>
    <row r="525" ht="15.75" customHeight="1">
      <c r="F525" s="7"/>
    </row>
    <row r="526" ht="15.75" customHeight="1">
      <c r="F526" s="7"/>
    </row>
    <row r="527" ht="15.75" customHeight="1">
      <c r="F527" s="7"/>
    </row>
    <row r="528" ht="15.75" customHeight="1">
      <c r="F528" s="7"/>
    </row>
    <row r="529" ht="15.75" customHeight="1">
      <c r="F529" s="7"/>
    </row>
    <row r="530" ht="15.75" customHeight="1">
      <c r="F530" s="7"/>
    </row>
    <row r="531" ht="15.75" customHeight="1">
      <c r="F531" s="7"/>
    </row>
    <row r="532" ht="15.75" customHeight="1">
      <c r="F532" s="7"/>
    </row>
    <row r="533" ht="15.75" customHeight="1">
      <c r="F533" s="7"/>
    </row>
    <row r="534" ht="15.75" customHeight="1">
      <c r="F534" s="7"/>
    </row>
    <row r="535" ht="15.75" customHeight="1">
      <c r="F535" s="7"/>
    </row>
    <row r="536" ht="15.75" customHeight="1">
      <c r="F536" s="7"/>
    </row>
    <row r="537" ht="15.75" customHeight="1">
      <c r="F537" s="7"/>
    </row>
    <row r="538" ht="15.75" customHeight="1">
      <c r="F538" s="7"/>
    </row>
    <row r="539" ht="15.75" customHeight="1">
      <c r="F539" s="7"/>
    </row>
    <row r="540" ht="15.75" customHeight="1">
      <c r="F540" s="7"/>
    </row>
    <row r="541" ht="15.75" customHeight="1">
      <c r="F541" s="7"/>
    </row>
    <row r="542" ht="15.75" customHeight="1">
      <c r="F542" s="7"/>
    </row>
    <row r="543" ht="15.75" customHeight="1">
      <c r="F543" s="7"/>
    </row>
    <row r="544" ht="15.75" customHeight="1">
      <c r="F544" s="7"/>
    </row>
    <row r="545" ht="15.75" customHeight="1">
      <c r="F545" s="7"/>
    </row>
    <row r="546" ht="15.75" customHeight="1">
      <c r="F546" s="7"/>
    </row>
    <row r="547" ht="15.75" customHeight="1">
      <c r="F547" s="7"/>
    </row>
    <row r="548" ht="15.75" customHeight="1">
      <c r="F548" s="7"/>
    </row>
    <row r="549" ht="15.75" customHeight="1">
      <c r="F549" s="7"/>
    </row>
    <row r="550" ht="15.75" customHeight="1">
      <c r="F550" s="7"/>
    </row>
    <row r="551" ht="15.75" customHeight="1">
      <c r="F551" s="7"/>
    </row>
    <row r="552" ht="15.75" customHeight="1">
      <c r="F552" s="7"/>
    </row>
    <row r="553" ht="15.75" customHeight="1">
      <c r="F553" s="7"/>
    </row>
    <row r="554" ht="15.75" customHeight="1">
      <c r="F554" s="7"/>
    </row>
    <row r="555" ht="15.75" customHeight="1">
      <c r="F555" s="7"/>
    </row>
    <row r="556" ht="15.75" customHeight="1">
      <c r="F556" s="7"/>
    </row>
    <row r="557" ht="15.75" customHeight="1">
      <c r="F557" s="7"/>
    </row>
    <row r="558" ht="15.75" customHeight="1">
      <c r="F558" s="7"/>
    </row>
    <row r="559" ht="15.75" customHeight="1">
      <c r="F559" s="7"/>
    </row>
    <row r="560" ht="15.75" customHeight="1">
      <c r="F560" s="7"/>
    </row>
    <row r="561" ht="15.75" customHeight="1">
      <c r="F561" s="7"/>
    </row>
    <row r="562" ht="15.75" customHeight="1">
      <c r="F562" s="7"/>
    </row>
    <row r="563" ht="15.75" customHeight="1">
      <c r="F563" s="7"/>
    </row>
    <row r="564" ht="15.75" customHeight="1">
      <c r="F564" s="7"/>
    </row>
    <row r="565" ht="15.75" customHeight="1">
      <c r="F565" s="7"/>
    </row>
    <row r="566" ht="15.75" customHeight="1">
      <c r="F566" s="7"/>
    </row>
    <row r="567" ht="15.75" customHeight="1">
      <c r="F567" s="7"/>
    </row>
    <row r="568" ht="15.75" customHeight="1">
      <c r="F568" s="7"/>
    </row>
    <row r="569" ht="15.75" customHeight="1">
      <c r="F569" s="7"/>
    </row>
    <row r="570" ht="15.75" customHeight="1">
      <c r="F570" s="7"/>
    </row>
    <row r="571" ht="15.75" customHeight="1">
      <c r="F571" s="7"/>
    </row>
    <row r="572" ht="15.75" customHeight="1">
      <c r="F572" s="7"/>
    </row>
    <row r="573" ht="15.75" customHeight="1">
      <c r="F573" s="7"/>
    </row>
    <row r="574" ht="15.75" customHeight="1">
      <c r="F574" s="7"/>
    </row>
    <row r="575" ht="15.75" customHeight="1">
      <c r="F575" s="7"/>
    </row>
    <row r="576" ht="15.75" customHeight="1">
      <c r="F576" s="7"/>
    </row>
    <row r="577" ht="15.75" customHeight="1">
      <c r="F577" s="7"/>
    </row>
    <row r="578" ht="15.75" customHeight="1">
      <c r="F578" s="7"/>
    </row>
    <row r="579" ht="15.75" customHeight="1">
      <c r="F579" s="7"/>
    </row>
    <row r="580" ht="15.75" customHeight="1">
      <c r="F580" s="7"/>
    </row>
    <row r="581" ht="15.75" customHeight="1">
      <c r="F581" s="7"/>
    </row>
    <row r="582" ht="15.75" customHeight="1">
      <c r="F582" s="7"/>
    </row>
    <row r="583" ht="15.75" customHeight="1">
      <c r="F583" s="7"/>
    </row>
    <row r="584" ht="15.75" customHeight="1">
      <c r="F584" s="7"/>
    </row>
    <row r="585" ht="15.75" customHeight="1">
      <c r="F585" s="7"/>
    </row>
    <row r="586" ht="15.75" customHeight="1">
      <c r="F586" s="7"/>
    </row>
    <row r="587" ht="15.75" customHeight="1">
      <c r="F587" s="7"/>
    </row>
    <row r="588" ht="15.75" customHeight="1">
      <c r="F588" s="7"/>
    </row>
    <row r="589" ht="15.75" customHeight="1">
      <c r="F589" s="7"/>
    </row>
    <row r="590" ht="15.75" customHeight="1">
      <c r="F590" s="7"/>
    </row>
    <row r="591" ht="15.75" customHeight="1">
      <c r="F591" s="7"/>
    </row>
    <row r="592" ht="15.75" customHeight="1">
      <c r="F592" s="7"/>
    </row>
    <row r="593" ht="15.75" customHeight="1">
      <c r="F593" s="7"/>
    </row>
    <row r="594" ht="15.75" customHeight="1">
      <c r="F594" s="7"/>
    </row>
    <row r="595" ht="15.75" customHeight="1">
      <c r="F595" s="7"/>
    </row>
    <row r="596" ht="15.75" customHeight="1">
      <c r="F596" s="7"/>
    </row>
    <row r="597" ht="15.75" customHeight="1">
      <c r="F597" s="7"/>
    </row>
    <row r="598" ht="15.75" customHeight="1">
      <c r="F598" s="7"/>
    </row>
    <row r="599" ht="15.75" customHeight="1">
      <c r="F599" s="7"/>
    </row>
    <row r="600" ht="15.75" customHeight="1">
      <c r="F600" s="7"/>
    </row>
    <row r="601" ht="15.75" customHeight="1">
      <c r="F601" s="7"/>
    </row>
    <row r="602" ht="15.75" customHeight="1">
      <c r="F602" s="7"/>
    </row>
    <row r="603" ht="15.75" customHeight="1">
      <c r="F603" s="7"/>
    </row>
    <row r="604" ht="15.75" customHeight="1">
      <c r="F604" s="7"/>
    </row>
    <row r="605" ht="15.75" customHeight="1">
      <c r="F605" s="7"/>
    </row>
    <row r="606" ht="15.75" customHeight="1">
      <c r="F606" s="7"/>
    </row>
    <row r="607" ht="15.75" customHeight="1">
      <c r="F607" s="7"/>
    </row>
    <row r="608" ht="15.75" customHeight="1">
      <c r="F608" s="7"/>
    </row>
    <row r="609" ht="15.75" customHeight="1">
      <c r="F609" s="7"/>
    </row>
    <row r="610" ht="15.75" customHeight="1">
      <c r="F610" s="7"/>
    </row>
    <row r="611" ht="15.75" customHeight="1">
      <c r="F611" s="7"/>
    </row>
    <row r="612" ht="15.75" customHeight="1">
      <c r="F612" s="7"/>
    </row>
    <row r="613" ht="15.75" customHeight="1">
      <c r="F613" s="7"/>
    </row>
    <row r="614" ht="15.75" customHeight="1">
      <c r="F614" s="7"/>
    </row>
    <row r="615" ht="15.75" customHeight="1">
      <c r="F615" s="7"/>
    </row>
    <row r="616" ht="15.75" customHeight="1">
      <c r="F616" s="7"/>
    </row>
    <row r="617" ht="15.75" customHeight="1">
      <c r="F617" s="7"/>
    </row>
    <row r="618" ht="15.75" customHeight="1">
      <c r="F618" s="7"/>
    </row>
    <row r="619" ht="15.75" customHeight="1">
      <c r="F619" s="7"/>
    </row>
    <row r="620" ht="15.75" customHeight="1">
      <c r="F620" s="7"/>
    </row>
    <row r="621" ht="15.75" customHeight="1">
      <c r="F621" s="7"/>
    </row>
    <row r="622" ht="15.75" customHeight="1">
      <c r="F622" s="7"/>
    </row>
    <row r="623" ht="15.75" customHeight="1">
      <c r="F623" s="7"/>
    </row>
    <row r="624" ht="15.75" customHeight="1">
      <c r="F624" s="7"/>
    </row>
    <row r="625" ht="15.75" customHeight="1">
      <c r="F625" s="7"/>
    </row>
    <row r="626" ht="15.75" customHeight="1">
      <c r="F626" s="7"/>
    </row>
    <row r="627" ht="15.75" customHeight="1">
      <c r="F627" s="7"/>
    </row>
    <row r="628" ht="15.75" customHeight="1">
      <c r="F628" s="7"/>
    </row>
    <row r="629" ht="15.75" customHeight="1">
      <c r="F629" s="7"/>
    </row>
    <row r="630" ht="15.75" customHeight="1">
      <c r="F630" s="7"/>
    </row>
    <row r="631" ht="15.75" customHeight="1">
      <c r="F631" s="7"/>
    </row>
    <row r="632" ht="15.75" customHeight="1">
      <c r="F632" s="7"/>
    </row>
    <row r="633" ht="15.75" customHeight="1">
      <c r="F633" s="7"/>
    </row>
    <row r="634" ht="15.75" customHeight="1">
      <c r="F634" s="7"/>
    </row>
    <row r="635" ht="15.75" customHeight="1">
      <c r="F635" s="7"/>
    </row>
    <row r="636" ht="15.75" customHeight="1">
      <c r="F636" s="7"/>
    </row>
    <row r="637" ht="15.75" customHeight="1">
      <c r="F637" s="7"/>
    </row>
    <row r="638" ht="15.75" customHeight="1">
      <c r="F638" s="7"/>
    </row>
    <row r="639" ht="15.75" customHeight="1">
      <c r="F639" s="7"/>
    </row>
    <row r="640" ht="15.75" customHeight="1">
      <c r="F640" s="7"/>
    </row>
    <row r="641" ht="15.75" customHeight="1">
      <c r="F641" s="7"/>
    </row>
    <row r="642" ht="15.75" customHeight="1">
      <c r="F642" s="7"/>
    </row>
    <row r="643" ht="15.75" customHeight="1">
      <c r="F643" s="7"/>
    </row>
    <row r="644" ht="15.75" customHeight="1">
      <c r="F644" s="7"/>
    </row>
    <row r="645" ht="15.75" customHeight="1">
      <c r="F645" s="7"/>
    </row>
    <row r="646" ht="15.75" customHeight="1">
      <c r="F646" s="7"/>
    </row>
    <row r="647" ht="15.75" customHeight="1">
      <c r="F647" s="7"/>
    </row>
    <row r="648" ht="15.75" customHeight="1">
      <c r="F648" s="7"/>
    </row>
    <row r="649" ht="15.75" customHeight="1">
      <c r="F649" s="7"/>
    </row>
    <row r="650" ht="15.75" customHeight="1">
      <c r="F650" s="7"/>
    </row>
    <row r="651" ht="15.75" customHeight="1">
      <c r="F651" s="7"/>
    </row>
    <row r="652" ht="15.75" customHeight="1">
      <c r="F652" s="7"/>
    </row>
    <row r="653" ht="15.75" customHeight="1">
      <c r="F653" s="7"/>
    </row>
    <row r="654" ht="15.75" customHeight="1">
      <c r="F654" s="7"/>
    </row>
    <row r="655" ht="15.75" customHeight="1">
      <c r="F655" s="7"/>
    </row>
    <row r="656" ht="15.75" customHeight="1">
      <c r="F656" s="7"/>
    </row>
    <row r="657" ht="15.75" customHeight="1">
      <c r="F657" s="7"/>
    </row>
    <row r="658" ht="15.75" customHeight="1">
      <c r="F658" s="7"/>
    </row>
    <row r="659" ht="15.75" customHeight="1">
      <c r="F659" s="7"/>
    </row>
    <row r="660" ht="15.75" customHeight="1">
      <c r="F660" s="7"/>
    </row>
    <row r="661" ht="15.75" customHeight="1">
      <c r="F661" s="7"/>
    </row>
    <row r="662" ht="15.75" customHeight="1">
      <c r="F662" s="7"/>
    </row>
    <row r="663" ht="15.75" customHeight="1">
      <c r="F663" s="7"/>
    </row>
    <row r="664" ht="15.75" customHeight="1">
      <c r="F664" s="7"/>
    </row>
    <row r="665" ht="15.75" customHeight="1">
      <c r="F665" s="7"/>
    </row>
    <row r="666" ht="15.75" customHeight="1">
      <c r="F666" s="7"/>
    </row>
    <row r="667" ht="15.75" customHeight="1">
      <c r="F667" s="7"/>
    </row>
    <row r="668" ht="15.75" customHeight="1">
      <c r="F668" s="7"/>
    </row>
    <row r="669" ht="15.75" customHeight="1">
      <c r="F669" s="7"/>
    </row>
    <row r="670" ht="15.75" customHeight="1">
      <c r="F670" s="7"/>
    </row>
    <row r="671" ht="15.75" customHeight="1">
      <c r="F671" s="7"/>
    </row>
    <row r="672" ht="15.75" customHeight="1">
      <c r="F672" s="7"/>
    </row>
    <row r="673" ht="15.75" customHeight="1">
      <c r="F673" s="7"/>
    </row>
    <row r="674" ht="15.75" customHeight="1">
      <c r="F674" s="7"/>
    </row>
    <row r="675" ht="15.75" customHeight="1">
      <c r="F675" s="7"/>
    </row>
    <row r="676" ht="15.75" customHeight="1">
      <c r="F676" s="7"/>
    </row>
    <row r="677" ht="15.75" customHeight="1">
      <c r="F677" s="7"/>
    </row>
    <row r="678" ht="15.75" customHeight="1">
      <c r="F678" s="7"/>
    </row>
    <row r="679" ht="15.75" customHeight="1">
      <c r="F679" s="7"/>
    </row>
    <row r="680" ht="15.75" customHeight="1">
      <c r="F680" s="7"/>
    </row>
    <row r="681" ht="15.75" customHeight="1">
      <c r="F681" s="7"/>
    </row>
    <row r="682" ht="15.75" customHeight="1">
      <c r="F682" s="7"/>
    </row>
    <row r="683" ht="15.75" customHeight="1">
      <c r="F683" s="7"/>
    </row>
    <row r="684" ht="15.75" customHeight="1">
      <c r="F684" s="7"/>
    </row>
    <row r="685" ht="15.75" customHeight="1">
      <c r="F685" s="7"/>
    </row>
    <row r="686" ht="15.75" customHeight="1">
      <c r="F686" s="7"/>
    </row>
    <row r="687" ht="15.75" customHeight="1">
      <c r="F687" s="7"/>
    </row>
    <row r="688" ht="15.75" customHeight="1">
      <c r="F688" s="7"/>
    </row>
    <row r="689" ht="15.75" customHeight="1">
      <c r="F689" s="7"/>
    </row>
    <row r="690" ht="15.75" customHeight="1">
      <c r="F690" s="7"/>
    </row>
    <row r="691" ht="15.75" customHeight="1">
      <c r="F691" s="7"/>
    </row>
    <row r="692" ht="15.75" customHeight="1">
      <c r="F692" s="7"/>
    </row>
    <row r="693" ht="15.75" customHeight="1">
      <c r="F693" s="7"/>
    </row>
    <row r="694" ht="15.75" customHeight="1">
      <c r="F694" s="7"/>
    </row>
    <row r="695" ht="15.75" customHeight="1">
      <c r="F695" s="7"/>
    </row>
    <row r="696" ht="15.75" customHeight="1">
      <c r="F696" s="7"/>
    </row>
    <row r="697" ht="15.75" customHeight="1">
      <c r="F697" s="7"/>
    </row>
    <row r="698" ht="15.75" customHeight="1">
      <c r="F698" s="7"/>
    </row>
    <row r="699" ht="15.75" customHeight="1">
      <c r="F699" s="7"/>
    </row>
    <row r="700" ht="15.75" customHeight="1">
      <c r="F700" s="7"/>
    </row>
    <row r="701" ht="15.75" customHeight="1">
      <c r="F701" s="7"/>
    </row>
    <row r="702" ht="15.75" customHeight="1">
      <c r="F702" s="7"/>
    </row>
    <row r="703" ht="15.75" customHeight="1">
      <c r="F703" s="7"/>
    </row>
    <row r="704" ht="15.75" customHeight="1">
      <c r="F704" s="7"/>
    </row>
    <row r="705" ht="15.75" customHeight="1">
      <c r="F705" s="7"/>
    </row>
    <row r="706" ht="15.75" customHeight="1">
      <c r="F706" s="7"/>
    </row>
    <row r="707" ht="15.75" customHeight="1">
      <c r="F707" s="7"/>
    </row>
    <row r="708" ht="15.75" customHeight="1">
      <c r="F708" s="7"/>
    </row>
    <row r="709" ht="15.75" customHeight="1">
      <c r="F709" s="7"/>
    </row>
    <row r="710" ht="15.75" customHeight="1">
      <c r="F710" s="7"/>
    </row>
    <row r="711" ht="15.75" customHeight="1">
      <c r="F711" s="7"/>
    </row>
    <row r="712" ht="15.75" customHeight="1">
      <c r="F712" s="7"/>
    </row>
    <row r="713" ht="15.75" customHeight="1">
      <c r="F713" s="7"/>
    </row>
    <row r="714" ht="15.75" customHeight="1">
      <c r="F714" s="7"/>
    </row>
    <row r="715" ht="15.75" customHeight="1">
      <c r="F715" s="7"/>
    </row>
    <row r="716" ht="15.75" customHeight="1">
      <c r="F716" s="7"/>
    </row>
    <row r="717" ht="15.75" customHeight="1">
      <c r="F717" s="7"/>
    </row>
    <row r="718" ht="15.75" customHeight="1">
      <c r="F718" s="7"/>
    </row>
    <row r="719" ht="15.75" customHeight="1">
      <c r="F719" s="7"/>
    </row>
    <row r="720" ht="15.75" customHeight="1">
      <c r="F720" s="7"/>
    </row>
    <row r="721" ht="15.75" customHeight="1">
      <c r="F721" s="7"/>
    </row>
    <row r="722" ht="15.75" customHeight="1">
      <c r="F722" s="7"/>
    </row>
    <row r="723" ht="15.75" customHeight="1">
      <c r="F723" s="7"/>
    </row>
    <row r="724" ht="15.75" customHeight="1">
      <c r="F724" s="7"/>
    </row>
    <row r="725" ht="15.75" customHeight="1">
      <c r="F725" s="7"/>
    </row>
    <row r="726" ht="15.75" customHeight="1">
      <c r="F726" s="7"/>
    </row>
    <row r="727" ht="15.75" customHeight="1">
      <c r="F727" s="7"/>
    </row>
    <row r="728" ht="15.75" customHeight="1">
      <c r="F728" s="7"/>
    </row>
    <row r="729" ht="15.75" customHeight="1">
      <c r="F729" s="7"/>
    </row>
    <row r="730" ht="15.75" customHeight="1">
      <c r="F730" s="7"/>
    </row>
    <row r="731" ht="15.75" customHeight="1">
      <c r="F731" s="7"/>
    </row>
    <row r="732" ht="15.75" customHeight="1">
      <c r="F732" s="7"/>
    </row>
    <row r="733" ht="15.75" customHeight="1">
      <c r="F733" s="7"/>
    </row>
    <row r="734" ht="15.75" customHeight="1">
      <c r="F734" s="7"/>
    </row>
    <row r="735" ht="15.75" customHeight="1">
      <c r="F735" s="7"/>
    </row>
    <row r="736" ht="15.75" customHeight="1">
      <c r="F736" s="7"/>
    </row>
    <row r="737" ht="15.75" customHeight="1">
      <c r="F737" s="7"/>
    </row>
    <row r="738" ht="15.75" customHeight="1">
      <c r="F738" s="7"/>
    </row>
    <row r="739" ht="15.75" customHeight="1">
      <c r="F739" s="7"/>
    </row>
    <row r="740" ht="15.75" customHeight="1">
      <c r="F740" s="7"/>
    </row>
    <row r="741" ht="15.75" customHeight="1">
      <c r="F741" s="7"/>
    </row>
    <row r="742" ht="15.75" customHeight="1">
      <c r="F742" s="7"/>
    </row>
    <row r="743" ht="15.75" customHeight="1">
      <c r="F743" s="7"/>
    </row>
    <row r="744" ht="15.75" customHeight="1">
      <c r="F744" s="7"/>
    </row>
    <row r="745" ht="15.75" customHeight="1">
      <c r="F745" s="7"/>
    </row>
    <row r="746" ht="15.75" customHeight="1">
      <c r="F746" s="7"/>
    </row>
    <row r="747" ht="15.75" customHeight="1">
      <c r="F747" s="7"/>
    </row>
    <row r="748" ht="15.75" customHeight="1">
      <c r="F748" s="7"/>
    </row>
    <row r="749" ht="15.75" customHeight="1">
      <c r="F749" s="7"/>
    </row>
    <row r="750" ht="15.75" customHeight="1">
      <c r="F750" s="7"/>
    </row>
    <row r="751" ht="15.75" customHeight="1">
      <c r="F751" s="7"/>
    </row>
    <row r="752" ht="15.75" customHeight="1">
      <c r="F752" s="7"/>
    </row>
    <row r="753" ht="15.75" customHeight="1">
      <c r="F753" s="7"/>
    </row>
    <row r="754" ht="15.75" customHeight="1">
      <c r="F754" s="7"/>
    </row>
    <row r="755" ht="15.75" customHeight="1">
      <c r="F755" s="7"/>
    </row>
    <row r="756" ht="15.75" customHeight="1">
      <c r="F756" s="7"/>
    </row>
    <row r="757" ht="15.75" customHeight="1">
      <c r="F757" s="7"/>
    </row>
    <row r="758" ht="15.75" customHeight="1">
      <c r="F758" s="7"/>
    </row>
    <row r="759" ht="15.75" customHeight="1">
      <c r="F759" s="7"/>
    </row>
    <row r="760" ht="15.75" customHeight="1">
      <c r="F760" s="7"/>
    </row>
    <row r="761" ht="15.75" customHeight="1">
      <c r="F761" s="7"/>
    </row>
    <row r="762" ht="15.75" customHeight="1">
      <c r="F762" s="7"/>
    </row>
    <row r="763" ht="15.75" customHeight="1">
      <c r="F763" s="7"/>
    </row>
    <row r="764" ht="15.75" customHeight="1">
      <c r="F764" s="7"/>
    </row>
    <row r="765" ht="15.75" customHeight="1">
      <c r="F765" s="7"/>
    </row>
    <row r="766" ht="15.75" customHeight="1">
      <c r="F766" s="7"/>
    </row>
    <row r="767" ht="15.75" customHeight="1">
      <c r="F767" s="7"/>
    </row>
    <row r="768" ht="15.75" customHeight="1">
      <c r="F768" s="7"/>
    </row>
    <row r="769" ht="15.75" customHeight="1">
      <c r="F769" s="7"/>
    </row>
    <row r="770" ht="15.75" customHeight="1">
      <c r="F770" s="7"/>
    </row>
    <row r="771" ht="15.75" customHeight="1">
      <c r="F771" s="7"/>
    </row>
    <row r="772" ht="15.75" customHeight="1">
      <c r="F772" s="7"/>
    </row>
    <row r="773" ht="15.75" customHeight="1">
      <c r="F773" s="7"/>
    </row>
    <row r="774" ht="15.75" customHeight="1">
      <c r="F774" s="7"/>
    </row>
    <row r="775" ht="15.75" customHeight="1">
      <c r="F775" s="7"/>
    </row>
    <row r="776" ht="15.75" customHeight="1">
      <c r="F776" s="7"/>
    </row>
    <row r="777" ht="15.75" customHeight="1">
      <c r="F777" s="7"/>
    </row>
    <row r="778" ht="15.75" customHeight="1">
      <c r="F778" s="7"/>
    </row>
    <row r="779" ht="15.75" customHeight="1">
      <c r="F779" s="7"/>
    </row>
    <row r="780" ht="15.75" customHeight="1">
      <c r="F780" s="7"/>
    </row>
    <row r="781" ht="15.75" customHeight="1">
      <c r="F781" s="7"/>
    </row>
    <row r="782" ht="15.75" customHeight="1">
      <c r="F782" s="7"/>
    </row>
    <row r="783" ht="15.75" customHeight="1">
      <c r="F783" s="7"/>
    </row>
    <row r="784" ht="15.75" customHeight="1">
      <c r="F784" s="7"/>
    </row>
    <row r="785" ht="15.75" customHeight="1">
      <c r="F785" s="7"/>
    </row>
    <row r="786" ht="15.75" customHeight="1">
      <c r="F786" s="7"/>
    </row>
    <row r="787" ht="15.75" customHeight="1">
      <c r="F787" s="7"/>
    </row>
    <row r="788" ht="15.75" customHeight="1">
      <c r="F788" s="7"/>
    </row>
    <row r="789" ht="15.75" customHeight="1">
      <c r="F789" s="7"/>
    </row>
    <row r="790" ht="15.75" customHeight="1">
      <c r="F790" s="7"/>
    </row>
    <row r="791" ht="15.75" customHeight="1">
      <c r="F791" s="7"/>
    </row>
    <row r="792" ht="15.75" customHeight="1">
      <c r="F792" s="7"/>
    </row>
    <row r="793" ht="15.75" customHeight="1">
      <c r="F793" s="7"/>
    </row>
    <row r="794" ht="15.75" customHeight="1">
      <c r="F794" s="7"/>
    </row>
    <row r="795" ht="15.75" customHeight="1">
      <c r="F795" s="7"/>
    </row>
    <row r="796" ht="15.75" customHeight="1">
      <c r="F796" s="7"/>
    </row>
    <row r="797" ht="15.75" customHeight="1">
      <c r="F797" s="7"/>
    </row>
    <row r="798" ht="15.75" customHeight="1">
      <c r="F798" s="7"/>
    </row>
    <row r="799" ht="15.75" customHeight="1">
      <c r="F799" s="7"/>
    </row>
    <row r="800" ht="15.75" customHeight="1">
      <c r="F800" s="7"/>
    </row>
    <row r="801" ht="15.75" customHeight="1">
      <c r="F801" s="7"/>
    </row>
    <row r="802" ht="15.75" customHeight="1">
      <c r="F802" s="7"/>
    </row>
    <row r="803" ht="15.75" customHeight="1">
      <c r="F803" s="7"/>
    </row>
    <row r="804" ht="15.75" customHeight="1">
      <c r="F804" s="7"/>
    </row>
    <row r="805" ht="15.75" customHeight="1">
      <c r="F805" s="7"/>
    </row>
    <row r="806" ht="15.75" customHeight="1">
      <c r="F806" s="7"/>
    </row>
    <row r="807" ht="15.75" customHeight="1">
      <c r="F807" s="7"/>
    </row>
    <row r="808" ht="15.75" customHeight="1">
      <c r="F808" s="7"/>
    </row>
    <row r="809" ht="15.75" customHeight="1">
      <c r="F809" s="7"/>
    </row>
    <row r="810" ht="15.75" customHeight="1">
      <c r="F810" s="7"/>
    </row>
    <row r="811" ht="15.75" customHeight="1">
      <c r="F811" s="7"/>
    </row>
    <row r="812" ht="15.75" customHeight="1">
      <c r="F812" s="7"/>
    </row>
    <row r="813" ht="15.75" customHeight="1">
      <c r="F813" s="7"/>
    </row>
    <row r="814" ht="15.75" customHeight="1">
      <c r="F814" s="7"/>
    </row>
    <row r="815" ht="15.75" customHeight="1">
      <c r="F815" s="7"/>
    </row>
    <row r="816" ht="15.75" customHeight="1">
      <c r="F816" s="7"/>
    </row>
    <row r="817" ht="15.75" customHeight="1">
      <c r="F817" s="7"/>
    </row>
    <row r="818" ht="15.75" customHeight="1">
      <c r="F818" s="7"/>
    </row>
    <row r="819" ht="15.75" customHeight="1">
      <c r="F819" s="7"/>
    </row>
    <row r="820" ht="15.75" customHeight="1">
      <c r="F820" s="7"/>
    </row>
    <row r="821" ht="15.75" customHeight="1">
      <c r="F821" s="7"/>
    </row>
    <row r="822" ht="15.75" customHeight="1">
      <c r="F822" s="7"/>
    </row>
    <row r="823" ht="15.75" customHeight="1">
      <c r="F823" s="7"/>
    </row>
    <row r="824" ht="15.75" customHeight="1">
      <c r="F824" s="7"/>
    </row>
    <row r="825" ht="15.75" customHeight="1">
      <c r="F825" s="7"/>
    </row>
    <row r="826" ht="15.75" customHeight="1">
      <c r="F826" s="7"/>
    </row>
    <row r="827" ht="15.75" customHeight="1">
      <c r="F827" s="7"/>
    </row>
    <row r="828" ht="15.75" customHeight="1">
      <c r="F828" s="7"/>
    </row>
    <row r="829" ht="15.75" customHeight="1">
      <c r="F829" s="7"/>
    </row>
    <row r="830" ht="15.75" customHeight="1">
      <c r="F830" s="7"/>
    </row>
    <row r="831" ht="15.75" customHeight="1">
      <c r="F831" s="7"/>
    </row>
    <row r="832" ht="15.75" customHeight="1">
      <c r="F832" s="7"/>
    </row>
    <row r="833" ht="15.75" customHeight="1">
      <c r="F833" s="7"/>
    </row>
    <row r="834" ht="15.75" customHeight="1">
      <c r="F834" s="7"/>
    </row>
    <row r="835" ht="15.75" customHeight="1">
      <c r="F835" s="7"/>
    </row>
    <row r="836" ht="15.75" customHeight="1">
      <c r="F836" s="7"/>
    </row>
    <row r="837" ht="15.75" customHeight="1">
      <c r="F837" s="7"/>
    </row>
    <row r="838" ht="15.75" customHeight="1">
      <c r="F838" s="7"/>
    </row>
    <row r="839" ht="15.75" customHeight="1">
      <c r="F839" s="7"/>
    </row>
    <row r="840" ht="15.75" customHeight="1">
      <c r="F840" s="7"/>
    </row>
    <row r="841" ht="15.75" customHeight="1">
      <c r="F841" s="7"/>
    </row>
    <row r="842" ht="15.75" customHeight="1">
      <c r="F842" s="7"/>
    </row>
    <row r="843" ht="15.75" customHeight="1">
      <c r="F843" s="7"/>
    </row>
    <row r="844" ht="15.75" customHeight="1">
      <c r="F844" s="7"/>
    </row>
    <row r="845" ht="15.75" customHeight="1">
      <c r="F845" s="7"/>
    </row>
    <row r="846" ht="15.75" customHeight="1">
      <c r="F846" s="7"/>
    </row>
    <row r="847" ht="15.75" customHeight="1">
      <c r="F847" s="7"/>
    </row>
    <row r="848" ht="15.75" customHeight="1">
      <c r="F848" s="7"/>
    </row>
    <row r="849" ht="15.75" customHeight="1">
      <c r="F849" s="7"/>
    </row>
    <row r="850" ht="15.75" customHeight="1">
      <c r="F850" s="7"/>
    </row>
    <row r="851" ht="15.75" customHeight="1">
      <c r="F851" s="7"/>
    </row>
    <row r="852" ht="15.75" customHeight="1">
      <c r="F852" s="7"/>
    </row>
    <row r="853" ht="15.75" customHeight="1">
      <c r="F853" s="7"/>
    </row>
    <row r="854" ht="15.75" customHeight="1">
      <c r="F854" s="7"/>
    </row>
    <row r="855" ht="15.75" customHeight="1">
      <c r="F855" s="7"/>
    </row>
    <row r="856" ht="15.75" customHeight="1">
      <c r="F856" s="7"/>
    </row>
    <row r="857" ht="15.75" customHeight="1">
      <c r="F857" s="7"/>
    </row>
    <row r="858" ht="15.75" customHeight="1">
      <c r="F858" s="7"/>
    </row>
    <row r="859" ht="15.75" customHeight="1">
      <c r="F859" s="7"/>
    </row>
    <row r="860" ht="15.75" customHeight="1">
      <c r="F860" s="7"/>
    </row>
    <row r="861" ht="15.75" customHeight="1">
      <c r="F861" s="7"/>
    </row>
    <row r="862" ht="15.75" customHeight="1">
      <c r="F862" s="7"/>
    </row>
    <row r="863" ht="15.75" customHeight="1">
      <c r="F863" s="7"/>
    </row>
    <row r="864" ht="15.75" customHeight="1">
      <c r="F864" s="7"/>
    </row>
    <row r="865" ht="15.75" customHeight="1">
      <c r="F865" s="7"/>
    </row>
    <row r="866" ht="15.75" customHeight="1">
      <c r="F866" s="7"/>
    </row>
    <row r="867" ht="15.75" customHeight="1">
      <c r="F867" s="7"/>
    </row>
    <row r="868" ht="15.75" customHeight="1">
      <c r="F868" s="7"/>
    </row>
    <row r="869" ht="15.75" customHeight="1">
      <c r="F869" s="7"/>
    </row>
    <row r="870" ht="15.75" customHeight="1">
      <c r="F870" s="7"/>
    </row>
    <row r="871" ht="15.75" customHeight="1">
      <c r="F871" s="7"/>
    </row>
    <row r="872" ht="15.75" customHeight="1">
      <c r="F872" s="7"/>
    </row>
    <row r="873" ht="15.75" customHeight="1">
      <c r="F873" s="7"/>
    </row>
    <row r="874" ht="15.75" customHeight="1">
      <c r="F874" s="7"/>
    </row>
    <row r="875" ht="15.75" customHeight="1">
      <c r="F875" s="7"/>
    </row>
    <row r="876" ht="15.75" customHeight="1">
      <c r="F876" s="7"/>
    </row>
    <row r="877" ht="15.75" customHeight="1">
      <c r="F877" s="7"/>
    </row>
    <row r="878" ht="15.75" customHeight="1">
      <c r="F878" s="7"/>
    </row>
    <row r="879" ht="15.75" customHeight="1">
      <c r="F879" s="7"/>
    </row>
    <row r="880" ht="15.75" customHeight="1">
      <c r="F880" s="7"/>
    </row>
    <row r="881" ht="15.75" customHeight="1">
      <c r="F881" s="7"/>
    </row>
    <row r="882" ht="15.75" customHeight="1">
      <c r="F882" s="7"/>
    </row>
    <row r="883" ht="15.75" customHeight="1">
      <c r="F883" s="7"/>
    </row>
    <row r="884" ht="15.75" customHeight="1">
      <c r="F884" s="7"/>
    </row>
    <row r="885" ht="15.75" customHeight="1">
      <c r="F885" s="7"/>
    </row>
    <row r="886" ht="15.75" customHeight="1">
      <c r="F886" s="7"/>
    </row>
    <row r="887" ht="15.75" customHeight="1">
      <c r="F887" s="7"/>
    </row>
    <row r="888" ht="15.75" customHeight="1">
      <c r="F888" s="7"/>
    </row>
    <row r="889" ht="15.75" customHeight="1">
      <c r="F889" s="7"/>
    </row>
    <row r="890" ht="15.75" customHeight="1">
      <c r="F890" s="7"/>
    </row>
    <row r="891" ht="15.75" customHeight="1">
      <c r="F891" s="7"/>
    </row>
    <row r="892" ht="15.75" customHeight="1">
      <c r="F892" s="7"/>
    </row>
    <row r="893" ht="15.75" customHeight="1">
      <c r="F893" s="7"/>
    </row>
    <row r="894" ht="15.75" customHeight="1">
      <c r="F894" s="7"/>
    </row>
    <row r="895" ht="15.75" customHeight="1">
      <c r="F895" s="7"/>
    </row>
    <row r="896" ht="15.75" customHeight="1">
      <c r="F896" s="7"/>
    </row>
    <row r="897" ht="15.75" customHeight="1">
      <c r="F897" s="7"/>
    </row>
    <row r="898" ht="15.75" customHeight="1">
      <c r="F898" s="7"/>
    </row>
    <row r="899" ht="15.75" customHeight="1">
      <c r="F899" s="7"/>
    </row>
    <row r="900" ht="15.75" customHeight="1">
      <c r="F900" s="7"/>
    </row>
    <row r="901" ht="15.75" customHeight="1">
      <c r="F901" s="7"/>
    </row>
    <row r="902" ht="15.75" customHeight="1">
      <c r="F902" s="7"/>
    </row>
    <row r="903" ht="15.75" customHeight="1">
      <c r="F903" s="7"/>
    </row>
    <row r="904" ht="15.75" customHeight="1">
      <c r="F904" s="7"/>
    </row>
    <row r="905" ht="15.75" customHeight="1">
      <c r="F905" s="7"/>
    </row>
    <row r="906" ht="15.75" customHeight="1">
      <c r="F906" s="7"/>
    </row>
    <row r="907" ht="15.75" customHeight="1">
      <c r="F907" s="7"/>
    </row>
    <row r="908" ht="15.75" customHeight="1">
      <c r="F908" s="7"/>
    </row>
    <row r="909" ht="15.75" customHeight="1">
      <c r="F909" s="7"/>
    </row>
    <row r="910" ht="15.75" customHeight="1">
      <c r="F910" s="7"/>
    </row>
    <row r="911" ht="15.75" customHeight="1">
      <c r="F911" s="7"/>
    </row>
    <row r="912" ht="15.75" customHeight="1">
      <c r="F912" s="7"/>
    </row>
    <row r="913" ht="15.75" customHeight="1">
      <c r="F913" s="7"/>
    </row>
    <row r="914" ht="15.75" customHeight="1">
      <c r="F914" s="7"/>
    </row>
    <row r="915" ht="15.75" customHeight="1">
      <c r="F915" s="7"/>
    </row>
    <row r="916" ht="15.75" customHeight="1">
      <c r="F916" s="7"/>
    </row>
    <row r="917" ht="15.75" customHeight="1">
      <c r="F917" s="7"/>
    </row>
    <row r="918" ht="15.75" customHeight="1">
      <c r="F918" s="7"/>
    </row>
    <row r="919" ht="15.75" customHeight="1">
      <c r="F919" s="7"/>
    </row>
    <row r="920" ht="15.75" customHeight="1">
      <c r="F920" s="7"/>
    </row>
    <row r="921" ht="15.75" customHeight="1">
      <c r="F921" s="7"/>
    </row>
    <row r="922" ht="15.75" customHeight="1">
      <c r="F922" s="7"/>
    </row>
    <row r="923" ht="15.75" customHeight="1">
      <c r="F923" s="7"/>
    </row>
    <row r="924" ht="15.75" customHeight="1">
      <c r="F924" s="7"/>
    </row>
    <row r="925" ht="15.75" customHeight="1">
      <c r="F925" s="7"/>
    </row>
    <row r="926" ht="15.75" customHeight="1">
      <c r="F926" s="7"/>
    </row>
    <row r="927" ht="15.75" customHeight="1">
      <c r="F927" s="7"/>
    </row>
    <row r="928" ht="15.75" customHeight="1">
      <c r="F928" s="7"/>
    </row>
    <row r="929" ht="15.75" customHeight="1">
      <c r="F929" s="7"/>
    </row>
    <row r="930" ht="15.75" customHeight="1">
      <c r="F930" s="7"/>
    </row>
    <row r="931" ht="15.75" customHeight="1">
      <c r="F931" s="7"/>
    </row>
    <row r="932" ht="15.75" customHeight="1">
      <c r="F932" s="7"/>
    </row>
    <row r="933" ht="15.75" customHeight="1">
      <c r="F933" s="7"/>
    </row>
    <row r="934" ht="15.75" customHeight="1">
      <c r="F934" s="7"/>
    </row>
    <row r="935" ht="15.75" customHeight="1">
      <c r="F935" s="7"/>
    </row>
    <row r="936" ht="15.75" customHeight="1">
      <c r="F936" s="7"/>
    </row>
    <row r="937" ht="15.75" customHeight="1">
      <c r="F937" s="7"/>
    </row>
    <row r="938" ht="15.75" customHeight="1">
      <c r="F938" s="7"/>
    </row>
    <row r="939" ht="15.75" customHeight="1">
      <c r="F939" s="7"/>
    </row>
    <row r="940" ht="15.75" customHeight="1">
      <c r="F940" s="7"/>
    </row>
    <row r="941" ht="15.75" customHeight="1">
      <c r="F941" s="7"/>
    </row>
    <row r="942" ht="15.75" customHeight="1">
      <c r="F942" s="7"/>
    </row>
    <row r="943" ht="15.75" customHeight="1">
      <c r="F943" s="7"/>
    </row>
    <row r="944" ht="15.75" customHeight="1">
      <c r="F944" s="7"/>
    </row>
    <row r="945" ht="15.75" customHeight="1">
      <c r="F945" s="7"/>
    </row>
    <row r="946" ht="15.75" customHeight="1">
      <c r="F946" s="7"/>
    </row>
    <row r="947" ht="15.75" customHeight="1">
      <c r="F947" s="7"/>
    </row>
    <row r="948" ht="15.75" customHeight="1">
      <c r="F948" s="7"/>
    </row>
    <row r="949" ht="15.75" customHeight="1">
      <c r="F949" s="7"/>
    </row>
    <row r="950" ht="15.75" customHeight="1">
      <c r="F950" s="7"/>
    </row>
    <row r="951" ht="15.75" customHeight="1">
      <c r="F951" s="7"/>
    </row>
    <row r="952" ht="15.75" customHeight="1">
      <c r="F952" s="7"/>
    </row>
    <row r="953" ht="15.75" customHeight="1">
      <c r="F953" s="7"/>
    </row>
    <row r="954" ht="15.75" customHeight="1">
      <c r="F954" s="7"/>
    </row>
    <row r="955" ht="15.75" customHeight="1">
      <c r="F955" s="7"/>
    </row>
    <row r="956" ht="15.75" customHeight="1">
      <c r="F956" s="7"/>
    </row>
    <row r="957" ht="15.75" customHeight="1">
      <c r="F957" s="7"/>
    </row>
    <row r="958" ht="15.75" customHeight="1">
      <c r="F958" s="7"/>
    </row>
    <row r="959" ht="15.75" customHeight="1">
      <c r="F959" s="7"/>
    </row>
    <row r="960" ht="15.75" customHeight="1">
      <c r="F960" s="7"/>
    </row>
    <row r="961" ht="15.75" customHeight="1">
      <c r="F961" s="7"/>
    </row>
    <row r="962" ht="15.75" customHeight="1">
      <c r="F962" s="7"/>
    </row>
    <row r="963" ht="15.75" customHeight="1">
      <c r="F963" s="7"/>
    </row>
    <row r="964" ht="15.75" customHeight="1">
      <c r="F964" s="7"/>
    </row>
    <row r="965" ht="15.75" customHeight="1">
      <c r="F965" s="7"/>
    </row>
    <row r="966" ht="15.75" customHeight="1">
      <c r="F966" s="7"/>
    </row>
    <row r="967" ht="15.75" customHeight="1">
      <c r="F967" s="7"/>
    </row>
    <row r="968" ht="15.75" customHeight="1">
      <c r="F968" s="7"/>
    </row>
    <row r="969" ht="15.75" customHeight="1">
      <c r="F969" s="7"/>
    </row>
    <row r="970" ht="15.75" customHeight="1">
      <c r="F970" s="7"/>
    </row>
    <row r="971" ht="15.75" customHeight="1">
      <c r="F971" s="7"/>
    </row>
    <row r="972" ht="15.75" customHeight="1">
      <c r="F972" s="7"/>
    </row>
    <row r="973" ht="15.75" customHeight="1">
      <c r="F973" s="7"/>
    </row>
    <row r="974" ht="15.75" customHeight="1">
      <c r="F974" s="7"/>
    </row>
    <row r="975" ht="15.75" customHeight="1">
      <c r="F975" s="7"/>
    </row>
    <row r="976" ht="15.75" customHeight="1">
      <c r="F976" s="7"/>
    </row>
    <row r="977" ht="15.75" customHeight="1">
      <c r="F977" s="7"/>
    </row>
    <row r="978" ht="15.75" customHeight="1">
      <c r="F978" s="7"/>
    </row>
    <row r="979" ht="15.75" customHeight="1">
      <c r="F979" s="7"/>
    </row>
    <row r="980" ht="15.75" customHeight="1">
      <c r="F980" s="7"/>
    </row>
    <row r="981" ht="15.75" customHeight="1">
      <c r="F981" s="7"/>
    </row>
    <row r="982" ht="15.75" customHeight="1">
      <c r="F982" s="7"/>
    </row>
    <row r="983" ht="15.75" customHeight="1">
      <c r="F983" s="7"/>
    </row>
    <row r="984" ht="15.75" customHeight="1">
      <c r="F984" s="7"/>
    </row>
    <row r="985" ht="15.75" customHeight="1">
      <c r="F985" s="7"/>
    </row>
    <row r="986" ht="15.75" customHeight="1">
      <c r="F986" s="7"/>
    </row>
    <row r="987" ht="15.75" customHeight="1">
      <c r="F987" s="7"/>
    </row>
    <row r="988" ht="15.75" customHeight="1">
      <c r="F988" s="7"/>
    </row>
    <row r="989" ht="15.75" customHeight="1">
      <c r="F989" s="7"/>
    </row>
    <row r="990" ht="15.75" customHeight="1">
      <c r="F990" s="7"/>
    </row>
    <row r="991" ht="15.75" customHeight="1">
      <c r="F991" s="7"/>
    </row>
    <row r="992" ht="15.75" customHeight="1">
      <c r="F992" s="7"/>
    </row>
    <row r="993" ht="15.75" customHeight="1">
      <c r="F993" s="7"/>
    </row>
    <row r="994" ht="15.75" customHeight="1">
      <c r="F994" s="7"/>
    </row>
    <row r="995" ht="15.75" customHeight="1">
      <c r="F995" s="7"/>
    </row>
    <row r="996" ht="15.75" customHeight="1">
      <c r="F996" s="7"/>
    </row>
    <row r="997" ht="15.75" customHeight="1">
      <c r="F997" s="7"/>
    </row>
    <row r="998" ht="15.75" customHeight="1">
      <c r="F998" s="7"/>
    </row>
    <row r="999" ht="15.75" customHeight="1">
      <c r="F999" s="7"/>
    </row>
    <row r="1000" ht="15.75" customHeight="1">
      <c r="F1000" s="7"/>
    </row>
    <row r="1001" ht="15.75" customHeight="1">
      <c r="F1001" s="7"/>
    </row>
    <row r="1002" ht="15.75" customHeight="1">
      <c r="F1002" s="7"/>
    </row>
    <row r="1003" ht="15.75" customHeight="1">
      <c r="F1003" s="7"/>
    </row>
    <row r="1004" ht="15.75" customHeight="1">
      <c r="F1004" s="7"/>
    </row>
    <row r="1005" ht="15.75" customHeight="1">
      <c r="F1005" s="7"/>
    </row>
    <row r="1006" ht="15.75" customHeight="1">
      <c r="F1006" s="7"/>
    </row>
    <row r="1007" ht="15.75" customHeight="1">
      <c r="F1007" s="7"/>
    </row>
    <row r="1008" ht="15.75" customHeight="1">
      <c r="F1008" s="7"/>
    </row>
    <row r="1009" ht="15.75" customHeight="1">
      <c r="F1009" s="7"/>
    </row>
    <row r="1010" ht="15.75" customHeight="1">
      <c r="F1010" s="7"/>
    </row>
  </sheetData>
  <mergeCells count="3">
    <mergeCell ref="B1:F1"/>
    <mergeCell ref="A2:F2"/>
    <mergeCell ref="A28:F28"/>
  </mergeCells>
  <conditionalFormatting sqref="B48">
    <cfRule type="notContainsBlanks" dxfId="0" priority="1">
      <formula>LEN(TRIM(B48))&gt;0</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 customWidth="1" min="2" max="2" width="8.86"/>
    <col customWidth="1" min="3" max="3" width="7.29"/>
    <col customWidth="1" min="4" max="4" width="8.0"/>
    <col customWidth="1" min="5" max="5" width="13.43"/>
    <col customWidth="1" min="6" max="6" width="5.86"/>
    <col customWidth="1" min="7" max="7" width="6.71"/>
    <col customWidth="1" min="8" max="8" width="8.57"/>
    <col customWidth="1" min="9" max="9" width="3.14"/>
    <col customWidth="1" min="10" max="10" width="20.71"/>
    <col customWidth="1" min="11" max="11" width="21.29"/>
    <col customWidth="1" min="12" max="12" width="16.71"/>
    <col customWidth="1" min="15" max="15" width="16.43"/>
    <col customWidth="1" min="16" max="16" width="18.29"/>
  </cols>
  <sheetData>
    <row r="2">
      <c r="B2" s="4"/>
      <c r="C2" s="4"/>
      <c r="D2" s="4"/>
      <c r="E2" s="4"/>
      <c r="F2" s="4"/>
      <c r="G2" s="4"/>
      <c r="H2" s="4"/>
      <c r="I2" s="4"/>
      <c r="J2" s="4"/>
      <c r="K2" s="4"/>
      <c r="L2" s="4"/>
      <c r="M2" s="4"/>
      <c r="N2" s="4"/>
      <c r="O2" s="4"/>
      <c r="P2" s="7"/>
    </row>
    <row r="3">
      <c r="A3" s="10" t="s">
        <v>12</v>
      </c>
      <c r="P3" s="7"/>
    </row>
    <row r="4">
      <c r="A4" s="11" t="s">
        <v>13</v>
      </c>
      <c r="B4" s="13">
        <v>1.0</v>
      </c>
      <c r="C4" s="16" t="s">
        <v>15</v>
      </c>
      <c r="D4" s="17"/>
      <c r="E4" s="18"/>
      <c r="P4" s="7"/>
    </row>
    <row r="5">
      <c r="A5" s="11" t="s">
        <v>20</v>
      </c>
      <c r="B5" s="13">
        <v>0.0</v>
      </c>
      <c r="C5" s="20"/>
      <c r="P5" s="7"/>
    </row>
    <row r="6" ht="13.5" customHeight="1">
      <c r="A6" s="11" t="s">
        <v>22</v>
      </c>
      <c r="B6" s="13">
        <v>0.3</v>
      </c>
      <c r="P6" s="7"/>
    </row>
    <row r="7">
      <c r="I7" s="22" t="s">
        <v>24</v>
      </c>
      <c r="J7" s="22" t="s">
        <v>26</v>
      </c>
      <c r="K7" s="22" t="s">
        <v>28</v>
      </c>
      <c r="L7" s="22" t="s">
        <v>29</v>
      </c>
      <c r="M7" s="22" t="s">
        <v>30</v>
      </c>
      <c r="N7" s="22" t="s">
        <v>31</v>
      </c>
      <c r="O7" s="22" t="s">
        <v>32</v>
      </c>
      <c r="P7" s="25" t="s">
        <v>34</v>
      </c>
      <c r="Q7" s="27" t="s">
        <v>40</v>
      </c>
    </row>
    <row r="8">
      <c r="A8" s="28" t="s">
        <v>42</v>
      </c>
      <c r="B8" s="28" t="s">
        <v>17</v>
      </c>
      <c r="C8" s="28" t="s">
        <v>18</v>
      </c>
      <c r="E8" s="28" t="s">
        <v>44</v>
      </c>
      <c r="F8" s="28" t="s">
        <v>17</v>
      </c>
      <c r="G8" s="28" t="s">
        <v>18</v>
      </c>
      <c r="I8" s="13">
        <v>1.0</v>
      </c>
      <c r="J8" s="13" t="s">
        <v>45</v>
      </c>
      <c r="K8" s="13" t="s">
        <v>46</v>
      </c>
      <c r="L8" s="13" t="s">
        <v>47</v>
      </c>
      <c r="M8" s="13" t="s">
        <v>48</v>
      </c>
      <c r="N8" s="13" t="s">
        <v>50</v>
      </c>
      <c r="O8" s="34">
        <f>B4*B9+1.5*B4*F9+1.5*B6*F10</f>
        <v>5.25</v>
      </c>
      <c r="P8" s="37">
        <f>B4*B11+1.5*B4*F9+1.5*B6*B4*F10+1.5*B6*B4*F11</f>
        <v>2.115</v>
      </c>
      <c r="Q8" s="42">
        <f>MAX(P8:P12)</f>
        <v>2.355</v>
      </c>
    </row>
    <row r="9">
      <c r="A9" s="41" t="s">
        <v>68</v>
      </c>
      <c r="B9" s="46">
        <f>B10+B11</f>
        <v>4.29</v>
      </c>
      <c r="E9" s="13" t="s">
        <v>76</v>
      </c>
      <c r="F9" s="13">
        <f>'Precast Design Calculations'!B107</f>
        <v>0.4</v>
      </c>
      <c r="G9" s="13" t="s">
        <v>78</v>
      </c>
      <c r="I9" s="13">
        <v>2.0</v>
      </c>
      <c r="J9" s="13" t="s">
        <v>79</v>
      </c>
      <c r="K9" s="13" t="s">
        <v>46</v>
      </c>
      <c r="L9" s="13" t="s">
        <v>48</v>
      </c>
      <c r="M9" s="13" t="s">
        <v>47</v>
      </c>
      <c r="N9" s="13" t="s">
        <v>50</v>
      </c>
      <c r="O9" s="53">
        <f>B4*B9+1.5*B5*B4*F9+1.5*B4*F10</f>
        <v>5.49</v>
      </c>
      <c r="P9" s="37">
        <f>B4*B11+1.5*B5*B4*F9+1.5*B4*F10+1.5*B6*B4*F11</f>
        <v>2.355</v>
      </c>
      <c r="Q9" s="40"/>
    </row>
    <row r="10">
      <c r="A10" s="41" t="s">
        <v>100</v>
      </c>
      <c r="B10" s="13">
        <f>'Precast Design Calculations'!B102</f>
        <v>3</v>
      </c>
      <c r="C10" s="13" t="s">
        <v>78</v>
      </c>
      <c r="E10" s="13" t="s">
        <v>113</v>
      </c>
      <c r="F10" s="13">
        <f>'Precast Design Calculations'!B109</f>
        <v>0.8</v>
      </c>
      <c r="G10" s="13" t="s">
        <v>78</v>
      </c>
      <c r="I10" s="13">
        <v>3.0</v>
      </c>
      <c r="J10" s="13" t="s">
        <v>117</v>
      </c>
      <c r="K10" s="13" t="s">
        <v>46</v>
      </c>
      <c r="L10" s="13" t="s">
        <v>48</v>
      </c>
      <c r="M10" s="13">
        <v>0.0</v>
      </c>
      <c r="N10" s="13" t="s">
        <v>50</v>
      </c>
      <c r="O10" s="34">
        <f>B4*B9+1.5*B5*B4*F9+1.5*B4*F11</f>
        <v>3.84</v>
      </c>
      <c r="P10" s="37">
        <f>B4*B11+1.5*B5*B4*F9+1.5*B4*F11</f>
        <v>0.84</v>
      </c>
      <c r="Q10" s="40"/>
    </row>
    <row r="11">
      <c r="A11" s="41" t="s">
        <v>141</v>
      </c>
      <c r="B11" s="13">
        <f>'Precast Design Calculations'!B103</f>
        <v>1.29</v>
      </c>
      <c r="C11" s="13" t="s">
        <v>78</v>
      </c>
      <c r="E11" s="13" t="s">
        <v>156</v>
      </c>
      <c r="F11" s="13">
        <f>'Precast Design Calculations'!B110</f>
        <v>-0.3</v>
      </c>
      <c r="G11" s="13" t="s">
        <v>78</v>
      </c>
      <c r="I11" s="13">
        <v>4.0</v>
      </c>
      <c r="J11" s="13" t="s">
        <v>158</v>
      </c>
      <c r="K11" s="13" t="s">
        <v>46</v>
      </c>
      <c r="L11" s="13" t="s">
        <v>47</v>
      </c>
      <c r="M11" s="13" t="s">
        <v>50</v>
      </c>
      <c r="N11" s="13" t="s">
        <v>50</v>
      </c>
      <c r="O11" s="34">
        <f>B4*B9+1.5*B4*F9</f>
        <v>4.89</v>
      </c>
      <c r="P11" s="37">
        <f>B4*B11+1.5*B4*F9</f>
        <v>1.89</v>
      </c>
      <c r="Q11" s="40"/>
    </row>
    <row r="12">
      <c r="I12" s="13">
        <v>5.0</v>
      </c>
      <c r="J12" s="13" t="s">
        <v>180</v>
      </c>
      <c r="K12" s="13" t="s">
        <v>181</v>
      </c>
      <c r="L12" s="13">
        <v>0.0</v>
      </c>
      <c r="M12" s="13">
        <v>0.0</v>
      </c>
      <c r="N12" s="13">
        <v>0.0</v>
      </c>
      <c r="O12" s="34">
        <f>1.2*B9</f>
        <v>5.148</v>
      </c>
      <c r="P12" s="37">
        <f>1.2*B11</f>
        <v>1.548</v>
      </c>
      <c r="Q12" s="49"/>
    </row>
    <row r="13">
      <c r="P13" s="75"/>
    </row>
    <row r="14">
      <c r="D14" s="4"/>
      <c r="E14" s="4"/>
      <c r="F14" s="4"/>
      <c r="G14" s="4"/>
      <c r="H14" s="4"/>
      <c r="I14" s="4"/>
      <c r="J14" s="4"/>
      <c r="K14" s="4"/>
      <c r="L14" s="4"/>
      <c r="M14" s="4"/>
      <c r="N14" s="4"/>
      <c r="O14" s="4"/>
      <c r="P14" s="75"/>
    </row>
    <row r="15">
      <c r="A15" s="76" t="s">
        <v>193</v>
      </c>
      <c r="B15" s="17"/>
      <c r="C15" s="18"/>
      <c r="P15" s="75"/>
    </row>
    <row r="16">
      <c r="A16" s="11" t="s">
        <v>13</v>
      </c>
      <c r="B16" s="13">
        <v>1.0</v>
      </c>
      <c r="C16" s="16" t="s">
        <v>15</v>
      </c>
      <c r="D16" s="17"/>
      <c r="E16" s="18"/>
      <c r="P16" s="75"/>
    </row>
    <row r="17">
      <c r="A17" s="11" t="s">
        <v>202</v>
      </c>
      <c r="B17" s="13">
        <v>0.5</v>
      </c>
      <c r="C17" s="20"/>
      <c r="P17" s="75"/>
    </row>
    <row r="18">
      <c r="A18" s="11" t="s">
        <v>22</v>
      </c>
      <c r="B18" s="13">
        <v>0.3</v>
      </c>
      <c r="P18" s="75"/>
    </row>
    <row r="19">
      <c r="I19" s="22" t="s">
        <v>24</v>
      </c>
      <c r="J19" s="22" t="s">
        <v>26</v>
      </c>
      <c r="K19" s="22" t="s">
        <v>28</v>
      </c>
      <c r="L19" s="22" t="s">
        <v>29</v>
      </c>
      <c r="M19" s="22" t="s">
        <v>30</v>
      </c>
      <c r="N19" s="22" t="s">
        <v>31</v>
      </c>
      <c r="O19" s="22" t="s">
        <v>32</v>
      </c>
      <c r="P19" s="25" t="s">
        <v>209</v>
      </c>
      <c r="Q19" s="27" t="s">
        <v>210</v>
      </c>
    </row>
    <row r="20">
      <c r="A20" s="28" t="s">
        <v>42</v>
      </c>
      <c r="B20" s="28" t="s">
        <v>17</v>
      </c>
      <c r="C20" s="28" t="s">
        <v>18</v>
      </c>
      <c r="E20" s="28" t="s">
        <v>44</v>
      </c>
      <c r="F20" s="28" t="s">
        <v>17</v>
      </c>
      <c r="G20" s="28" t="s">
        <v>18</v>
      </c>
      <c r="I20" s="13">
        <v>1.0</v>
      </c>
      <c r="J20" s="13" t="s">
        <v>45</v>
      </c>
      <c r="K20" s="13" t="s">
        <v>46</v>
      </c>
      <c r="L20" s="13" t="s">
        <v>47</v>
      </c>
      <c r="M20" s="13" t="s">
        <v>48</v>
      </c>
      <c r="N20" s="13" t="s">
        <v>48</v>
      </c>
      <c r="O20" s="53">
        <f>B16*B21+1.5*B16*F21+1.5*B18*B16*F22+1.5*B18*B16*F23</f>
        <v>7.57</v>
      </c>
      <c r="P20" s="54">
        <f>B16*B23+1.5*B16*F21+1.5*B18*B16*F22+1.5*B18*B16*F23</f>
        <v>4.57</v>
      </c>
      <c r="Q20" s="42">
        <f>MAX(P20:P24)</f>
        <v>4.57</v>
      </c>
    </row>
    <row r="21">
      <c r="A21" s="41" t="s">
        <v>68</v>
      </c>
      <c r="B21" s="46">
        <f>B22+B23</f>
        <v>5.32</v>
      </c>
      <c r="C21" s="13" t="s">
        <v>78</v>
      </c>
      <c r="E21" s="13" t="s">
        <v>76</v>
      </c>
      <c r="F21" s="13">
        <f>'Precast Design Calculations'!B122</f>
        <v>1.5</v>
      </c>
      <c r="G21" s="13" t="s">
        <v>78</v>
      </c>
      <c r="I21" s="91">
        <v>2.0</v>
      </c>
      <c r="J21" s="91" t="s">
        <v>79</v>
      </c>
      <c r="K21" s="91" t="s">
        <v>46</v>
      </c>
      <c r="L21" s="91" t="s">
        <v>48</v>
      </c>
      <c r="M21" s="91" t="s">
        <v>47</v>
      </c>
      <c r="N21" s="91" t="s">
        <v>48</v>
      </c>
      <c r="O21" s="92">
        <f>B16*B21+1.5*B17*B16*F21+1.5*B16*F22+1.5*B18*B16*F23</f>
        <v>6.445</v>
      </c>
      <c r="P21" s="37">
        <f>B16*B23+1.5*B17*B16*F21+1.5*B16*F22+1.5*B18*B16*F23</f>
        <v>3.445</v>
      </c>
      <c r="Q21" s="40"/>
    </row>
    <row r="22">
      <c r="A22" s="41" t="s">
        <v>100</v>
      </c>
      <c r="B22" s="13">
        <f>'Precast Design Calculations'!B116</f>
        <v>3</v>
      </c>
      <c r="C22" s="13" t="s">
        <v>78</v>
      </c>
      <c r="E22" s="13" t="s">
        <v>113</v>
      </c>
      <c r="F22" s="13">
        <v>0.0</v>
      </c>
      <c r="G22" s="13" t="s">
        <v>78</v>
      </c>
      <c r="I22" s="91">
        <v>3.0</v>
      </c>
      <c r="J22" s="91" t="s">
        <v>117</v>
      </c>
      <c r="K22" s="91" t="s">
        <v>46</v>
      </c>
      <c r="L22" s="91" t="s">
        <v>48</v>
      </c>
      <c r="M22" s="91">
        <v>0.0</v>
      </c>
      <c r="N22" s="91" t="s">
        <v>47</v>
      </c>
      <c r="O22" s="92">
        <f>B16*B21+1.5*B17*B16*F21+1.5*B16*F23</f>
        <v>6.445</v>
      </c>
      <c r="P22" s="37">
        <f>B16*B23+1.5*B17*B16*F21+1.5*B16*F23</f>
        <v>3.445</v>
      </c>
      <c r="Q22" s="40"/>
    </row>
    <row r="23">
      <c r="A23" s="41" t="s">
        <v>141</v>
      </c>
      <c r="B23" s="13">
        <f>'Precast Design Calculations'!B117</f>
        <v>2.32</v>
      </c>
      <c r="C23" s="13" t="s">
        <v>78</v>
      </c>
      <c r="E23" s="13" t="s">
        <v>156</v>
      </c>
      <c r="F23" s="13">
        <v>0.0</v>
      </c>
      <c r="G23" s="13" t="s">
        <v>78</v>
      </c>
      <c r="I23" s="13">
        <v>4.0</v>
      </c>
      <c r="J23" s="13" t="s">
        <v>158</v>
      </c>
      <c r="K23" s="13" t="s">
        <v>46</v>
      </c>
      <c r="L23" s="13" t="s">
        <v>47</v>
      </c>
      <c r="M23" s="13" t="s">
        <v>50</v>
      </c>
      <c r="N23" s="13" t="s">
        <v>50</v>
      </c>
      <c r="O23" s="34">
        <f>B16*B21+1.5*B16*F21</f>
        <v>7.57</v>
      </c>
      <c r="P23" s="37">
        <f>B16*B23+1.5*B16*F21</f>
        <v>4.57</v>
      </c>
      <c r="Q23" s="40"/>
    </row>
    <row r="24">
      <c r="I24" s="13">
        <v>5.0</v>
      </c>
      <c r="J24" s="13" t="s">
        <v>180</v>
      </c>
      <c r="K24" s="13" t="s">
        <v>181</v>
      </c>
      <c r="L24" s="13">
        <v>0.0</v>
      </c>
      <c r="M24" s="13">
        <v>0.0</v>
      </c>
      <c r="N24" s="13">
        <v>0.0</v>
      </c>
      <c r="O24" s="34">
        <f>1.2*B21</f>
        <v>6.384</v>
      </c>
      <c r="P24" s="37">
        <f>1.2*B23</f>
        <v>2.784</v>
      </c>
      <c r="Q24" s="49"/>
    </row>
    <row r="25">
      <c r="P25" s="75"/>
    </row>
    <row r="26">
      <c r="C26" s="4"/>
      <c r="D26" s="4"/>
      <c r="E26" s="4"/>
      <c r="F26" s="4"/>
      <c r="G26" s="4"/>
      <c r="H26" s="4"/>
      <c r="I26" s="4"/>
      <c r="J26" s="4"/>
      <c r="K26" s="4"/>
      <c r="L26" s="4"/>
      <c r="M26" s="4"/>
      <c r="N26" s="4"/>
      <c r="O26" s="4"/>
      <c r="P26" s="75"/>
    </row>
    <row r="27">
      <c r="A27" s="76" t="s">
        <v>256</v>
      </c>
      <c r="B27" s="18"/>
      <c r="P27" s="75"/>
    </row>
    <row r="28">
      <c r="A28" s="11" t="s">
        <v>13</v>
      </c>
      <c r="B28" s="13">
        <v>1.0</v>
      </c>
      <c r="C28" s="16" t="s">
        <v>15</v>
      </c>
      <c r="D28" s="17"/>
      <c r="E28" s="18"/>
      <c r="P28" s="75"/>
    </row>
    <row r="29">
      <c r="A29" s="11" t="s">
        <v>258</v>
      </c>
      <c r="B29" s="13">
        <v>0.6</v>
      </c>
      <c r="C29" s="20"/>
      <c r="P29" s="75"/>
    </row>
    <row r="30">
      <c r="A30" s="11" t="s">
        <v>22</v>
      </c>
      <c r="B30" s="13">
        <v>0.3</v>
      </c>
      <c r="P30" s="75"/>
    </row>
    <row r="31">
      <c r="I31" s="22" t="s">
        <v>24</v>
      </c>
      <c r="J31" s="22" t="s">
        <v>26</v>
      </c>
      <c r="K31" s="22" t="s">
        <v>28</v>
      </c>
      <c r="L31" s="22" t="s">
        <v>29</v>
      </c>
      <c r="M31" s="22" t="s">
        <v>30</v>
      </c>
      <c r="N31" s="22" t="s">
        <v>31</v>
      </c>
      <c r="O31" s="22" t="s">
        <v>32</v>
      </c>
      <c r="P31" s="25" t="s">
        <v>259</v>
      </c>
      <c r="Q31" s="27" t="s">
        <v>261</v>
      </c>
    </row>
    <row r="32">
      <c r="A32" s="28" t="s">
        <v>42</v>
      </c>
      <c r="B32" s="28" t="s">
        <v>17</v>
      </c>
      <c r="C32" s="28" t="s">
        <v>18</v>
      </c>
      <c r="E32" s="28" t="s">
        <v>44</v>
      </c>
      <c r="F32" s="28" t="s">
        <v>17</v>
      </c>
      <c r="G32" s="28" t="s">
        <v>18</v>
      </c>
      <c r="I32" s="13">
        <v>1.0</v>
      </c>
      <c r="J32" s="13" t="s">
        <v>45</v>
      </c>
      <c r="K32" s="13" t="s">
        <v>46</v>
      </c>
      <c r="L32" s="13" t="s">
        <v>47</v>
      </c>
      <c r="M32" s="13" t="s">
        <v>48</v>
      </c>
      <c r="N32" s="13" t="s">
        <v>48</v>
      </c>
      <c r="O32" s="53">
        <f>B28*B33+1.5*B28*F33+1.5*B30*B28*F34+1.5*B30*B28*F35</f>
        <v>9.81</v>
      </c>
      <c r="P32" s="54">
        <f>B28*B35+1.5*B28*F33+1.5*B30*B28*F34+1.5*B30*B28*F35</f>
        <v>6.57</v>
      </c>
      <c r="Q32" s="42">
        <f>MAX(P32:P36)</f>
        <v>6.57</v>
      </c>
    </row>
    <row r="33">
      <c r="A33" s="41" t="s">
        <v>68</v>
      </c>
      <c r="B33" s="46">
        <f>B34+B35</f>
        <v>4.86</v>
      </c>
      <c r="C33" s="13" t="s">
        <v>78</v>
      </c>
      <c r="E33" s="13" t="s">
        <v>76</v>
      </c>
      <c r="F33" s="13">
        <f>'Precast Design Calculations'!B138</f>
        <v>3.3</v>
      </c>
      <c r="G33" s="13" t="s">
        <v>78</v>
      </c>
      <c r="I33" s="91">
        <v>2.0</v>
      </c>
      <c r="J33" s="91" t="s">
        <v>79</v>
      </c>
      <c r="K33" s="91" t="s">
        <v>46</v>
      </c>
      <c r="L33" s="91" t="s">
        <v>48</v>
      </c>
      <c r="M33" s="91" t="s">
        <v>47</v>
      </c>
      <c r="N33" s="91" t="s">
        <v>48</v>
      </c>
      <c r="O33" s="92">
        <f>B28*B33+1.5*B29*B28*F33+1.5*B28*F34+1.5*B30*B28*F35</f>
        <v>7.83</v>
      </c>
      <c r="P33" s="37">
        <f>B28*B35+1.5*B29*B28*F33+1.5*B28*F34+1.5*B30*B28*F35</f>
        <v>4.59</v>
      </c>
      <c r="Q33" s="40"/>
    </row>
    <row r="34">
      <c r="A34" s="41" t="s">
        <v>100</v>
      </c>
      <c r="B34" s="13">
        <f>'Precast Design Calculations'!B133</f>
        <v>3.24</v>
      </c>
      <c r="C34" s="13" t="s">
        <v>78</v>
      </c>
      <c r="E34" s="13" t="s">
        <v>113</v>
      </c>
      <c r="F34" s="13">
        <v>0.0</v>
      </c>
      <c r="G34" s="13" t="s">
        <v>78</v>
      </c>
      <c r="I34" s="91">
        <v>3.0</v>
      </c>
      <c r="J34" s="91" t="s">
        <v>117</v>
      </c>
      <c r="K34" s="91" t="s">
        <v>46</v>
      </c>
      <c r="L34" s="91" t="s">
        <v>48</v>
      </c>
      <c r="M34" s="91">
        <v>0.0</v>
      </c>
      <c r="N34" s="91" t="s">
        <v>47</v>
      </c>
      <c r="O34" s="92">
        <f>B28*B33+1.5*B29*B28*F33+1.5*B28*F35</f>
        <v>7.83</v>
      </c>
      <c r="P34" s="37">
        <f>B28*B35+1.5*B29*B28*F33+1.5*B28*F35</f>
        <v>4.59</v>
      </c>
      <c r="Q34" s="40"/>
    </row>
    <row r="35">
      <c r="A35" s="41" t="s">
        <v>141</v>
      </c>
      <c r="B35" s="13">
        <f>'Precast Design Calculations'!B134</f>
        <v>1.62</v>
      </c>
      <c r="C35" s="13" t="s">
        <v>78</v>
      </c>
      <c r="E35" s="13" t="s">
        <v>156</v>
      </c>
      <c r="F35" s="13">
        <v>0.0</v>
      </c>
      <c r="G35" s="13" t="s">
        <v>78</v>
      </c>
      <c r="I35" s="13">
        <v>4.0</v>
      </c>
      <c r="J35" s="13" t="s">
        <v>158</v>
      </c>
      <c r="K35" s="13" t="s">
        <v>46</v>
      </c>
      <c r="L35" s="13" t="s">
        <v>47</v>
      </c>
      <c r="M35" s="13" t="s">
        <v>50</v>
      </c>
      <c r="N35" s="13" t="s">
        <v>50</v>
      </c>
      <c r="O35" s="34">
        <f>B28*B33+1.5*B28*F33</f>
        <v>9.81</v>
      </c>
      <c r="P35" s="37">
        <f>B28*B35+1.5*B28*F33</f>
        <v>6.57</v>
      </c>
      <c r="Q35" s="40"/>
    </row>
    <row r="36">
      <c r="B36" s="13"/>
      <c r="I36" s="13">
        <v>5.0</v>
      </c>
      <c r="J36" s="13" t="s">
        <v>180</v>
      </c>
      <c r="K36" s="13" t="s">
        <v>181</v>
      </c>
      <c r="L36" s="13">
        <v>0.0</v>
      </c>
      <c r="M36" s="13">
        <v>0.0</v>
      </c>
      <c r="N36" s="13">
        <v>0.0</v>
      </c>
      <c r="O36" s="34">
        <f>1.2*B33</f>
        <v>5.832</v>
      </c>
      <c r="P36" s="37">
        <f>1.2*B35</f>
        <v>1.944</v>
      </c>
      <c r="Q36" s="49"/>
    </row>
    <row r="37">
      <c r="C37" s="106"/>
      <c r="D37" s="106"/>
      <c r="E37" s="106"/>
      <c r="F37" s="106"/>
      <c r="P37" s="75"/>
    </row>
    <row r="38">
      <c r="C38" s="4"/>
      <c r="D38" s="4"/>
      <c r="E38" s="4"/>
      <c r="F38" s="4"/>
      <c r="G38" s="4"/>
      <c r="H38" s="4"/>
      <c r="I38" s="4"/>
      <c r="J38" s="4"/>
      <c r="K38" s="4"/>
      <c r="L38" s="4"/>
      <c r="M38" s="4"/>
      <c r="N38" s="4"/>
      <c r="O38" s="4"/>
      <c r="P38" s="75"/>
    </row>
    <row r="39">
      <c r="A39" s="76" t="s">
        <v>265</v>
      </c>
      <c r="B39" s="18"/>
      <c r="P39" s="75"/>
    </row>
    <row r="40">
      <c r="A40" s="11" t="s">
        <v>13</v>
      </c>
      <c r="B40" s="13">
        <v>1.0</v>
      </c>
      <c r="C40" s="16" t="s">
        <v>15</v>
      </c>
      <c r="D40" s="17"/>
      <c r="E40" s="18"/>
      <c r="P40" s="75"/>
    </row>
    <row r="41">
      <c r="A41" s="11" t="s">
        <v>266</v>
      </c>
      <c r="B41" s="13">
        <v>0.6</v>
      </c>
      <c r="C41" s="20"/>
      <c r="P41" s="75"/>
    </row>
    <row r="42">
      <c r="A42" s="11" t="s">
        <v>22</v>
      </c>
      <c r="B42" s="13">
        <v>0.3</v>
      </c>
      <c r="P42" s="75"/>
    </row>
    <row r="43">
      <c r="I43" s="22" t="s">
        <v>24</v>
      </c>
      <c r="J43" s="22" t="s">
        <v>26</v>
      </c>
      <c r="K43" s="22" t="s">
        <v>28</v>
      </c>
      <c r="L43" s="22" t="s">
        <v>29</v>
      </c>
      <c r="M43" s="22" t="s">
        <v>30</v>
      </c>
      <c r="N43" s="22" t="s">
        <v>31</v>
      </c>
      <c r="O43" s="22" t="s">
        <v>32</v>
      </c>
      <c r="P43" s="25" t="s">
        <v>267</v>
      </c>
      <c r="Q43" s="27" t="s">
        <v>268</v>
      </c>
    </row>
    <row r="44">
      <c r="A44" s="28" t="s">
        <v>42</v>
      </c>
      <c r="B44" s="28" t="s">
        <v>17</v>
      </c>
      <c r="C44" s="28" t="s">
        <v>18</v>
      </c>
      <c r="E44" s="28" t="s">
        <v>44</v>
      </c>
      <c r="F44" s="28" t="s">
        <v>17</v>
      </c>
      <c r="G44" s="28" t="s">
        <v>18</v>
      </c>
      <c r="I44" s="13">
        <v>1.0</v>
      </c>
      <c r="J44" s="107" t="s">
        <v>45</v>
      </c>
      <c r="K44" s="107" t="s">
        <v>46</v>
      </c>
      <c r="L44" s="107" t="s">
        <v>47</v>
      </c>
      <c r="M44" s="107" t="s">
        <v>48</v>
      </c>
      <c r="N44" s="107" t="s">
        <v>48</v>
      </c>
      <c r="O44" s="108">
        <f>B40*B45+1.5*B40*F45+1.5*B42*B40*F46+1.5*B42*B40*F47</f>
        <v>12.47</v>
      </c>
      <c r="P44" s="54">
        <f>B40*B47+1.5*B40*F45+1.5*B42*B40*F46+1.5*B42*B40*F47</f>
        <v>8.82</v>
      </c>
      <c r="Q44" s="42">
        <f>MAX(P44:P48)</f>
        <v>8.82</v>
      </c>
    </row>
    <row r="45">
      <c r="A45" s="41" t="s">
        <v>68</v>
      </c>
      <c r="B45" s="46">
        <f>B46+B47</f>
        <v>5.27</v>
      </c>
      <c r="C45" s="13" t="s">
        <v>78</v>
      </c>
      <c r="E45" s="13" t="s">
        <v>76</v>
      </c>
      <c r="F45" s="13">
        <f>'Precast Design Calculations'!B152</f>
        <v>4.8</v>
      </c>
      <c r="G45" s="13" t="s">
        <v>78</v>
      </c>
      <c r="I45" s="91">
        <v>2.0</v>
      </c>
      <c r="J45" s="91" t="s">
        <v>79</v>
      </c>
      <c r="K45" s="91" t="s">
        <v>46</v>
      </c>
      <c r="L45" s="91" t="s">
        <v>48</v>
      </c>
      <c r="M45" s="91" t="s">
        <v>47</v>
      </c>
      <c r="N45" s="91" t="s">
        <v>48</v>
      </c>
      <c r="O45" s="92">
        <f>B40*B45+1.5*B41*B40*F45+1.5*B40*F46+1.5*B42*B40*F47</f>
        <v>9.59</v>
      </c>
      <c r="P45" s="37">
        <f>B40*B47+1.5*B41*B40*F45+1.5*B40*F46+1.5*B42*B40*F47</f>
        <v>5.94</v>
      </c>
      <c r="Q45" s="40"/>
    </row>
    <row r="46">
      <c r="A46" s="41" t="s">
        <v>100</v>
      </c>
      <c r="B46" s="13">
        <f>'Precast Design Calculations'!B147</f>
        <v>3.65</v>
      </c>
      <c r="C46" s="13" t="s">
        <v>78</v>
      </c>
      <c r="E46" s="13" t="s">
        <v>113</v>
      </c>
      <c r="F46" s="13">
        <v>0.0</v>
      </c>
      <c r="G46" s="13" t="s">
        <v>78</v>
      </c>
      <c r="I46" s="91">
        <v>3.0</v>
      </c>
      <c r="J46" s="91" t="s">
        <v>117</v>
      </c>
      <c r="K46" s="91" t="s">
        <v>46</v>
      </c>
      <c r="L46" s="91" t="s">
        <v>48</v>
      </c>
      <c r="M46" s="91">
        <v>0.0</v>
      </c>
      <c r="N46" s="91" t="s">
        <v>47</v>
      </c>
      <c r="O46" s="92">
        <f>B40*B45+1.5*B41*B40*F45+1.5*B40*F47</f>
        <v>9.59</v>
      </c>
      <c r="P46" s="37">
        <f>B40*B47+1.5*B41*B40*F45+1.5*B40*F47</f>
        <v>5.94</v>
      </c>
      <c r="Q46" s="40"/>
    </row>
    <row r="47">
      <c r="A47" s="41" t="s">
        <v>141</v>
      </c>
      <c r="B47" s="13">
        <f>'Precast Design Calculations'!B148</f>
        <v>1.62</v>
      </c>
      <c r="C47" s="13" t="s">
        <v>78</v>
      </c>
      <c r="E47" s="13" t="s">
        <v>156</v>
      </c>
      <c r="F47" s="13">
        <v>0.0</v>
      </c>
      <c r="G47" s="13" t="s">
        <v>78</v>
      </c>
      <c r="I47" s="13">
        <v>4.0</v>
      </c>
      <c r="J47" s="13" t="s">
        <v>158</v>
      </c>
      <c r="K47" s="13" t="s">
        <v>46</v>
      </c>
      <c r="L47" s="13" t="s">
        <v>47</v>
      </c>
      <c r="M47" s="13" t="s">
        <v>50</v>
      </c>
      <c r="N47" s="13" t="s">
        <v>50</v>
      </c>
      <c r="O47" s="34">
        <f>B40*B45+1.5*B40*F45</f>
        <v>12.47</v>
      </c>
      <c r="P47" s="37">
        <f>B40*B47+1.5*B40*F45</f>
        <v>8.82</v>
      </c>
      <c r="Q47" s="40"/>
    </row>
    <row r="48">
      <c r="B48" s="13"/>
      <c r="I48" s="13">
        <v>5.0</v>
      </c>
      <c r="J48" s="13" t="s">
        <v>180</v>
      </c>
      <c r="K48" s="13" t="s">
        <v>181</v>
      </c>
      <c r="L48" s="13">
        <v>0.0</v>
      </c>
      <c r="M48" s="13">
        <v>0.0</v>
      </c>
      <c r="N48" s="13">
        <v>0.0</v>
      </c>
      <c r="O48" s="34">
        <f>1.2*B45</f>
        <v>6.324</v>
      </c>
      <c r="P48" s="37">
        <f>1.2*B47</f>
        <v>1.944</v>
      </c>
      <c r="Q48" s="49"/>
    </row>
  </sheetData>
  <mergeCells count="11">
    <mergeCell ref="A27:B27"/>
    <mergeCell ref="A39:B39"/>
    <mergeCell ref="C40:E40"/>
    <mergeCell ref="C4:E4"/>
    <mergeCell ref="Q8:Q12"/>
    <mergeCell ref="A15:C15"/>
    <mergeCell ref="C16:E16"/>
    <mergeCell ref="Q20:Q24"/>
    <mergeCell ref="C28:E28"/>
    <mergeCell ref="Q32:Q36"/>
    <mergeCell ref="Q44:Q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86"/>
    <col customWidth="1" min="4" max="4" width="33.86"/>
    <col customWidth="1" min="5" max="5" width="13.14"/>
    <col customWidth="1" min="7" max="7" width="18.86"/>
    <col customWidth="1" min="8" max="8" width="33.71"/>
    <col customWidth="1" min="9" max="9" width="32.71"/>
  </cols>
  <sheetData>
    <row r="1">
      <c r="A1" s="1" t="s">
        <v>0</v>
      </c>
      <c r="B1" s="1" t="s">
        <v>2</v>
      </c>
      <c r="C1" s="1" t="s">
        <v>3</v>
      </c>
      <c r="D1" s="1" t="s">
        <v>4</v>
      </c>
      <c r="E1" s="1" t="s">
        <v>5</v>
      </c>
      <c r="F1" s="1" t="s">
        <v>6</v>
      </c>
      <c r="G1" s="1" t="s">
        <v>7</v>
      </c>
      <c r="H1" s="2" t="s">
        <v>8</v>
      </c>
      <c r="I1" s="2" t="s">
        <v>9</v>
      </c>
    </row>
    <row r="2">
      <c r="A2" s="5" t="s">
        <v>10</v>
      </c>
      <c r="B2" s="6" t="s">
        <v>11</v>
      </c>
      <c r="C2" s="19">
        <f>'Precast Design Calculations'!B147+'Precast Design Calculations'!B148</f>
        <v>5.27</v>
      </c>
      <c r="D2" s="19">
        <f>'Precast Design Calculations'!B152</f>
        <v>4.8</v>
      </c>
      <c r="E2" s="19">
        <v>1.0</v>
      </c>
      <c r="F2" s="24" t="s">
        <v>33</v>
      </c>
      <c r="G2" s="26" t="s">
        <v>37</v>
      </c>
      <c r="H2" s="31">
        <f>F2-'Precast Design Calculations'!$B$147</f>
        <v>6.42</v>
      </c>
      <c r="I2" s="33">
        <f>MAX(H2:H4)</f>
        <v>6.42</v>
      </c>
    </row>
    <row r="3">
      <c r="A3" s="5" t="s">
        <v>10</v>
      </c>
      <c r="B3" s="6" t="s">
        <v>54</v>
      </c>
      <c r="C3" s="19">
        <f>'Precast Design Calculations'!B147+'Precast Design Calculations'!B148</f>
        <v>5.27</v>
      </c>
      <c r="D3" s="19">
        <f>'Precast Design Calculations'!B152</f>
        <v>4.8</v>
      </c>
      <c r="E3" s="19">
        <v>0.6</v>
      </c>
      <c r="F3" s="24" t="s">
        <v>57</v>
      </c>
      <c r="G3" s="26" t="s">
        <v>58</v>
      </c>
      <c r="H3" s="31">
        <f>F3-'Precast Design Calculations'!$B$147</f>
        <v>4.5</v>
      </c>
      <c r="I3" s="40"/>
    </row>
    <row r="4">
      <c r="A4" s="5" t="s">
        <v>10</v>
      </c>
      <c r="B4" s="6" t="s">
        <v>65</v>
      </c>
      <c r="C4" s="19">
        <f>'Precast Design Calculations'!B147+'Precast Design Calculations'!B148</f>
        <v>5.27</v>
      </c>
      <c r="D4" s="19">
        <f>'Precast Design Calculations'!B152</f>
        <v>4.8</v>
      </c>
      <c r="E4" s="19">
        <v>0.5</v>
      </c>
      <c r="F4" s="24" t="s">
        <v>73</v>
      </c>
      <c r="G4" s="26" t="s">
        <v>74</v>
      </c>
      <c r="H4" s="31">
        <f>F4-'Precast Design Calculations'!$B$147</f>
        <v>4.02</v>
      </c>
      <c r="I4" s="49"/>
    </row>
    <row r="5">
      <c r="A5" s="5" t="s">
        <v>80</v>
      </c>
      <c r="B5" s="6" t="s">
        <v>81</v>
      </c>
      <c r="C5" s="19">
        <f>'Precast Design Calculations'!B147+'Precast Design Calculations'!B148</f>
        <v>5.27</v>
      </c>
      <c r="D5" s="19">
        <f>'Precast Design Calculations'!B152</f>
        <v>4.8</v>
      </c>
      <c r="E5" s="19">
        <v>1.0</v>
      </c>
      <c r="F5" s="24" t="s">
        <v>33</v>
      </c>
      <c r="G5" s="26" t="s">
        <v>37</v>
      </c>
      <c r="H5" s="57">
        <f>F5-'Precast Design Calculations'!$B$147</f>
        <v>6.42</v>
      </c>
      <c r="I5" s="60">
        <f>MAX(H5:H7)</f>
        <v>6.42</v>
      </c>
    </row>
    <row r="6">
      <c r="A6" s="5" t="s">
        <v>80</v>
      </c>
      <c r="B6" s="6" t="s">
        <v>54</v>
      </c>
      <c r="C6" s="19">
        <f>'Precast Design Calculations'!B147+'Precast Design Calculations'!B148</f>
        <v>5.27</v>
      </c>
      <c r="D6" s="19">
        <f>'Precast Design Calculations'!B152</f>
        <v>4.8</v>
      </c>
      <c r="E6" s="19">
        <v>0.6</v>
      </c>
      <c r="F6" s="24" t="s">
        <v>57</v>
      </c>
      <c r="G6" s="26" t="s">
        <v>58</v>
      </c>
      <c r="H6" s="57">
        <f>F6-'Precast Design Calculations'!$B$147</f>
        <v>4.5</v>
      </c>
      <c r="I6" s="40"/>
    </row>
    <row r="7">
      <c r="A7" s="5" t="s">
        <v>80</v>
      </c>
      <c r="B7" s="6" t="s">
        <v>65</v>
      </c>
      <c r="C7" s="19">
        <f>'Precast Design Calculations'!B147+'Precast Design Calculations'!B148</f>
        <v>5.27</v>
      </c>
      <c r="D7" s="19">
        <f>'Precast Design Calculations'!B152</f>
        <v>4.8</v>
      </c>
      <c r="E7" s="19">
        <v>0.5</v>
      </c>
      <c r="F7" s="24" t="s">
        <v>73</v>
      </c>
      <c r="G7" s="26" t="s">
        <v>74</v>
      </c>
      <c r="H7" s="57">
        <f>F7-'Precast Design Calculations'!$B$147</f>
        <v>4.02</v>
      </c>
      <c r="I7" s="49"/>
    </row>
    <row r="8">
      <c r="A8" s="5" t="s">
        <v>142</v>
      </c>
      <c r="B8" s="6" t="s">
        <v>81</v>
      </c>
      <c r="C8" s="19">
        <f>'Precast Design Calculations'!B133+'Precast Design Calculations'!B134</f>
        <v>4.86</v>
      </c>
      <c r="D8" s="19">
        <f>'Precast Design Calculations'!B138</f>
        <v>3.3</v>
      </c>
      <c r="E8" s="19">
        <v>1.0</v>
      </c>
      <c r="F8" s="24" t="s">
        <v>165</v>
      </c>
      <c r="G8" s="26" t="s">
        <v>37</v>
      </c>
      <c r="H8" s="73">
        <f>F8-'Precast Design Calculations'!$B$147</f>
        <v>5.42</v>
      </c>
      <c r="I8" s="74">
        <f>MAX(H8:H10)</f>
        <v>5.42</v>
      </c>
    </row>
    <row r="9">
      <c r="A9" s="5" t="s">
        <v>142</v>
      </c>
      <c r="B9" s="6" t="s">
        <v>54</v>
      </c>
      <c r="C9" s="19">
        <f>'Precast Design Calculations'!B133+'Precast Design Calculations'!B134</f>
        <v>4.86</v>
      </c>
      <c r="D9" s="19">
        <f>'Precast Design Calculations'!B138</f>
        <v>3.3</v>
      </c>
      <c r="E9" s="19">
        <v>0.4</v>
      </c>
      <c r="F9" s="24" t="s">
        <v>201</v>
      </c>
      <c r="G9" s="26" t="s">
        <v>58</v>
      </c>
      <c r="H9" s="73">
        <f>F9-'Precast Design Calculations'!$B$147</f>
        <v>3.14</v>
      </c>
      <c r="I9" s="40"/>
    </row>
    <row r="10">
      <c r="A10" s="5" t="s">
        <v>142</v>
      </c>
      <c r="B10" s="6" t="s">
        <v>65</v>
      </c>
      <c r="C10" s="19">
        <f>'Precast Design Calculations'!B133+'Precast Design Calculations'!B134</f>
        <v>4.86</v>
      </c>
      <c r="D10" s="19">
        <f>'Precast Design Calculations'!B138</f>
        <v>3.3</v>
      </c>
      <c r="E10" s="19">
        <v>0.2</v>
      </c>
      <c r="F10" s="24" t="s">
        <v>214</v>
      </c>
      <c r="G10" s="26" t="s">
        <v>74</v>
      </c>
      <c r="H10" s="73">
        <f>F10-'Precast Design Calculations'!$B$147</f>
        <v>2.38</v>
      </c>
      <c r="I10" s="49"/>
    </row>
    <row r="11">
      <c r="A11" s="5" t="s">
        <v>217</v>
      </c>
      <c r="B11" s="6" t="s">
        <v>81</v>
      </c>
      <c r="C11" s="19">
        <f>'Precast Design Calculations'!B133+'Precast Design Calculations'!B134</f>
        <v>4.86</v>
      </c>
      <c r="D11" s="19">
        <f>'Precast Design Calculations'!B138</f>
        <v>3.3</v>
      </c>
      <c r="E11" s="19">
        <v>1.0</v>
      </c>
      <c r="F11" s="24" t="s">
        <v>165</v>
      </c>
      <c r="G11" s="26" t="s">
        <v>37</v>
      </c>
      <c r="H11" s="88">
        <f>F11-'Precast Design Calculations'!$B$147</f>
        <v>5.42</v>
      </c>
      <c r="I11" s="89">
        <f>MAX(H11:H13)</f>
        <v>5.42</v>
      </c>
    </row>
    <row r="12">
      <c r="A12" s="5" t="s">
        <v>217</v>
      </c>
      <c r="B12" s="6" t="s">
        <v>54</v>
      </c>
      <c r="C12" s="19">
        <f>'Precast Design Calculations'!B133+'Precast Design Calculations'!B134</f>
        <v>4.86</v>
      </c>
      <c r="D12" s="19">
        <f>'Precast Design Calculations'!B138</f>
        <v>3.3</v>
      </c>
      <c r="E12" s="19">
        <v>0.4</v>
      </c>
      <c r="F12" s="24" t="s">
        <v>201</v>
      </c>
      <c r="G12" s="26" t="s">
        <v>58</v>
      </c>
      <c r="H12" s="88">
        <f>F12-'Precast Design Calculations'!$B$147</f>
        <v>3.14</v>
      </c>
      <c r="I12" s="40"/>
    </row>
    <row r="13">
      <c r="A13" s="5" t="s">
        <v>217</v>
      </c>
      <c r="B13" s="6" t="s">
        <v>65</v>
      </c>
      <c r="C13" s="19">
        <f>'Precast Design Calculations'!B133+'Precast Design Calculations'!B134</f>
        <v>4.86</v>
      </c>
      <c r="D13" s="19">
        <f>'Precast Design Calculations'!B138</f>
        <v>3.3</v>
      </c>
      <c r="E13" s="19">
        <v>0.2</v>
      </c>
      <c r="F13" s="24" t="s">
        <v>214</v>
      </c>
      <c r="G13" s="26" t="s">
        <v>74</v>
      </c>
      <c r="H13" s="88">
        <f>F13-'Precast Design Calculations'!$B$147</f>
        <v>2.38</v>
      </c>
      <c r="I13" s="49"/>
    </row>
    <row r="14">
      <c r="A14" s="5" t="s">
        <v>239</v>
      </c>
      <c r="B14" s="6" t="s">
        <v>81</v>
      </c>
      <c r="C14" s="19">
        <f>'Precast Design Calculations'!B116+'Precast Design Calculations'!B117</f>
        <v>5.32</v>
      </c>
      <c r="D14" s="19">
        <f>'Precast Design Calculations'!B122</f>
        <v>1.5</v>
      </c>
      <c r="E14" s="19">
        <v>1.0</v>
      </c>
      <c r="F14" s="24">
        <f>C14+D14</f>
        <v>6.82</v>
      </c>
      <c r="G14" s="26" t="s">
        <v>37</v>
      </c>
      <c r="H14" s="95">
        <f>F14-'Precast Design Calculations'!$B$102</f>
        <v>3.82</v>
      </c>
      <c r="I14" s="96">
        <f>MAX(H14:H16)</f>
        <v>3.82</v>
      </c>
    </row>
    <row r="15">
      <c r="A15" s="5" t="s">
        <v>239</v>
      </c>
      <c r="B15" s="6" t="s">
        <v>54</v>
      </c>
      <c r="C15" s="19">
        <f>'Precast Design Calculations'!B116+'Precast Design Calculations'!B117</f>
        <v>5.32</v>
      </c>
      <c r="D15" s="19">
        <f>'Precast Design Calculations'!B122</f>
        <v>1.5</v>
      </c>
      <c r="E15" s="19">
        <v>0.3</v>
      </c>
      <c r="F15" s="24">
        <f t="shared" ref="F15:F16" si="1">C15+E15*D15</f>
        <v>5.77</v>
      </c>
      <c r="G15" s="26" t="s">
        <v>58</v>
      </c>
      <c r="H15" s="95">
        <f>F15-'Precast Design Calculations'!$B$102</f>
        <v>2.77</v>
      </c>
      <c r="I15" s="40"/>
    </row>
    <row r="16">
      <c r="A16" s="5" t="s">
        <v>239</v>
      </c>
      <c r="B16" s="6" t="s">
        <v>65</v>
      </c>
      <c r="C16" s="19">
        <f>'Precast Design Calculations'!B116+'Precast Design Calculations'!B117</f>
        <v>5.32</v>
      </c>
      <c r="D16" s="19">
        <f>'Precast Design Calculations'!B122</f>
        <v>1.5</v>
      </c>
      <c r="E16" s="19">
        <v>0.2</v>
      </c>
      <c r="F16" s="24">
        <f t="shared" si="1"/>
        <v>5.62</v>
      </c>
      <c r="G16" s="26" t="s">
        <v>74</v>
      </c>
      <c r="H16" s="95">
        <f>F16-'Precast Design Calculations'!$B$102</f>
        <v>2.62</v>
      </c>
      <c r="I16" s="49"/>
    </row>
    <row r="17">
      <c r="A17" s="5" t="s">
        <v>114</v>
      </c>
      <c r="B17" s="6" t="s">
        <v>81</v>
      </c>
      <c r="C17" s="19">
        <f>'Precast Design Calculations'!B102+'Precast Design Calculations'!B103</f>
        <v>4.29</v>
      </c>
      <c r="D17" s="19">
        <f>'Precast Design Calculations'!B108</f>
        <v>0.4</v>
      </c>
      <c r="E17" s="19">
        <v>1.0</v>
      </c>
      <c r="F17" s="24" t="s">
        <v>214</v>
      </c>
      <c r="G17" s="26" t="s">
        <v>37</v>
      </c>
      <c r="H17" s="104">
        <f>F17-'Precast Design Calculations'!$B$102</f>
        <v>3.03</v>
      </c>
      <c r="I17" s="105">
        <f>MAX(H17:H19)</f>
        <v>3.03</v>
      </c>
    </row>
    <row r="18">
      <c r="A18" s="5" t="s">
        <v>114</v>
      </c>
      <c r="B18" s="6" t="s">
        <v>54</v>
      </c>
      <c r="C18" s="19">
        <f>'Precast Design Calculations'!B102+'Precast Design Calculations'!B103</f>
        <v>4.29</v>
      </c>
      <c r="D18" s="19">
        <f>'Precast Design Calculations'!B108</f>
        <v>0.4</v>
      </c>
      <c r="E18" s="19">
        <v>0.0</v>
      </c>
      <c r="F18" s="24" t="s">
        <v>264</v>
      </c>
      <c r="G18" s="26" t="s">
        <v>58</v>
      </c>
      <c r="H18" s="104">
        <f>F18-'Precast Design Calculations'!$B$102</f>
        <v>1.23</v>
      </c>
      <c r="I18" s="40"/>
    </row>
    <row r="19">
      <c r="A19" s="5" t="s">
        <v>114</v>
      </c>
      <c r="B19" s="6" t="s">
        <v>65</v>
      </c>
      <c r="C19" s="19">
        <f>'Precast Design Calculations'!B102+'Precast Design Calculations'!B103</f>
        <v>4.29</v>
      </c>
      <c r="D19" s="19">
        <f>'Precast Design Calculations'!B108</f>
        <v>0.4</v>
      </c>
      <c r="E19" s="19">
        <v>0.0</v>
      </c>
      <c r="F19" s="24" t="s">
        <v>264</v>
      </c>
      <c r="G19" s="26" t="s">
        <v>74</v>
      </c>
      <c r="H19" s="104">
        <f>F19-'Precast Design Calculations'!$B$102</f>
        <v>1.23</v>
      </c>
      <c r="I19" s="49"/>
    </row>
  </sheetData>
  <mergeCells count="6">
    <mergeCell ref="I2:I4"/>
    <mergeCell ref="I5:I7"/>
    <mergeCell ref="I8:I10"/>
    <mergeCell ref="I11:I13"/>
    <mergeCell ref="I14:I16"/>
    <mergeCell ref="I17:I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86"/>
    <col customWidth="1" min="3" max="3" width="22.0"/>
    <col customWidth="1" min="7" max="7" width="33.29"/>
  </cols>
  <sheetData>
    <row r="19">
      <c r="B19" s="35" t="s">
        <v>53</v>
      </c>
      <c r="C19" s="18"/>
      <c r="E19" s="36" t="s">
        <v>60</v>
      </c>
      <c r="F19" s="39">
        <v>8.0</v>
      </c>
    </row>
    <row r="20">
      <c r="B20" s="41" t="s">
        <v>64</v>
      </c>
      <c r="C20" s="39">
        <v>3.0</v>
      </c>
    </row>
    <row r="21">
      <c r="B21" s="43" t="s">
        <v>67</v>
      </c>
      <c r="C21" s="39">
        <v>3.24</v>
      </c>
    </row>
    <row r="22">
      <c r="B22" s="41" t="s">
        <v>69</v>
      </c>
      <c r="C22" s="39">
        <v>3.65</v>
      </c>
    </row>
    <row r="25">
      <c r="B25" s="35" t="s">
        <v>70</v>
      </c>
      <c r="C25" s="18"/>
      <c r="E25" s="35" t="s">
        <v>71</v>
      </c>
      <c r="F25" s="18"/>
      <c r="G25" s="47" t="s">
        <v>75</v>
      </c>
    </row>
    <row r="26">
      <c r="B26" s="41" t="s">
        <v>77</v>
      </c>
      <c r="C26" s="54">
        <f>'ULS Combinations'!Q44</f>
        <v>8.82</v>
      </c>
      <c r="E26" s="55" t="s">
        <v>77</v>
      </c>
      <c r="F26" s="18"/>
      <c r="G26" s="13" t="str">
        <f>B22</f>
        <v>-Hollow core JE 270 mm</v>
      </c>
    </row>
    <row r="27">
      <c r="B27" s="41" t="s">
        <v>97</v>
      </c>
      <c r="C27" s="54">
        <f>'ULS Combinations'!Q32</f>
        <v>6.57</v>
      </c>
      <c r="E27" s="55" t="s">
        <v>97</v>
      </c>
      <c r="F27" s="18"/>
      <c r="G27" s="13" t="str">
        <f>B21</f>
        <v>-Hollow core DB 220mm</v>
      </c>
    </row>
    <row r="28">
      <c r="B28" s="41" t="s">
        <v>103</v>
      </c>
      <c r="C28" s="54">
        <f>'ULS Combinations'!Q32</f>
        <v>6.57</v>
      </c>
      <c r="E28" s="55" t="s">
        <v>103</v>
      </c>
      <c r="F28" s="18"/>
      <c r="G28" s="13" t="str">
        <f>B21</f>
        <v>-Hollow core DB 220mm</v>
      </c>
    </row>
    <row r="29">
      <c r="B29" s="41" t="s">
        <v>110</v>
      </c>
      <c r="C29" s="54">
        <f>'ULS Combinations'!Q20</f>
        <v>4.57</v>
      </c>
      <c r="E29" s="55" t="s">
        <v>110</v>
      </c>
      <c r="F29" s="18"/>
      <c r="G29" s="46" t="str">
        <f>B20</f>
        <v>-Hollow core PE 180 mm</v>
      </c>
    </row>
    <row r="30">
      <c r="B30" s="41" t="s">
        <v>114</v>
      </c>
      <c r="C30" s="54">
        <f>'ULS Combinations'!Q8</f>
        <v>2.355</v>
      </c>
      <c r="E30" s="55" t="s">
        <v>114</v>
      </c>
      <c r="F30" s="18"/>
      <c r="G30" s="46" t="str">
        <f>B20</f>
        <v>-Hollow core PE 180 mm</v>
      </c>
    </row>
  </sheetData>
  <mergeCells count="8">
    <mergeCell ref="B19:C19"/>
    <mergeCell ref="B25:C25"/>
    <mergeCell ref="E25:F25"/>
    <mergeCell ref="E26:F26"/>
    <mergeCell ref="E27:F27"/>
    <mergeCell ref="E28:F28"/>
    <mergeCell ref="E29:F29"/>
    <mergeCell ref="E30:F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s>
  <sheetData>
    <row r="2">
      <c r="A2" s="93" t="s">
        <v>243</v>
      </c>
      <c r="D2" s="20" t="s">
        <v>244</v>
      </c>
    </row>
    <row r="4" ht="42.0" customHeight="1">
      <c r="A4" s="20"/>
      <c r="B4" s="20" t="s">
        <v>245</v>
      </c>
      <c r="C4" s="94" t="s">
        <v>246</v>
      </c>
      <c r="D4" s="94" t="s">
        <v>247</v>
      </c>
      <c r="E4" s="20" t="s">
        <v>248</v>
      </c>
      <c r="F4" s="94" t="s">
        <v>249</v>
      </c>
      <c r="G4" s="20" t="s">
        <v>250</v>
      </c>
    </row>
    <row r="6">
      <c r="A6" s="20" t="s">
        <v>251</v>
      </c>
      <c r="B6" s="20" t="s">
        <v>252</v>
      </c>
      <c r="C6" s="20">
        <v>4.0</v>
      </c>
      <c r="D6" s="97">
        <f>'ULS Combinations'!O20</f>
        <v>7.57</v>
      </c>
      <c r="E6" s="98">
        <f t="shared" ref="E6:E7" si="1">C6*D6</f>
        <v>30.28</v>
      </c>
      <c r="G6" s="20" t="s">
        <v>253</v>
      </c>
    </row>
    <row r="7">
      <c r="A7" s="20"/>
      <c r="B7" s="20" t="s">
        <v>254</v>
      </c>
      <c r="C7" s="20">
        <v>4.0</v>
      </c>
      <c r="D7" s="97">
        <f>'ULS Combinations'!O44</f>
        <v>12.47</v>
      </c>
      <c r="E7" s="98">
        <f t="shared" si="1"/>
        <v>49.88</v>
      </c>
      <c r="G7" s="20" t="s">
        <v>255</v>
      </c>
    </row>
    <row r="8">
      <c r="A8" s="20"/>
      <c r="C8" s="20"/>
    </row>
    <row r="9">
      <c r="A9" s="20" t="s">
        <v>257</v>
      </c>
      <c r="B9" s="20" t="s">
        <v>252</v>
      </c>
      <c r="C9" s="20">
        <v>8.0</v>
      </c>
      <c r="D9" s="97">
        <f>'ULS Combinations'!O20</f>
        <v>7.57</v>
      </c>
      <c r="E9" s="98">
        <f t="shared" ref="E9:E10" si="2">C9*D9</f>
        <v>60.56</v>
      </c>
      <c r="G9" s="20" t="s">
        <v>260</v>
      </c>
    </row>
    <row r="10">
      <c r="B10" s="20" t="s">
        <v>254</v>
      </c>
      <c r="C10" s="20">
        <v>8.0</v>
      </c>
      <c r="D10" s="97">
        <f>'ULS Combinations'!O44</f>
        <v>12.47</v>
      </c>
      <c r="E10" s="98">
        <f t="shared" si="2"/>
        <v>99.76</v>
      </c>
      <c r="G10" s="20" t="s">
        <v>262</v>
      </c>
    </row>
    <row r="12">
      <c r="A12" s="20" t="s">
        <v>263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57"/>
    <col customWidth="1" min="2" max="2" width="21.0"/>
    <col customWidth="1" min="3" max="3" width="26.57"/>
    <col customWidth="1" min="4" max="4" width="29.29"/>
  </cols>
  <sheetData>
    <row r="2">
      <c r="A2" s="83" t="s">
        <v>269</v>
      </c>
    </row>
    <row r="7">
      <c r="A7" s="109" t="s">
        <v>270</v>
      </c>
    </row>
    <row r="8">
      <c r="A8" s="110" t="s">
        <v>271</v>
      </c>
      <c r="B8" s="111">
        <f>B12*(B10^2)/8</f>
        <v>96.672</v>
      </c>
      <c r="C8" s="110" t="s">
        <v>272</v>
      </c>
    </row>
    <row r="9">
      <c r="A9" s="20" t="s">
        <v>273</v>
      </c>
      <c r="B9" s="112" t="str">
        <f>'SLS Combinations'!F2</f>
        <v>10,07</v>
      </c>
      <c r="C9" s="20" t="s">
        <v>101</v>
      </c>
    </row>
    <row r="10">
      <c r="A10" s="20" t="s">
        <v>25</v>
      </c>
      <c r="B10" s="20">
        <v>8.0</v>
      </c>
      <c r="C10" s="20" t="s">
        <v>161</v>
      </c>
    </row>
    <row r="11">
      <c r="A11" s="20" t="s">
        <v>274</v>
      </c>
      <c r="B11" s="20">
        <v>1.2</v>
      </c>
      <c r="C11" s="20" t="s">
        <v>161</v>
      </c>
    </row>
    <row r="12">
      <c r="A12" s="20" t="s">
        <v>275</v>
      </c>
      <c r="B12" s="98">
        <f>B9*B11</f>
        <v>12.084</v>
      </c>
    </row>
    <row r="13">
      <c r="A13" s="109" t="s">
        <v>276</v>
      </c>
    </row>
    <row r="14">
      <c r="A14" s="110" t="s">
        <v>277</v>
      </c>
      <c r="B14" s="110">
        <v>136.2</v>
      </c>
      <c r="C14" s="110" t="s">
        <v>278</v>
      </c>
      <c r="D14" s="20" t="s">
        <v>279</v>
      </c>
    </row>
    <row r="16">
      <c r="B16" s="83" t="s">
        <v>280</v>
      </c>
      <c r="C16" s="20" t="s">
        <v>281</v>
      </c>
    </row>
    <row r="17">
      <c r="A17" s="113" t="s">
        <v>282</v>
      </c>
    </row>
    <row r="24">
      <c r="A24" s="114" t="s">
        <v>283</v>
      </c>
      <c r="B24" s="115" t="s">
        <v>17</v>
      </c>
      <c r="C24" s="115" t="s">
        <v>18</v>
      </c>
    </row>
    <row r="25">
      <c r="A25" s="20" t="s">
        <v>284</v>
      </c>
      <c r="B25" s="115">
        <v>6.0</v>
      </c>
      <c r="C25" s="20" t="s">
        <v>285</v>
      </c>
      <c r="D25" s="20" t="s">
        <v>286</v>
      </c>
    </row>
    <row r="26">
      <c r="A26" s="20" t="s">
        <v>287</v>
      </c>
      <c r="B26" s="115">
        <v>93.0</v>
      </c>
      <c r="C26" s="20" t="s">
        <v>288</v>
      </c>
      <c r="D26" s="20" t="s">
        <v>289</v>
      </c>
    </row>
    <row r="27">
      <c r="A27" s="20" t="s">
        <v>290</v>
      </c>
      <c r="B27" s="115">
        <v>100.0</v>
      </c>
      <c r="C27" s="20" t="s">
        <v>291</v>
      </c>
      <c r="D27" s="20" t="s">
        <v>289</v>
      </c>
    </row>
    <row r="28">
      <c r="A28" s="110" t="s">
        <v>292</v>
      </c>
      <c r="B28" s="116">
        <f>B25*B27</f>
        <v>600</v>
      </c>
      <c r="C28" s="117" t="s">
        <v>291</v>
      </c>
    </row>
    <row r="30">
      <c r="B30" s="41" t="s">
        <v>293</v>
      </c>
      <c r="C30" s="41" t="s">
        <v>294</v>
      </c>
    </row>
    <row r="31">
      <c r="A31" s="118" t="s">
        <v>295</v>
      </c>
      <c r="B31" s="119">
        <v>189.0</v>
      </c>
      <c r="C31" s="13">
        <v>0.001</v>
      </c>
    </row>
    <row r="32">
      <c r="A32" s="13" t="s">
        <v>296</v>
      </c>
      <c r="B32" s="119">
        <v>270.0</v>
      </c>
      <c r="C32" s="13">
        <v>0.001</v>
      </c>
    </row>
    <row r="33">
      <c r="A33" s="13" t="s">
        <v>39</v>
      </c>
      <c r="B33" s="119">
        <v>1200.0</v>
      </c>
      <c r="C33" s="13">
        <v>0.001</v>
      </c>
    </row>
    <row r="34">
      <c r="A34" s="120" t="s">
        <v>297</v>
      </c>
      <c r="B34" s="117">
        <f>B31*C31</f>
        <v>0.189</v>
      </c>
      <c r="C34" s="117" t="s">
        <v>298</v>
      </c>
      <c r="D34" s="20" t="s">
        <v>299</v>
      </c>
    </row>
    <row r="35">
      <c r="A35" s="121" t="s">
        <v>300</v>
      </c>
      <c r="B35" s="13">
        <v>0.185</v>
      </c>
      <c r="C35" s="13" t="s">
        <v>301</v>
      </c>
    </row>
    <row r="36">
      <c r="A36" s="121" t="s">
        <v>302</v>
      </c>
      <c r="B36" s="46">
        <f>B32*B33*C32*C33</f>
        <v>0.324</v>
      </c>
      <c r="C36" s="13" t="s">
        <v>298</v>
      </c>
    </row>
    <row r="37">
      <c r="A37" s="121" t="s">
        <v>303</v>
      </c>
      <c r="B37" s="122">
        <f>3.14*B35*B35/4</f>
        <v>0.026866625</v>
      </c>
      <c r="C37" s="13" t="s">
        <v>298</v>
      </c>
    </row>
    <row r="38">
      <c r="A38" s="121" t="s">
        <v>304</v>
      </c>
      <c r="B38" s="122">
        <f>5*B37</f>
        <v>0.134333125</v>
      </c>
      <c r="C38" s="13" t="s">
        <v>298</v>
      </c>
    </row>
    <row r="39">
      <c r="A39" s="13" t="s">
        <v>306</v>
      </c>
      <c r="B39" s="13">
        <v>5.0</v>
      </c>
      <c r="C39" s="46"/>
    </row>
    <row r="40">
      <c r="A40" s="47" t="s">
        <v>307</v>
      </c>
      <c r="B40" s="122">
        <f>B36-B38</f>
        <v>0.189666875</v>
      </c>
      <c r="C40" s="13" t="s">
        <v>298</v>
      </c>
    </row>
    <row r="42">
      <c r="A42" s="20" t="s">
        <v>310</v>
      </c>
    </row>
    <row r="43">
      <c r="A43" s="20" t="s">
        <v>311</v>
      </c>
      <c r="B43" s="20">
        <v>92.0</v>
      </c>
      <c r="C43" s="20" t="s">
        <v>301</v>
      </c>
      <c r="D43" s="20" t="s">
        <v>313</v>
      </c>
    </row>
    <row r="44">
      <c r="A44" s="117" t="s">
        <v>314</v>
      </c>
      <c r="B44" s="116">
        <f>-B28*B43*0.001</f>
        <v>-55.2</v>
      </c>
      <c r="C44" s="117" t="s">
        <v>278</v>
      </c>
    </row>
    <row r="46">
      <c r="A46" s="117" t="s">
        <v>317</v>
      </c>
      <c r="B46" s="116">
        <f>B8</f>
        <v>96.672</v>
      </c>
      <c r="C46" s="117" t="s">
        <v>278</v>
      </c>
    </row>
    <row r="49">
      <c r="A49" s="20" t="s">
        <v>318</v>
      </c>
      <c r="B49" s="20">
        <f>B33*B32^3/12</f>
        <v>1968300000</v>
      </c>
      <c r="C49" s="20" t="s">
        <v>321</v>
      </c>
    </row>
    <row r="50">
      <c r="A50" s="20" t="s">
        <v>322</v>
      </c>
      <c r="B50" s="20">
        <f>B39*PI()*(B35*1000)^4/64</f>
        <v>287492696.7</v>
      </c>
      <c r="C50" s="20" t="s">
        <v>321</v>
      </c>
    </row>
    <row r="52">
      <c r="A52" s="117" t="s">
        <v>325</v>
      </c>
      <c r="B52" s="128">
        <v>1.681E9</v>
      </c>
      <c r="C52" s="117" t="s">
        <v>321</v>
      </c>
    </row>
    <row r="54">
      <c r="A54" s="20" t="s">
        <v>326</v>
      </c>
      <c r="B54" s="20">
        <v>135.0</v>
      </c>
      <c r="C54" s="20" t="s">
        <v>301</v>
      </c>
      <c r="E54" s="20" t="s">
        <v>327</v>
      </c>
    </row>
    <row r="56">
      <c r="A56" s="20" t="s">
        <v>328</v>
      </c>
      <c r="B56" s="98">
        <f>B28*1000/(B34*1000000)</f>
        <v>3.174603175</v>
      </c>
      <c r="C56" s="20" t="s">
        <v>330</v>
      </c>
    </row>
    <row r="57">
      <c r="A57" s="20" t="s">
        <v>331</v>
      </c>
      <c r="B57" s="130">
        <f>-B56+(B44+B46)*1000000*B54/B52</f>
        <v>0.1559857606</v>
      </c>
      <c r="C57" s="83" t="s">
        <v>335</v>
      </c>
    </row>
    <row r="59">
      <c r="A59" s="118" t="s">
        <v>336</v>
      </c>
      <c r="B59" s="131">
        <v>3.0</v>
      </c>
    </row>
    <row r="60">
      <c r="A60" s="132" t="s">
        <v>337</v>
      </c>
      <c r="B60" s="20" t="str">
        <f>IF(B57&lt;=B59,"✅ no cracking","❌ cracking")</f>
        <v>✅ no cracking</v>
      </c>
    </row>
    <row r="62">
      <c r="L62" s="20">
        <v>600000.0</v>
      </c>
      <c r="M62" s="20" t="s">
        <v>339</v>
      </c>
    </row>
    <row r="63">
      <c r="L63" s="20" t="s">
        <v>299</v>
      </c>
    </row>
    <row r="64">
      <c r="A64" s="109" t="s">
        <v>341</v>
      </c>
    </row>
    <row r="65" ht="49.5" customHeight="1">
      <c r="A65" s="94" t="s">
        <v>342</v>
      </c>
      <c r="L65" s="20">
        <v>3.17</v>
      </c>
      <c r="N65" s="20">
        <v>41.47</v>
      </c>
      <c r="O65" s="20" t="s">
        <v>278</v>
      </c>
      <c r="P65" s="20" t="s">
        <v>343</v>
      </c>
      <c r="Q65" s="20" t="s">
        <v>344</v>
      </c>
    </row>
    <row r="66">
      <c r="N66" s="20" t="s">
        <v>345</v>
      </c>
      <c r="O66" s="20" t="s">
        <v>346</v>
      </c>
    </row>
    <row r="67">
      <c r="A67" s="20"/>
    </row>
    <row r="68">
      <c r="N68" s="20">
        <v>3.44</v>
      </c>
      <c r="O68" s="20" t="s">
        <v>347</v>
      </c>
      <c r="P68" s="20" t="s">
        <v>348</v>
      </c>
    </row>
    <row r="69">
      <c r="A69" s="118" t="s">
        <v>349</v>
      </c>
    </row>
    <row r="70">
      <c r="A70" s="133"/>
      <c r="M70" s="20" t="s">
        <v>351</v>
      </c>
      <c r="N70" s="20">
        <v>6.61</v>
      </c>
    </row>
    <row r="71">
      <c r="A71" s="118" t="s">
        <v>352</v>
      </c>
    </row>
    <row r="72">
      <c r="A72" s="20" t="s">
        <v>353</v>
      </c>
      <c r="B72" s="134">
        <f>(B59+B56)*B52/B54/1000000-B44</f>
        <v>132.085244</v>
      </c>
      <c r="C72" s="20" t="s">
        <v>278</v>
      </c>
    </row>
    <row r="73">
      <c r="A73" s="83" t="s">
        <v>361</v>
      </c>
      <c r="B73" s="135">
        <f>B72/B14</f>
        <v>0.9697888691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29"/>
    <col customWidth="1" min="2" max="2" width="23.57"/>
    <col customWidth="1" min="4" max="4" width="64.86"/>
  </cols>
  <sheetData>
    <row r="1">
      <c r="A1" s="123" t="s">
        <v>305</v>
      </c>
      <c r="B1" s="18"/>
      <c r="D1" s="13" t="s">
        <v>308</v>
      </c>
    </row>
    <row r="3">
      <c r="A3" s="47" t="s">
        <v>309</v>
      </c>
      <c r="B3" s="47" t="s">
        <v>17</v>
      </c>
      <c r="C3" s="47" t="s">
        <v>18</v>
      </c>
      <c r="D3" s="47" t="s">
        <v>312</v>
      </c>
    </row>
    <row r="4">
      <c r="A4" s="124" t="s">
        <v>315</v>
      </c>
      <c r="B4" s="46"/>
      <c r="C4" s="46"/>
      <c r="D4" s="46"/>
    </row>
    <row r="5">
      <c r="A5" s="125" t="s">
        <v>316</v>
      </c>
      <c r="B5" s="126">
        <f>'Beam Calculations'!E10</f>
        <v>99.76</v>
      </c>
      <c r="C5" s="126" t="s">
        <v>248</v>
      </c>
      <c r="D5" s="125" t="s">
        <v>319</v>
      </c>
    </row>
    <row r="6">
      <c r="A6" s="125" t="s">
        <v>320</v>
      </c>
      <c r="B6" s="127">
        <v>139.12</v>
      </c>
      <c r="C6" s="125" t="s">
        <v>248</v>
      </c>
      <c r="D6" s="125" t="s">
        <v>323</v>
      </c>
    </row>
    <row r="7">
      <c r="A7" s="125" t="s">
        <v>324</v>
      </c>
      <c r="B7" s="13" t="str">
        <f>IF(B5&lt;=B6,"q_Ed ≤ q_Rd","q_Ed &gt; q_Rd")</f>
        <v>q_Ed ≤ q_Rd</v>
      </c>
      <c r="C7" s="13" t="str">
        <f>IF(B5&lt;=B6,"✅","❌")</f>
        <v>✅</v>
      </c>
      <c r="D7" s="13" t="s">
        <v>329</v>
      </c>
    </row>
    <row r="8">
      <c r="A8" s="46"/>
      <c r="B8" s="46"/>
      <c r="C8" s="46"/>
      <c r="D8" s="46"/>
    </row>
    <row r="9">
      <c r="A9" s="129" t="s">
        <v>332</v>
      </c>
      <c r="B9" s="17"/>
      <c r="C9" s="18"/>
      <c r="D9" s="46"/>
    </row>
    <row r="10">
      <c r="A10" s="124" t="s">
        <v>333</v>
      </c>
      <c r="B10" s="46"/>
      <c r="C10" s="46"/>
      <c r="D10" s="46"/>
    </row>
    <row r="11">
      <c r="A11" s="125" t="s">
        <v>334</v>
      </c>
      <c r="B11" s="13">
        <f>VALUE(MID('Beam Calculations'!G10,FIND("/",'Beam Calculations'!G10)+1,5))*10</f>
        <v>720</v>
      </c>
      <c r="C11" s="13" t="s">
        <v>301</v>
      </c>
      <c r="D11" s="125" t="s">
        <v>338</v>
      </c>
    </row>
    <row r="12">
      <c r="A12" s="125" t="s">
        <v>340</v>
      </c>
      <c r="B12" s="13">
        <f>VALUE(MID('Beam Calculations'!G10,3,FIND("/",'Beam Calculations'!G10)-3))*10</f>
        <v>240</v>
      </c>
      <c r="C12" s="13" t="s">
        <v>301</v>
      </c>
      <c r="D12" s="125" t="s">
        <v>338</v>
      </c>
    </row>
    <row r="13">
      <c r="A13" s="125" t="s">
        <v>350</v>
      </c>
      <c r="B13" s="119">
        <v>650.0</v>
      </c>
      <c r="C13" s="13" t="s">
        <v>301</v>
      </c>
      <c r="D13" s="13" t="s">
        <v>84</v>
      </c>
    </row>
    <row r="14">
      <c r="A14" s="125" t="s">
        <v>354</v>
      </c>
      <c r="B14" s="119">
        <v>8.0</v>
      </c>
      <c r="C14" s="46"/>
      <c r="D14" s="125" t="s">
        <v>355</v>
      </c>
    </row>
    <row r="15">
      <c r="A15" s="125" t="s">
        <v>356</v>
      </c>
      <c r="B15" s="119">
        <v>93.0</v>
      </c>
      <c r="C15" s="13" t="s">
        <v>357</v>
      </c>
      <c r="D15" s="125" t="s">
        <v>358</v>
      </c>
    </row>
    <row r="16">
      <c r="A16" s="125" t="s">
        <v>359</v>
      </c>
      <c r="B16" s="13">
        <f>B14*B15</f>
        <v>744</v>
      </c>
      <c r="C16" s="13"/>
      <c r="D16" s="126"/>
    </row>
    <row r="17">
      <c r="A17" s="125" t="s">
        <v>360</v>
      </c>
      <c r="B17" s="119">
        <v>55.0</v>
      </c>
      <c r="C17" s="13" t="s">
        <v>335</v>
      </c>
      <c r="D17" s="125" t="s">
        <v>358</v>
      </c>
    </row>
    <row r="18">
      <c r="A18" s="125" t="s">
        <v>362</v>
      </c>
      <c r="B18" s="119">
        <v>1634.0</v>
      </c>
      <c r="C18" s="13" t="s">
        <v>335</v>
      </c>
      <c r="D18" s="125" t="s">
        <v>363</v>
      </c>
    </row>
    <row r="19">
      <c r="A19" s="125" t="s">
        <v>364</v>
      </c>
      <c r="B19" s="119">
        <v>195.0</v>
      </c>
      <c r="C19" s="13" t="s">
        <v>365</v>
      </c>
      <c r="D19" s="125" t="s">
        <v>366</v>
      </c>
    </row>
    <row r="20">
      <c r="A20" s="125" t="s">
        <v>367</v>
      </c>
      <c r="B20" s="119">
        <v>0.02</v>
      </c>
      <c r="C20" s="46"/>
      <c r="D20" s="125" t="s">
        <v>366</v>
      </c>
    </row>
    <row r="21">
      <c r="A21" s="125" t="s">
        <v>369</v>
      </c>
      <c r="B21" s="119">
        <v>1.4</v>
      </c>
      <c r="C21" s="46"/>
      <c r="D21" s="125" t="s">
        <v>371</v>
      </c>
    </row>
    <row r="22">
      <c r="A22" s="125" t="s">
        <v>372</v>
      </c>
      <c r="B22" s="119">
        <v>1.2</v>
      </c>
      <c r="C22" s="46"/>
      <c r="D22" s="125" t="s">
        <v>371</v>
      </c>
    </row>
    <row r="23">
      <c r="A23" s="125" t="s">
        <v>373</v>
      </c>
      <c r="B23" s="119">
        <v>100.0</v>
      </c>
      <c r="C23" s="13" t="s">
        <v>291</v>
      </c>
      <c r="D23" s="125" t="s">
        <v>374</v>
      </c>
    </row>
    <row r="24">
      <c r="A24" s="46"/>
      <c r="B24" s="46"/>
      <c r="C24" s="46"/>
      <c r="D24" s="46"/>
    </row>
    <row r="25">
      <c r="A25" s="124" t="s">
        <v>375</v>
      </c>
      <c r="B25" s="46"/>
      <c r="C25" s="46"/>
      <c r="D25" s="46"/>
    </row>
    <row r="26">
      <c r="A26" s="125" t="s">
        <v>377</v>
      </c>
      <c r="B26" s="46">
        <f t="shared" ref="B26:B27" si="1">B17/B21</f>
        <v>39.28571429</v>
      </c>
      <c r="C26" s="13" t="s">
        <v>335</v>
      </c>
      <c r="D26" s="13" t="s">
        <v>383</v>
      </c>
    </row>
    <row r="27">
      <c r="A27" s="125" t="s">
        <v>384</v>
      </c>
      <c r="B27" s="46">
        <f t="shared" si="1"/>
        <v>1361.666667</v>
      </c>
      <c r="C27" s="13" t="s">
        <v>335</v>
      </c>
      <c r="D27" s="13" t="s">
        <v>385</v>
      </c>
    </row>
    <row r="28">
      <c r="A28" s="46"/>
      <c r="B28" s="46"/>
      <c r="C28" s="46"/>
      <c r="D28" s="46"/>
    </row>
    <row r="29" ht="20.25" customHeight="1">
      <c r="A29" s="13" t="s">
        <v>387</v>
      </c>
      <c r="B29" s="46">
        <f>B16*B27</f>
        <v>1013080</v>
      </c>
      <c r="C29" s="13" t="s">
        <v>339</v>
      </c>
      <c r="D29" s="13" t="s">
        <v>393</v>
      </c>
    </row>
    <row r="30">
      <c r="A30" s="13" t="s">
        <v>394</v>
      </c>
      <c r="B30" s="46">
        <f>B29/1000</f>
        <v>1013.08</v>
      </c>
      <c r="C30" s="13" t="s">
        <v>291</v>
      </c>
      <c r="D30" s="13" t="s">
        <v>395</v>
      </c>
    </row>
    <row r="31">
      <c r="A31" s="124" t="s">
        <v>396</v>
      </c>
      <c r="B31" s="46"/>
      <c r="C31" s="46"/>
      <c r="D31" s="46"/>
    </row>
    <row r="32">
      <c r="A32" s="13" t="s">
        <v>397</v>
      </c>
      <c r="B32" s="46">
        <f>0.8-(B17-50)/400</f>
        <v>0.7875</v>
      </c>
      <c r="C32" s="46"/>
      <c r="D32" s="125" t="s">
        <v>398</v>
      </c>
    </row>
    <row r="33">
      <c r="A33" s="13" t="s">
        <v>399</v>
      </c>
      <c r="B33" s="46">
        <f>1-(B17-50)/200</f>
        <v>0.975</v>
      </c>
      <c r="C33" s="46"/>
      <c r="D33" s="13" t="s">
        <v>400</v>
      </c>
    </row>
    <row r="34">
      <c r="A34" s="124" t="s">
        <v>401</v>
      </c>
      <c r="B34" s="46"/>
      <c r="C34" s="46"/>
      <c r="D34" s="46"/>
    </row>
    <row r="35">
      <c r="A35" s="125" t="s">
        <v>402</v>
      </c>
      <c r="B35" s="46"/>
      <c r="C35" s="46"/>
      <c r="D35" s="13" t="s">
        <v>403</v>
      </c>
    </row>
    <row r="36">
      <c r="A36" s="125" t="s">
        <v>404</v>
      </c>
      <c r="B36" s="46"/>
      <c r="C36" s="46"/>
      <c r="D36" s="46"/>
    </row>
    <row r="37">
      <c r="A37" s="125" t="s">
        <v>406</v>
      </c>
      <c r="B37" s="46"/>
      <c r="C37" s="46"/>
      <c r="D37" s="46"/>
    </row>
    <row r="38">
      <c r="A38" s="125" t="s">
        <v>407</v>
      </c>
      <c r="B38" s="138">
        <f>B29/(B33*B26*B12)</f>
        <v>110.2029526</v>
      </c>
      <c r="C38" s="13" t="s">
        <v>301</v>
      </c>
      <c r="D38" s="13" t="s">
        <v>409</v>
      </c>
    </row>
    <row r="39">
      <c r="A39" s="125" t="s">
        <v>410</v>
      </c>
      <c r="B39" s="34">
        <f>B38/B32</f>
        <v>139.9402573</v>
      </c>
      <c r="C39" s="13" t="s">
        <v>301</v>
      </c>
      <c r="D39" s="13" t="s">
        <v>412</v>
      </c>
    </row>
    <row r="40">
      <c r="A40" s="139"/>
      <c r="B40" s="46"/>
      <c r="C40" s="46"/>
      <c r="D40" s="46"/>
    </row>
    <row r="41">
      <c r="A41" s="125" t="s">
        <v>413</v>
      </c>
      <c r="B41" s="34">
        <f>B13-(B38/2)</f>
        <v>594.8985237</v>
      </c>
      <c r="C41" s="13" t="s">
        <v>301</v>
      </c>
      <c r="D41" s="13" t="s">
        <v>414</v>
      </c>
    </row>
    <row r="42">
      <c r="A42" s="46"/>
      <c r="B42" s="46"/>
      <c r="C42" s="46"/>
      <c r="D42" s="46"/>
    </row>
    <row r="43">
      <c r="A43" s="124" t="s">
        <v>416</v>
      </c>
      <c r="B43" s="46"/>
      <c r="C43" s="46"/>
      <c r="D43" s="46"/>
    </row>
    <row r="44">
      <c r="A44" s="125" t="s">
        <v>417</v>
      </c>
      <c r="B44" s="46">
        <f>(B23/B15)/B19</f>
        <v>0.005514199063</v>
      </c>
      <c r="C44" s="46"/>
      <c r="D44" s="13" t="s">
        <v>419</v>
      </c>
    </row>
    <row r="45">
      <c r="A45" s="126"/>
      <c r="B45" s="46"/>
      <c r="C45" s="46"/>
      <c r="D45" s="46"/>
    </row>
    <row r="46">
      <c r="A46" s="125" t="s">
        <v>420</v>
      </c>
      <c r="B46" s="13">
        <f>IF(B17&lt;=50,0.0035,(2.6+35*((90-B17)/100)^4)/1000)</f>
        <v>0.00312521875</v>
      </c>
      <c r="C46" s="46"/>
      <c r="D46" s="13" t="s">
        <v>423</v>
      </c>
    </row>
    <row r="47">
      <c r="A47" s="139"/>
      <c r="B47" s="46"/>
      <c r="C47" s="46"/>
      <c r="D47" s="46"/>
    </row>
    <row r="48">
      <c r="A48" s="125" t="s">
        <v>425</v>
      </c>
      <c r="B48" s="46"/>
      <c r="C48" s="46"/>
    </row>
    <row r="49">
      <c r="A49" s="139"/>
      <c r="B49" s="46"/>
      <c r="C49" s="46"/>
      <c r="D49" s="46"/>
    </row>
    <row r="50">
      <c r="A50" s="125" t="s">
        <v>426</v>
      </c>
      <c r="B50" s="13">
        <f>B46*(B13-B39)/B39</f>
        <v>0.01139091997</v>
      </c>
      <c r="D50" s="13" t="s">
        <v>428</v>
      </c>
    </row>
    <row r="51">
      <c r="A51" s="139"/>
      <c r="B51" s="46"/>
      <c r="C51" s="46"/>
      <c r="D51" s="46"/>
    </row>
    <row r="52">
      <c r="A52" s="125" t="s">
        <v>429</v>
      </c>
      <c r="B52" s="46">
        <f>B50+B44</f>
        <v>0.01690511904</v>
      </c>
      <c r="C52" s="46"/>
      <c r="D52" s="13" t="s">
        <v>431</v>
      </c>
    </row>
    <row r="53">
      <c r="A53" s="139"/>
      <c r="B53" s="46"/>
      <c r="C53" s="46"/>
      <c r="D53" s="46"/>
    </row>
    <row r="54">
      <c r="A54" s="125" t="s">
        <v>433</v>
      </c>
      <c r="B54" s="46">
        <f>B27/(B19*1000)</f>
        <v>0.006982905983</v>
      </c>
      <c r="C54" s="46"/>
      <c r="D54" s="13" t="s">
        <v>443</v>
      </c>
    </row>
    <row r="55">
      <c r="A55" s="140" t="s">
        <v>445</v>
      </c>
      <c r="B55" s="46"/>
      <c r="C55" s="46"/>
      <c r="D55" s="46"/>
    </row>
    <row r="56">
      <c r="A56" s="125" t="s">
        <v>446</v>
      </c>
      <c r="B56" s="141" t="str">
        <f>IF(B52&gt;B54,"tendons have yielded","tendons have NOT yielded")</f>
        <v>tendons have yielded</v>
      </c>
      <c r="C56" s="46"/>
      <c r="D56" s="13" t="s">
        <v>450</v>
      </c>
    </row>
    <row r="57">
      <c r="A57" s="125" t="s">
        <v>451</v>
      </c>
      <c r="B57" s="141" t="str">
        <f>IF(B52&lt;B20,"tendons have not broken","tendons have ruptured")</f>
        <v>tendons have not broken</v>
      </c>
      <c r="C57" s="46"/>
      <c r="D57" s="13" t="s">
        <v>453</v>
      </c>
    </row>
    <row r="58">
      <c r="A58" s="125" t="s">
        <v>454</v>
      </c>
      <c r="B58" s="141" t="str">
        <f>IF(AND(B52&gt;B54,B52&lt;B20),"ductile failure","not ductile – check")</f>
        <v>ductile failure</v>
      </c>
      <c r="C58" s="13" t="str">
        <f>IF(AND(B52&gt;B54,B52&lt;B20),"✅","❌")</f>
        <v>✅</v>
      </c>
      <c r="D58" s="13" t="s">
        <v>457</v>
      </c>
    </row>
    <row r="59">
      <c r="A59" s="124" t="s">
        <v>458</v>
      </c>
      <c r="B59" s="46"/>
      <c r="C59" s="46"/>
      <c r="D59" s="46"/>
    </row>
    <row r="60">
      <c r="A60" s="125" t="s">
        <v>459</v>
      </c>
      <c r="B60" s="13">
        <f>B29*B41/1000000</f>
        <v>602.6797964</v>
      </c>
      <c r="C60" s="125" t="s">
        <v>278</v>
      </c>
      <c r="D60" s="13" t="s">
        <v>460</v>
      </c>
    </row>
    <row r="61">
      <c r="A61" s="125" t="s">
        <v>461</v>
      </c>
      <c r="B61" s="119">
        <v>644.7</v>
      </c>
      <c r="C61" s="125" t="s">
        <v>278</v>
      </c>
      <c r="D61" s="125" t="s">
        <v>462</v>
      </c>
    </row>
    <row r="62">
      <c r="A62" s="125" t="s">
        <v>463</v>
      </c>
      <c r="B62" s="142">
        <f>B60/B61</f>
        <v>0.9348220822</v>
      </c>
      <c r="C62" s="46" t="str">
        <f>IF(B60&lt;=B61,"✅","⚠")</f>
        <v>✅</v>
      </c>
      <c r="D62" s="125" t="s">
        <v>478</v>
      </c>
    </row>
    <row r="63">
      <c r="A63" s="46"/>
      <c r="B63" s="46"/>
      <c r="C63" s="46"/>
      <c r="D63" s="46"/>
    </row>
    <row r="64">
      <c r="A64" s="124" t="s">
        <v>481</v>
      </c>
      <c r="B64" s="46"/>
      <c r="C64" s="46"/>
      <c r="D64" s="46"/>
    </row>
    <row r="65">
      <c r="A65" s="125" t="s">
        <v>484</v>
      </c>
      <c r="B65" s="13">
        <v>6.0</v>
      </c>
      <c r="C65" s="13" t="s">
        <v>161</v>
      </c>
      <c r="D65" s="125" t="s">
        <v>487</v>
      </c>
    </row>
    <row r="66">
      <c r="A66" s="125" t="s">
        <v>489</v>
      </c>
      <c r="B66" s="119">
        <v>4.15</v>
      </c>
      <c r="C66" s="13" t="s">
        <v>248</v>
      </c>
      <c r="D66" s="125" t="s">
        <v>491</v>
      </c>
    </row>
    <row r="67">
      <c r="A67" s="125" t="s">
        <v>492</v>
      </c>
      <c r="B67" s="13">
        <f>B5+'ULS Combinations'!B40*B66</f>
        <v>103.91</v>
      </c>
      <c r="C67" s="46"/>
      <c r="D67" s="125" t="s">
        <v>507</v>
      </c>
    </row>
    <row r="68">
      <c r="A68" s="125" t="s">
        <v>508</v>
      </c>
      <c r="B68" s="46">
        <f>B67*B65^2/8</f>
        <v>467.595</v>
      </c>
      <c r="C68" s="46"/>
      <c r="D68" s="46"/>
    </row>
    <row r="69">
      <c r="A69" s="125" t="s">
        <v>509</v>
      </c>
      <c r="B69" s="46" t="str">
        <f>IF(B68&lt;=B60,"M_Ed ≤ M_Rd","M_Ed &gt; M_Rd")</f>
        <v>M_Ed ≤ M_Rd</v>
      </c>
      <c r="C69" s="46" t="str">
        <f>IF(B68&lt;=B60,"✅","❌")</f>
        <v>✅</v>
      </c>
      <c r="D69" s="46"/>
    </row>
    <row r="70">
      <c r="A70" s="125" t="s">
        <v>510</v>
      </c>
      <c r="B70" s="13" t="s">
        <v>511</v>
      </c>
      <c r="C70" s="46"/>
      <c r="D70" s="46"/>
    </row>
  </sheetData>
  <mergeCells count="2">
    <mergeCell ref="A1:B1"/>
    <mergeCell ref="A9:C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4" max="4" width="26.71"/>
    <col customWidth="1" min="5" max="5" width="19.0"/>
    <col customWidth="1" min="8" max="8" width="29.71"/>
    <col customWidth="1" min="9" max="9" width="20.57"/>
  </cols>
  <sheetData>
    <row r="1">
      <c r="A1" s="113" t="s">
        <v>368</v>
      </c>
    </row>
    <row r="2">
      <c r="A2" s="20" t="s">
        <v>370</v>
      </c>
      <c r="C2" s="20"/>
    </row>
    <row r="3">
      <c r="A3" s="20"/>
    </row>
    <row r="14">
      <c r="A14" s="20" t="s">
        <v>376</v>
      </c>
    </row>
    <row r="15">
      <c r="A15" s="20"/>
    </row>
    <row r="29">
      <c r="F29" s="113" t="s">
        <v>378</v>
      </c>
      <c r="H29" s="20" t="s">
        <v>379</v>
      </c>
    </row>
    <row r="30">
      <c r="H30" s="20" t="s">
        <v>380</v>
      </c>
      <c r="I30" s="20">
        <v>2.0</v>
      </c>
    </row>
    <row r="31">
      <c r="H31" s="20" t="s">
        <v>381</v>
      </c>
      <c r="I31" s="20">
        <v>0.6</v>
      </c>
    </row>
    <row r="32">
      <c r="H32" s="20" t="s">
        <v>382</v>
      </c>
      <c r="I32" s="98">
        <f>(1+(I30-1)*I31)/I30</f>
        <v>0.8</v>
      </c>
    </row>
    <row r="34">
      <c r="B34" s="136" t="s">
        <v>386</v>
      </c>
      <c r="C34" s="136" t="s">
        <v>388</v>
      </c>
      <c r="D34" s="136" t="s">
        <v>389</v>
      </c>
      <c r="E34" s="136" t="s">
        <v>390</v>
      </c>
      <c r="F34" s="136" t="s">
        <v>391</v>
      </c>
      <c r="G34" s="83" t="s">
        <v>392</v>
      </c>
    </row>
    <row r="35">
      <c r="A35" s="20" t="s">
        <v>114</v>
      </c>
      <c r="B35" s="137">
        <f>'ULS Combinations'!O9</f>
        <v>5.49</v>
      </c>
      <c r="C35" s="20">
        <f t="shared" ref="C35:C39" si="1">8*B35</f>
        <v>43.92</v>
      </c>
      <c r="D35" s="20">
        <f t="shared" ref="D35:D39" si="2">C35*6</f>
        <v>263.52</v>
      </c>
      <c r="E35" s="20">
        <f>J42</f>
        <v>19.44</v>
      </c>
      <c r="F35" s="20">
        <f t="shared" ref="F35:F39" si="3">D35+E35</f>
        <v>282.96</v>
      </c>
      <c r="G35" s="20">
        <v>282.96</v>
      </c>
    </row>
    <row r="36">
      <c r="A36" s="20" t="s">
        <v>405</v>
      </c>
      <c r="B36" s="137">
        <f>'ULS Combinations'!O20</f>
        <v>7.57</v>
      </c>
      <c r="C36" s="20">
        <f t="shared" si="1"/>
        <v>60.56</v>
      </c>
      <c r="D36" s="20">
        <f t="shared" si="2"/>
        <v>363.36</v>
      </c>
      <c r="E36" s="20">
        <f t="shared" ref="E36:E37" si="4">J42</f>
        <v>19.44</v>
      </c>
      <c r="F36" s="20">
        <f t="shared" si="3"/>
        <v>382.8</v>
      </c>
      <c r="G36" s="20">
        <v>382.8</v>
      </c>
    </row>
    <row r="37">
      <c r="A37" s="20" t="s">
        <v>408</v>
      </c>
      <c r="B37" s="137">
        <f>'ULS Combinations'!O32</f>
        <v>9.81</v>
      </c>
      <c r="C37" s="20">
        <f t="shared" si="1"/>
        <v>78.48</v>
      </c>
      <c r="D37" s="20">
        <f t="shared" si="2"/>
        <v>470.88</v>
      </c>
      <c r="E37" s="20">
        <f t="shared" si="4"/>
        <v>25.92</v>
      </c>
      <c r="F37" s="20">
        <f t="shared" si="3"/>
        <v>496.8</v>
      </c>
      <c r="G37" s="20">
        <f>496.8*I32</f>
        <v>397.44</v>
      </c>
    </row>
    <row r="38">
      <c r="A38" s="20" t="s">
        <v>411</v>
      </c>
      <c r="B38" s="137">
        <f>'ULS Combinations'!O32</f>
        <v>9.81</v>
      </c>
      <c r="C38" s="20">
        <f t="shared" si="1"/>
        <v>78.48</v>
      </c>
      <c r="D38" s="20">
        <f t="shared" si="2"/>
        <v>470.88</v>
      </c>
      <c r="E38" s="20">
        <f>J43</f>
        <v>25.92</v>
      </c>
      <c r="F38" s="20">
        <f t="shared" si="3"/>
        <v>496.8</v>
      </c>
      <c r="G38" s="20">
        <f>496.8*I32</f>
        <v>397.44</v>
      </c>
    </row>
    <row r="39">
      <c r="A39" s="20" t="s">
        <v>415</v>
      </c>
      <c r="B39" s="137">
        <f>'ULS Combinations'!O44</f>
        <v>12.47</v>
      </c>
      <c r="C39" s="20">
        <f t="shared" si="1"/>
        <v>99.76</v>
      </c>
      <c r="D39" s="20">
        <f t="shared" si="2"/>
        <v>598.56</v>
      </c>
      <c r="E39" s="20">
        <f>J43</f>
        <v>25.92</v>
      </c>
      <c r="F39" s="20">
        <f t="shared" si="3"/>
        <v>624.48</v>
      </c>
      <c r="G39" s="20">
        <v>624.4799999999999</v>
      </c>
    </row>
    <row r="41">
      <c r="E41" s="20" t="s">
        <v>418</v>
      </c>
      <c r="F41" s="98">
        <f>0.4*0.4*25*3.2*5</f>
        <v>64</v>
      </c>
      <c r="G41" s="98">
        <v>64.00000000000003</v>
      </c>
      <c r="I41" s="20" t="s">
        <v>421</v>
      </c>
    </row>
    <row r="42">
      <c r="I42" s="20" t="s">
        <v>422</v>
      </c>
      <c r="J42" s="98">
        <f>0.24*0.54*25*6</f>
        <v>19.44</v>
      </c>
      <c r="K42" s="20" t="s">
        <v>291</v>
      </c>
    </row>
    <row r="43">
      <c r="E43" s="110" t="s">
        <v>424</v>
      </c>
      <c r="F43" s="111">
        <f t="shared" ref="F43:G43" si="5">SUM(F35:F42)</f>
        <v>2347.84</v>
      </c>
      <c r="G43" s="110">
        <f t="shared" si="5"/>
        <v>2149.12</v>
      </c>
      <c r="I43" s="20" t="s">
        <v>427</v>
      </c>
      <c r="J43" s="98">
        <f>0.24*0.72*25*6</f>
        <v>25.92</v>
      </c>
      <c r="K43" s="20" t="s">
        <v>291</v>
      </c>
    </row>
    <row r="45">
      <c r="D45" s="113" t="s">
        <v>430</v>
      </c>
    </row>
    <row r="47">
      <c r="A47" s="20"/>
    </row>
    <row r="71">
      <c r="A71" s="113" t="s">
        <v>432</v>
      </c>
    </row>
    <row r="73">
      <c r="A73" s="83" t="s">
        <v>434</v>
      </c>
    </row>
    <row r="92">
      <c r="A92" s="20" t="s">
        <v>435</v>
      </c>
      <c r="B92" s="20">
        <v>40.0</v>
      </c>
      <c r="C92" s="20" t="s">
        <v>436</v>
      </c>
      <c r="D92" s="20" t="s">
        <v>437</v>
      </c>
    </row>
    <row r="93">
      <c r="A93" s="20" t="s">
        <v>438</v>
      </c>
      <c r="B93" s="20">
        <v>75.0</v>
      </c>
      <c r="C93" s="20" t="s">
        <v>436</v>
      </c>
      <c r="D93" s="20" t="s">
        <v>84</v>
      </c>
    </row>
    <row r="94">
      <c r="A94" s="20" t="s">
        <v>439</v>
      </c>
      <c r="B94" s="20">
        <v>18.33</v>
      </c>
      <c r="C94" s="20" t="s">
        <v>436</v>
      </c>
    </row>
    <row r="95">
      <c r="A95" s="20" t="s">
        <v>440</v>
      </c>
      <c r="B95" s="20">
        <v>37.5</v>
      </c>
      <c r="C95" s="20" t="s">
        <v>436</v>
      </c>
    </row>
    <row r="96">
      <c r="A96" s="20" t="s">
        <v>441</v>
      </c>
      <c r="B96" s="20">
        <v>63.3</v>
      </c>
      <c r="C96" s="20" t="s">
        <v>436</v>
      </c>
    </row>
    <row r="97">
      <c r="A97" s="20" t="s">
        <v>442</v>
      </c>
      <c r="B97" s="98">
        <f>120-B94</f>
        <v>101.67</v>
      </c>
    </row>
    <row r="98">
      <c r="A98" s="20" t="s">
        <v>444</v>
      </c>
      <c r="B98" s="98">
        <f>120-B96</f>
        <v>56.7</v>
      </c>
    </row>
    <row r="132">
      <c r="A132" s="20" t="s">
        <v>447</v>
      </c>
    </row>
    <row r="154">
      <c r="A154" s="20" t="s">
        <v>438</v>
      </c>
      <c r="B154" s="20">
        <v>150.0</v>
      </c>
      <c r="C154" s="20" t="s">
        <v>301</v>
      </c>
    </row>
    <row r="155">
      <c r="A155" s="20" t="s">
        <v>435</v>
      </c>
      <c r="B155" s="20">
        <v>40.0</v>
      </c>
      <c r="C155" s="20" t="s">
        <v>301</v>
      </c>
    </row>
    <row r="156">
      <c r="A156" s="20" t="s">
        <v>448</v>
      </c>
      <c r="B156" s="20">
        <v>740.0</v>
      </c>
      <c r="C156" s="20" t="s">
        <v>301</v>
      </c>
    </row>
    <row r="157">
      <c r="A157" s="20" t="s">
        <v>449</v>
      </c>
      <c r="B157" s="98">
        <f>(1/3)*B154-(1/2)*B155</f>
        <v>30</v>
      </c>
    </row>
    <row r="158">
      <c r="A158" s="20" t="s">
        <v>452</v>
      </c>
      <c r="B158" s="98">
        <f>(2/3*B154)+(1/2*B155)</f>
        <v>120</v>
      </c>
    </row>
    <row r="160">
      <c r="A160" s="20" t="s">
        <v>455</v>
      </c>
      <c r="B160" s="98">
        <f>(1/2*B156-(B157))</f>
        <v>340</v>
      </c>
    </row>
    <row r="161">
      <c r="A161" s="20" t="s">
        <v>456</v>
      </c>
      <c r="B161" s="98">
        <f>(1/2*B156-B158)</f>
        <v>250</v>
      </c>
    </row>
    <row r="193">
      <c r="A193" s="113" t="s">
        <v>464</v>
      </c>
    </row>
    <row r="195">
      <c r="A195" s="20" t="s">
        <v>465</v>
      </c>
    </row>
    <row r="196">
      <c r="A196" s="20" t="s">
        <v>466</v>
      </c>
    </row>
    <row r="197">
      <c r="A197" s="20" t="s">
        <v>467</v>
      </c>
    </row>
    <row r="198">
      <c r="A198" s="20" t="s">
        <v>468</v>
      </c>
    </row>
    <row r="199">
      <c r="A199" s="20" t="s">
        <v>469</v>
      </c>
    </row>
    <row r="201">
      <c r="A201" s="113" t="s">
        <v>470</v>
      </c>
    </row>
    <row r="202">
      <c r="A202" s="20" t="s">
        <v>471</v>
      </c>
    </row>
    <row r="205">
      <c r="A205" s="113" t="s">
        <v>472</v>
      </c>
    </row>
    <row r="206">
      <c r="A206" s="20" t="s">
        <v>473</v>
      </c>
    </row>
    <row r="208">
      <c r="A208" s="20" t="s">
        <v>474</v>
      </c>
    </row>
    <row r="210">
      <c r="A210" s="20" t="s">
        <v>475</v>
      </c>
    </row>
    <row r="213">
      <c r="A213" s="20" t="s">
        <v>77</v>
      </c>
    </row>
    <row r="214">
      <c r="H214" s="20" t="s">
        <v>476</v>
      </c>
      <c r="I214" s="20" t="s">
        <v>477</v>
      </c>
    </row>
    <row r="217">
      <c r="E217" s="136" t="s">
        <v>0</v>
      </c>
      <c r="F217" s="136" t="s">
        <v>479</v>
      </c>
      <c r="G217" s="136" t="s">
        <v>480</v>
      </c>
      <c r="H217" s="136" t="s">
        <v>482</v>
      </c>
      <c r="I217" s="136" t="s">
        <v>483</v>
      </c>
      <c r="J217" s="136"/>
    </row>
    <row r="218">
      <c r="E218" s="20" t="s">
        <v>114</v>
      </c>
      <c r="F218" s="20" t="s">
        <v>485</v>
      </c>
      <c r="G218" s="20" t="s">
        <v>486</v>
      </c>
      <c r="H218" s="20" t="s">
        <v>488</v>
      </c>
      <c r="I218" s="143" t="s">
        <v>490</v>
      </c>
    </row>
    <row r="219">
      <c r="E219" s="20" t="s">
        <v>493</v>
      </c>
      <c r="F219" s="20" t="s">
        <v>494</v>
      </c>
      <c r="G219" s="20" t="s">
        <v>495</v>
      </c>
      <c r="H219" s="20" t="s">
        <v>496</v>
      </c>
      <c r="I219" s="143" t="s">
        <v>497</v>
      </c>
    </row>
    <row r="220">
      <c r="E220" s="20" t="s">
        <v>498</v>
      </c>
      <c r="F220" s="20" t="s">
        <v>499</v>
      </c>
      <c r="G220" s="20" t="s">
        <v>500</v>
      </c>
      <c r="H220" s="20" t="s">
        <v>501</v>
      </c>
      <c r="I220" s="143" t="s">
        <v>502</v>
      </c>
    </row>
    <row r="221">
      <c r="E221" s="20" t="s">
        <v>503</v>
      </c>
      <c r="F221" s="20" t="s">
        <v>499</v>
      </c>
      <c r="G221" s="20" t="s">
        <v>500</v>
      </c>
      <c r="H221" s="20" t="s">
        <v>501</v>
      </c>
      <c r="I221" s="143" t="s">
        <v>502</v>
      </c>
    </row>
    <row r="222">
      <c r="E222" s="20" t="s">
        <v>77</v>
      </c>
      <c r="F222" s="20" t="s">
        <v>504</v>
      </c>
      <c r="G222" s="20" t="s">
        <v>505</v>
      </c>
      <c r="H222" s="20" t="s">
        <v>506</v>
      </c>
      <c r="I222" s="144">
        <v>46255.0</v>
      </c>
    </row>
  </sheetData>
  <drawing r:id="rId1"/>
</worksheet>
</file>