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onJung\Desktop\"/>
    </mc:Choice>
  </mc:AlternateContent>
  <bookViews>
    <workbookView xWindow="0" yWindow="0" windowWidth="23040" windowHeight="8988" tabRatio="855" activeTab="2"/>
  </bookViews>
  <sheets>
    <sheet name="COUNT" sheetId="30" r:id="rId1"/>
    <sheet name="COUNT2" sheetId="31" r:id="rId2"/>
    <sheet name="COUNT3" sheetId="2" r:id="rId3"/>
    <sheet name="SUM" sheetId="32" r:id="rId4"/>
    <sheet name="SUM2" sheetId="3" r:id="rId5"/>
    <sheet name="AVERAGE" sheetId="33" r:id="rId6"/>
    <sheet name="AVERAGE2" sheetId="4" r:id="rId7"/>
    <sheet name="SUMPRODUCT" sheetId="5" r:id="rId8"/>
    <sheet name="ROUND" sheetId="8" r:id="rId9"/>
    <sheet name="RANK" sheetId="39" r:id="rId10"/>
    <sheet name="RANK2" sheetId="1" r:id="rId11"/>
    <sheet name="ROW" sheetId="20" r:id="rId12"/>
    <sheet name="LARGE" sheetId="6" r:id="rId13"/>
    <sheet name="IF" sheetId="29" r:id="rId14"/>
    <sheet name="IF2" sheetId="23" r:id="rId15"/>
    <sheet name="IF3" sheetId="7" r:id="rId16"/>
    <sheet name="not" sheetId="24" r:id="rId17"/>
    <sheet name="LOOKUP" sheetId="42" r:id="rId18"/>
    <sheet name="VLOOKUP" sheetId="40" r:id="rId19"/>
    <sheet name="HLOOKUP" sheetId="41" r:id="rId20"/>
    <sheet name="찾기" sheetId="15" r:id="rId21"/>
    <sheet name="찾기2" sheetId="16" r:id="rId22"/>
    <sheet name="참조범위변환" sheetId="44" r:id="rId23"/>
    <sheet name="배열상수" sheetId="45" r:id="rId24"/>
    <sheet name="TEXT1" sheetId="9" r:id="rId25"/>
    <sheet name="TEXT2" sheetId="36" r:id="rId26"/>
    <sheet name="TEXT3" sheetId="37" r:id="rId27"/>
    <sheet name="직원정보" sheetId="26" r:id="rId28"/>
    <sheet name="인적사항" sheetId="27" r:id="rId29"/>
    <sheet name="concatenate" sheetId="28" r:id="rId30"/>
    <sheet name="날짜1" sheetId="11" r:id="rId31"/>
    <sheet name="날짜2" sheetId="43" r:id="rId32"/>
    <sheet name="날짜3" sheetId="12" r:id="rId33"/>
    <sheet name="weekday" sheetId="13" r:id="rId34"/>
    <sheet name="workdays" sheetId="14" r:id="rId35"/>
    <sheet name="INDIRECT" sheetId="22" r:id="rId36"/>
    <sheet name="PHONETIC" sheetId="46" r:id="rId37"/>
    <sheet name="INDEX&amp;MATCH" sheetId="47" r:id="rId38"/>
    <sheet name="INDEX활용" sheetId="48" r:id="rId39"/>
    <sheet name="복습" sheetId="10" r:id="rId40"/>
    <sheet name="복습2" sheetId="19" r:id="rId41"/>
  </sheets>
  <externalReferences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IntlFixup" hidden="1">TRUE</definedName>
    <definedName name="_1직급">#REF!</definedName>
    <definedName name="_27_Mar">#REF!</definedName>
    <definedName name="_2직급">#REF!</definedName>
    <definedName name="_3직급">#REF!</definedName>
    <definedName name="_4직급">#REF!</definedName>
    <definedName name="_5직급">#REF!</definedName>
    <definedName name="_6직급">#REF!</definedName>
    <definedName name="_Dist_Bin" hidden="1">[1]ppk!#REF!</definedName>
    <definedName name="_xlnm._FilterDatabase" localSheetId="6" hidden="1">AVERAGE2!$D$4:$D$22</definedName>
    <definedName name="_xlnm._FilterDatabase" localSheetId="15" hidden="1">'IF3'!#REF!</definedName>
    <definedName name="_xlnm._FilterDatabase" localSheetId="4" hidden="1">'SUM2'!$B$3:$F$32</definedName>
    <definedName name="_xlnm._FilterDatabase" localSheetId="28" hidden="1">인적사항!$A$1:$F$51</definedName>
    <definedName name="_xlnm._FilterDatabase" localSheetId="27" hidden="1">직원정보!$A$3:$J$53</definedName>
    <definedName name="_FLOW">#REF!</definedName>
    <definedName name="_Order1" hidden="1">255</definedName>
    <definedName name="AccessDatabase" hidden="1">"C:\My Documents\MAUI MALL1.mdb"</definedName>
    <definedName name="Actual_97">'[2]1997실적'!$D$5:$O$14</definedName>
    <definedName name="ACwvu.CapersView." hidden="1">[3]MASTER!#REF!</definedName>
    <definedName name="ACwvu.Japan_Capers_Ed_Pub." localSheetId="15" hidden="1">#REF!</definedName>
    <definedName name="ACwvu.Japan_Capers_Ed_Pub." localSheetId="12" hidden="1">#REF!</definedName>
    <definedName name="ACwvu.Japan_Capers_Ed_Pub." localSheetId="8" hidden="1">#REF!</definedName>
    <definedName name="ACwvu.Japan_Capers_Ed_Pub." localSheetId="7" hidden="1">#REF!</definedName>
    <definedName name="ACwvu.Japan_Capers_Ed_Pub." localSheetId="24" hidden="1">#REF!</definedName>
    <definedName name="ACwvu.Japan_Capers_Ed_Pub." localSheetId="39" hidden="1">#REF!</definedName>
    <definedName name="ACwvu.Japan_Capers_Ed_Pub." hidden="1">#REF!</definedName>
    <definedName name="ACwvu.KJP_CC." localSheetId="15" hidden="1">#REF!</definedName>
    <definedName name="ACwvu.KJP_CC." localSheetId="12" hidden="1">#REF!</definedName>
    <definedName name="ACwvu.KJP_CC." localSheetId="8" hidden="1">#REF!</definedName>
    <definedName name="ACwvu.KJP_CC." localSheetId="7" hidden="1">#REF!</definedName>
    <definedName name="ACwvu.KJP_CC." localSheetId="24" hidden="1">#REF!</definedName>
    <definedName name="ACwvu.KJP_CC." localSheetId="39" hidden="1">#REF!</definedName>
    <definedName name="ACwvu.KJP_CC." hidden="1">#REF!</definedName>
    <definedName name="ANIMATION_MUST_START">#REF!</definedName>
    <definedName name="anscount" hidden="1">1</definedName>
    <definedName name="b" hidden="1">OFFSET([4]제품정보!#REF!,1,0,COUNTA([4]제품정보!#REF!)-3,1)</definedName>
    <definedName name="Button_15">"MAUI_MALL_MAUI_MALLARD_INPUT_List"</definedName>
    <definedName name="Button_16">"MAUI_MALL_MAUI_MALLARD_INPUT_List"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PACITY_ANIMATION_FRAMES_PER_WEEK">#REF!</definedName>
    <definedName name="CAPACITY_INK___PAINT_FRAMES_PER_WEEK">#REF!</definedName>
    <definedName name="CAPACITY_PREP_FRAMES_PER_WEEK">#REF!</definedName>
    <definedName name="Cwvu.CapersView." hidden="1">[3]MASTER!#REF!</definedName>
    <definedName name="Cwvu.Japan_Capers_Ed_Pub." hidden="1">[3]MASTER!#REF!</definedName>
    <definedName name="Cwvu.KJP_CC." localSheetId="15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localSheetId="12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localSheetId="8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localSheetId="7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localSheetId="24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localSheetId="39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Cwvu.KJP_CC.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d" hidden="1">OFFSET([4]제품정보!#REF!,1,0,COUNTA([4]제품정보!#REF!)-3,1)</definedName>
    <definedName name="Dalmatians_Game">#REF!</definedName>
    <definedName name="_xlnm.Database">#REF!</definedName>
    <definedName name="DateRange">'[5]PRODUCTION REPORTS'!$D$4:$D$2027</definedName>
    <definedName name="ENT_OR_EDU_GROUP_INPUT">#REF!</definedName>
    <definedName name="GANT_DATE_RANGE">'[6]RESOURCE MODEL'!#REF!</definedName>
    <definedName name="GANT_PREP">'[6]RESOURCE MODEL'!#REF!,'[6]RESOURCE MODEL'!#REF!,'[6]RESOURCE MODEL'!#REF!</definedName>
    <definedName name="GANT_TOTALS_RANGE">'[6]RESOURCE MODEL'!#REF!</definedName>
    <definedName name="HOUSE">#REF!</definedName>
    <definedName name="HOUSE_CAPACITY">#REF!</definedName>
    <definedName name="HTML_CodePage" hidden="1">1252</definedName>
    <definedName name="HTML_Control" localSheetId="2" hidden="1">{"'PRODUCTIONCOST SHEET'!$B$3:$G$48"}</definedName>
    <definedName name="HTML_Control" localSheetId="15" hidden="1">{"'PRODUCTIONCOST SHEET'!$B$3:$G$48"}</definedName>
    <definedName name="HTML_Control" localSheetId="12" hidden="1">{"'PRODUCTIONCOST SHEET'!$B$3:$G$48"}</definedName>
    <definedName name="HTML_Control" localSheetId="10" hidden="1">{"'PRODUCTIONCOST SHEET'!$B$3:$G$48"}</definedName>
    <definedName name="HTML_Control" localSheetId="8" hidden="1">{"'PRODUCTIONCOST SHEET'!$B$3:$G$48"}</definedName>
    <definedName name="HTML_Control" localSheetId="7" hidden="1">{"'PRODUCTIONCOST SHEET'!$B$3:$G$48"}</definedName>
    <definedName name="HTML_Control" localSheetId="24" hidden="1">{"'PRODUCTIONCOST SHEET'!$B$3:$G$48"}</definedName>
    <definedName name="HTML_Control" localSheetId="39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NK_PAINT_MUST_START">#REF!</definedName>
    <definedName name="Jan">#REF!</definedName>
    <definedName name="kfk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limcount" hidden="1">1</definedName>
    <definedName name="LOWER_GANT">'[6]RESOURCE MODEL'!#REF!</definedName>
    <definedName name="MONTH_RANGE">#REF!</definedName>
    <definedName name="Plan_97">'[2]1997계획'!$D$5:$O$14</definedName>
    <definedName name="PLATFORM_RANGE_INPUT">#REF!</definedName>
    <definedName name="PM_Emission목록" hidden="1">OFFSET([7]관리인자!$B$29,1,0,COUNTA([7]관리인자!$B$29:'[7]관리인자'!$B$95),8)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OFFSET([7]관리인자!$O$29,1,0,COUNTA([7]관리인자!$O$29:'[7]관리인자'!$O$98),8)</definedName>
    <definedName name="PM_작성자" hidden="1">[7]개요!$H$3</definedName>
    <definedName name="PM_첨부1" hidden="1">#REF!</definedName>
    <definedName name="PM_첨부1_End" hidden="1">#REF!</definedName>
    <definedName name="PM_해체" hidden="1">[4]제품정보!#REF!</definedName>
    <definedName name="PREP_MUST_START">#REF!</definedName>
    <definedName name="Product_Name">'[5]PRODUCTION REPORTS'!$C$4:$C$1061</definedName>
    <definedName name="PROJECTED_ANIMATION_START">#REF!</definedName>
    <definedName name="RANGE_2_OR3D_INPUT">#REF!</definedName>
    <definedName name="Report_Date">'[5]PRODUCTION REPORTS'!$D$4:$D$1061</definedName>
    <definedName name="Rwvu.CapersView." localSheetId="15" hidden="1">#REF!</definedName>
    <definedName name="Rwvu.CapersView." localSheetId="12" hidden="1">#REF!</definedName>
    <definedName name="Rwvu.CapersView." localSheetId="8" hidden="1">#REF!</definedName>
    <definedName name="Rwvu.CapersView." localSheetId="7" hidden="1">#REF!</definedName>
    <definedName name="Rwvu.CapersView." localSheetId="24" hidden="1">#REF!</definedName>
    <definedName name="Rwvu.CapersView." localSheetId="39" hidden="1">#REF!</definedName>
    <definedName name="Rwvu.CapersView." hidden="1">#REF!</definedName>
    <definedName name="Rwvu.Japan_Capers_Ed_Pub." localSheetId="15" hidden="1">#REF!</definedName>
    <definedName name="Rwvu.Japan_Capers_Ed_Pub." localSheetId="12" hidden="1">#REF!</definedName>
    <definedName name="Rwvu.Japan_Capers_Ed_Pub." localSheetId="8" hidden="1">#REF!</definedName>
    <definedName name="Rwvu.Japan_Capers_Ed_Pub." localSheetId="7" hidden="1">#REF!</definedName>
    <definedName name="Rwvu.Japan_Capers_Ed_Pub." localSheetId="24" hidden="1">#REF!</definedName>
    <definedName name="Rwvu.Japan_Capers_Ed_Pub." localSheetId="39" hidden="1">#REF!</definedName>
    <definedName name="Rwvu.Japan_Capers_Ed_Pub." hidden="1">#REF!</definedName>
    <definedName name="Rwvu.KJP_CC." localSheetId="15" hidden="1">#REF!</definedName>
    <definedName name="Rwvu.KJP_CC." localSheetId="12" hidden="1">#REF!</definedName>
    <definedName name="Rwvu.KJP_CC." localSheetId="8" hidden="1">#REF!</definedName>
    <definedName name="Rwvu.KJP_CC." localSheetId="7" hidden="1">#REF!</definedName>
    <definedName name="Rwvu.KJP_CC." localSheetId="24" hidden="1">#REF!</definedName>
    <definedName name="Rwvu.KJP_CC." localSheetId="39" hidden="1">#REF!</definedName>
    <definedName name="Rwvu.KJP_CC." hidden="1">#REF!</definedName>
    <definedName name="second">#REF!</definedName>
    <definedName name="sencount" hidden="1">1</definedName>
    <definedName name="STREET_DATE_RANGE">#REF!</definedName>
    <definedName name="Swvu.CapersView." hidden="1">[3]MASTER!#REF!</definedName>
    <definedName name="Swvu.Japan_Capers_Ed_Pub." localSheetId="15" hidden="1">#REF!</definedName>
    <definedName name="Swvu.Japan_Capers_Ed_Pub." localSheetId="12" hidden="1">#REF!</definedName>
    <definedName name="Swvu.Japan_Capers_Ed_Pub." localSheetId="8" hidden="1">#REF!</definedName>
    <definedName name="Swvu.Japan_Capers_Ed_Pub." localSheetId="7" hidden="1">#REF!</definedName>
    <definedName name="Swvu.Japan_Capers_Ed_Pub." localSheetId="24" hidden="1">#REF!</definedName>
    <definedName name="Swvu.Japan_Capers_Ed_Pub." localSheetId="39" hidden="1">#REF!</definedName>
    <definedName name="Swvu.Japan_Capers_Ed_Pub." hidden="1">#REF!</definedName>
    <definedName name="Swvu.KJP_CC." localSheetId="15" hidden="1">#REF!</definedName>
    <definedName name="Swvu.KJP_CC." localSheetId="12" hidden="1">#REF!</definedName>
    <definedName name="Swvu.KJP_CC." localSheetId="8" hidden="1">#REF!</definedName>
    <definedName name="Swvu.KJP_CC." localSheetId="7" hidden="1">#REF!</definedName>
    <definedName name="Swvu.KJP_CC." localSheetId="24" hidden="1">#REF!</definedName>
    <definedName name="Swvu.KJP_CC." localSheetId="39" hidden="1">#REF!</definedName>
    <definedName name="Swvu.KJP_CC." hidden="1">#REF!</definedName>
    <definedName name="table">[8]급여표!$B$4:$K$13</definedName>
    <definedName name="TABLE_2">'[9]RADIO CONTROLS'!#REF!</definedName>
    <definedName name="TITLES_RANGE_INPUT">#REF!</definedName>
    <definedName name="TOTAL_ANIMATION_FRAMES_INPUT">#REF!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CapersPlotter." localSheetId="2" hidden="1">{#N/A,#N/A,FALSE,"DI 2 YEAR MASTER SCHEDULE"}</definedName>
    <definedName name="wrn.CapersPlotter." localSheetId="15" hidden="1">{#N/A,#N/A,FALSE,"DI 2 YEAR MASTER SCHEDULE"}</definedName>
    <definedName name="wrn.CapersPlotter." localSheetId="12" hidden="1">{#N/A,#N/A,FALSE,"DI 2 YEAR MASTER SCHEDULE"}</definedName>
    <definedName name="wrn.CapersPlotter." localSheetId="10" hidden="1">{#N/A,#N/A,FALSE,"DI 2 YEAR MASTER SCHEDULE"}</definedName>
    <definedName name="wrn.CapersPlotter." localSheetId="8" hidden="1">{#N/A,#N/A,FALSE,"DI 2 YEAR MASTER SCHEDULE"}</definedName>
    <definedName name="wrn.CapersPlotter." localSheetId="7" hidden="1">{#N/A,#N/A,FALSE,"DI 2 YEAR MASTER SCHEDULE"}</definedName>
    <definedName name="wrn.CapersPlotter." localSheetId="24" hidden="1">{#N/A,#N/A,FALSE,"DI 2 YEAR MASTER SCHEDULE"}</definedName>
    <definedName name="wrn.CapersPlotter." localSheetId="39" hidden="1">{#N/A,#N/A,FALSE,"DI 2 YEAR MASTER SCHEDULE"}</definedName>
    <definedName name="wrn.CapersPlotter.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15" hidden="1">{#N/A,#N/A,FALSE,"DI 2 YEAR MASTER SCHEDULE"}</definedName>
    <definedName name="wrn.Edutainment._.Priority._.List." localSheetId="12" hidden="1">{#N/A,#N/A,FALSE,"DI 2 YEAR MASTER SCHEDULE"}</definedName>
    <definedName name="wrn.Edutainment._.Priority._.List." localSheetId="10" hidden="1">{#N/A,#N/A,FALSE,"DI 2 YEAR MASTER SCHEDULE"}</definedName>
    <definedName name="wrn.Edutainment._.Priority._.List." localSheetId="8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24" hidden="1">{#N/A,#N/A,FALSE,"DI 2 YEAR MASTER SCHEDULE"}</definedName>
    <definedName name="wrn.Edutainment._.Priority._.List." localSheetId="39" hidden="1">{#N/A,#N/A,FALSE,"DI 2 YEAR MASTER SCHEDULE"}</definedName>
    <definedName name="wrn.Edutainment._.Priority._.List." hidden="1">{#N/A,#N/A,FALSE,"DI 2 YEAR MASTER SCHEDULE"}</definedName>
    <definedName name="wrn.Japan_Capers_Ed._.Pub." localSheetId="2" hidden="1">{"Japan_Capers_Ed_Pub",#N/A,FALSE,"DI 2 YEAR MASTER SCHEDULE"}</definedName>
    <definedName name="wrn.Japan_Capers_Ed._.Pub." localSheetId="15" hidden="1">{"Japan_Capers_Ed_Pub",#N/A,FALSE,"DI 2 YEAR MASTER SCHEDULE"}</definedName>
    <definedName name="wrn.Japan_Capers_Ed._.Pub." localSheetId="12" hidden="1">{"Japan_Capers_Ed_Pub",#N/A,FALSE,"DI 2 YEAR MASTER SCHEDULE"}</definedName>
    <definedName name="wrn.Japan_Capers_Ed._.Pub." localSheetId="10" hidden="1">{"Japan_Capers_Ed_Pub",#N/A,FALSE,"DI 2 YEAR MASTER SCHEDULE"}</definedName>
    <definedName name="wrn.Japan_Capers_Ed._.Pub." localSheetId="8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24" hidden="1">{"Japan_Capers_Ed_Pub",#N/A,FALSE,"DI 2 YEAR MASTER SCHEDULE"}</definedName>
    <definedName name="wrn.Japan_Capers_Ed._.Pub." localSheetId="39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2" hidden="1">{#N/A,#N/A,FALSE,"DI 2 YEAR MASTER SCHEDULE"}</definedName>
    <definedName name="wrn.Priority._.list." localSheetId="15" hidden="1">{#N/A,#N/A,FALSE,"DI 2 YEAR MASTER SCHEDULE"}</definedName>
    <definedName name="wrn.Priority._.list." localSheetId="12" hidden="1">{#N/A,#N/A,FALSE,"DI 2 YEAR MASTER SCHEDULE"}</definedName>
    <definedName name="wrn.Priority._.list." localSheetId="10" hidden="1">{#N/A,#N/A,FALSE,"DI 2 YEAR MASTER SCHEDULE"}</definedName>
    <definedName name="wrn.Priority._.list." localSheetId="8" hidden="1">{#N/A,#N/A,FALSE,"DI 2 YEAR MASTER SCHEDULE"}</definedName>
    <definedName name="wrn.Priority._.list." localSheetId="7" hidden="1">{#N/A,#N/A,FALSE,"DI 2 YEAR MASTER SCHEDULE"}</definedName>
    <definedName name="wrn.Priority._.list." localSheetId="24" hidden="1">{#N/A,#N/A,FALSE,"DI 2 YEAR MASTER SCHEDULE"}</definedName>
    <definedName name="wrn.Priority._.list." localSheetId="39" hidden="1">{#N/A,#N/A,FALSE,"DI 2 YEAR MASTER SCHEDULE"}</definedName>
    <definedName name="wrn.Priority._.list." hidden="1">{#N/A,#N/A,FALSE,"DI 2 YEAR MASTER SCHEDULE"}</definedName>
    <definedName name="wrn.Prjcted._.Mnthly._.Qtys." localSheetId="2" hidden="1">{#N/A,#N/A,FALSE,"PRJCTED MNTHLY QTY's"}</definedName>
    <definedName name="wrn.Prjcted._.Mnthly._.Qtys." localSheetId="15" hidden="1">{#N/A,#N/A,FALSE,"PRJCTED MNTHLY QTY's"}</definedName>
    <definedName name="wrn.Prjcted._.Mnthly._.Qtys." localSheetId="12" hidden="1">{#N/A,#N/A,FALSE,"PRJCTED MNTHLY QTY's"}</definedName>
    <definedName name="wrn.Prjcted._.Mnthly._.Qtys." localSheetId="10" hidden="1">{#N/A,#N/A,FALSE,"PRJCTED MNTHLY QTY's"}</definedName>
    <definedName name="wrn.Prjcted._.Mnthly._.Qtys." localSheetId="8" hidden="1">{#N/A,#N/A,FALSE,"PRJCTED MNTHLY QTY's"}</definedName>
    <definedName name="wrn.Prjcted._.Mnthly._.Qtys." localSheetId="7" hidden="1">{#N/A,#N/A,FALSE,"PRJCTED MNTHLY QTY's"}</definedName>
    <definedName name="wrn.Prjcted._.Mnthly._.Qtys." localSheetId="24" hidden="1">{#N/A,#N/A,FALSE,"PRJCTED MNTHLY QTY's"}</definedName>
    <definedName name="wrn.Prjcted._.Mnthly._.Qtys." localSheetId="39" hidden="1">{#N/A,#N/A,FALSE,"PRJCTED MNTHLY QTY's"}</definedName>
    <definedName name="wrn.Prjcted._.Mnthly._.Qtys." hidden="1">{#N/A,#N/A,FALSE,"PRJCTED MNTHLY QTY's"}</definedName>
    <definedName name="wrn.Prjcted._.Qtrly._.Dollars." localSheetId="2" hidden="1">{#N/A,#N/A,FALSE,"PRJCTED QTRLY $'s"}</definedName>
    <definedName name="wrn.Prjcted._.Qtrly._.Dollars." localSheetId="15" hidden="1">{#N/A,#N/A,FALSE,"PRJCTED QTRLY $'s"}</definedName>
    <definedName name="wrn.Prjcted._.Qtrly._.Dollars." localSheetId="12" hidden="1">{#N/A,#N/A,FALSE,"PRJCTED QTRLY $'s"}</definedName>
    <definedName name="wrn.Prjcted._.Qtrly._.Dollars." localSheetId="10" hidden="1">{#N/A,#N/A,FALSE,"PRJCTED QTRLY $'s"}</definedName>
    <definedName name="wrn.Prjcted._.Qtrly._.Dollars." localSheetId="8" hidden="1">{#N/A,#N/A,FALSE,"PRJCTED QTRLY $'s"}</definedName>
    <definedName name="wrn.Prjcted._.Qtrly._.Dollars." localSheetId="7" hidden="1">{#N/A,#N/A,FALSE,"PRJCTED QTRLY $'s"}</definedName>
    <definedName name="wrn.Prjcted._.Qtrly._.Dollars." localSheetId="24" hidden="1">{#N/A,#N/A,FALSE,"PRJCTED QTRLY $'s"}</definedName>
    <definedName name="wrn.Prjcted._.Qtrly._.Dollars." localSheetId="39" hidden="1">{#N/A,#N/A,FALSE,"PRJCTED QTRLY $'s"}</definedName>
    <definedName name="wrn.Prjcted._.Qtrly._.Dollars." hidden="1">{#N/A,#N/A,FALSE,"PRJCTED QTRLY $'s"}</definedName>
    <definedName name="wrn.Prjcted._.Qtrly._.Qtys." localSheetId="2" hidden="1">{#N/A,#N/A,FALSE,"PRJCTED QTRLY QTY's"}</definedName>
    <definedName name="wrn.Prjcted._.Qtrly._.Qtys." localSheetId="15" hidden="1">{#N/A,#N/A,FALSE,"PRJCTED QTRLY QTY's"}</definedName>
    <definedName name="wrn.Prjcted._.Qtrly._.Qtys." localSheetId="12" hidden="1">{#N/A,#N/A,FALSE,"PRJCTED QTRLY QTY's"}</definedName>
    <definedName name="wrn.Prjcted._.Qtrly._.Qtys." localSheetId="10" hidden="1">{#N/A,#N/A,FALSE,"PRJCTED QTRLY QTY's"}</definedName>
    <definedName name="wrn.Prjcted._.Qtrly._.Qtys." localSheetId="8" hidden="1">{#N/A,#N/A,FALSE,"PRJCTED QTRLY QTY's"}</definedName>
    <definedName name="wrn.Prjcted._.Qtrly._.Qtys." localSheetId="7" hidden="1">{#N/A,#N/A,FALSE,"PRJCTED QTRLY QTY's"}</definedName>
    <definedName name="wrn.Prjcted._.Qtrly._.Qtys." localSheetId="24" hidden="1">{#N/A,#N/A,FALSE,"PRJCTED QTRLY QTY's"}</definedName>
    <definedName name="wrn.Prjcted._.Qtrly._.Qtys." localSheetId="39" hidden="1">{#N/A,#N/A,FALSE,"PRJCTED QTRLY QTY's"}</definedName>
    <definedName name="wrn.Prjcted._.Qtrly._.Qtys." hidden="1">{#N/A,#N/A,FALSE,"PRJCTED QTRLY QTY's"}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8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39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8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39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8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39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YEAR_RANGE">#REF!</definedName>
    <definedName name="Z_9A428CE1_B4D9_11D0_A8AA_0000C071AEE7_.wvu.Cols" hidden="1">[3]MASTER!$A$1:$Q$65536,[3]MASTER!$Y$1:$Z$65536</definedName>
    <definedName name="Z_9A428CE1_B4D9_11D0_A8AA_0000C071AEE7_.wvu.PrintArea" localSheetId="15" hidden="1">#REF!</definedName>
    <definedName name="Z_9A428CE1_B4D9_11D0_A8AA_0000C071AEE7_.wvu.PrintArea" localSheetId="12" hidden="1">#REF!</definedName>
    <definedName name="Z_9A428CE1_B4D9_11D0_A8AA_0000C071AEE7_.wvu.PrintArea" localSheetId="8" hidden="1">#REF!</definedName>
    <definedName name="Z_9A428CE1_B4D9_11D0_A8AA_0000C071AEE7_.wvu.PrintArea" localSheetId="7" hidden="1">#REF!</definedName>
    <definedName name="Z_9A428CE1_B4D9_11D0_A8AA_0000C071AEE7_.wvu.PrintArea" localSheetId="24" hidden="1">#REF!</definedName>
    <definedName name="Z_9A428CE1_B4D9_11D0_A8AA_0000C071AEE7_.wvu.PrintArea" localSheetId="39" hidden="1">#REF!</definedName>
    <definedName name="Z_9A428CE1_B4D9_11D0_A8AA_0000C071AEE7_.wvu.PrintArea" hidden="1">#REF!</definedName>
    <definedName name="Z_9A428CE1_B4D9_11D0_A8AA_0000C071AEE7_.wvu.Rows" localSheetId="15" hidden="1">[3]MASTER!#REF!,[3]MASTER!#REF!,[3]MASTER!#REF!,[3]MASTER!#REF!,[3]MASTER!#REF!,[3]MASTER!#REF!,[3]MASTER!#REF!,[3]MASTER!$A$98:$IV$272</definedName>
    <definedName name="Z_9A428CE1_B4D9_11D0_A8AA_0000C071AEE7_.wvu.Rows" localSheetId="12" hidden="1">[3]MASTER!#REF!,[3]MASTER!#REF!,[3]MASTER!#REF!,[3]MASTER!#REF!,[3]MASTER!#REF!,[3]MASTER!#REF!,[3]MASTER!#REF!,[3]MASTER!$A$98:$IV$272</definedName>
    <definedName name="Z_9A428CE1_B4D9_11D0_A8AA_0000C071AEE7_.wvu.Rows" localSheetId="8" hidden="1">[3]MASTER!#REF!,[3]MASTER!#REF!,[3]MASTER!#REF!,[3]MASTER!#REF!,[3]MASTER!#REF!,[3]MASTER!#REF!,[3]MASTER!#REF!,[3]MASTER!$A$98:$IV$272</definedName>
    <definedName name="Z_9A428CE1_B4D9_11D0_A8AA_0000C071AEE7_.wvu.Rows" localSheetId="7" hidden="1">[3]MASTER!#REF!,[3]MASTER!#REF!,[3]MASTER!#REF!,[3]MASTER!#REF!,[3]MASTER!#REF!,[3]MASTER!#REF!,[3]MASTER!#REF!,[3]MASTER!$A$98:$IV$272</definedName>
    <definedName name="Z_9A428CE1_B4D9_11D0_A8AA_0000C071AEE7_.wvu.Rows" localSheetId="24" hidden="1">[3]MASTER!#REF!,[3]MASTER!#REF!,[3]MASTER!#REF!,[3]MASTER!#REF!,[3]MASTER!#REF!,[3]MASTER!#REF!,[3]MASTER!#REF!,[3]MASTER!$A$98:$IV$272</definedName>
    <definedName name="Z_9A428CE1_B4D9_11D0_A8AA_0000C071AEE7_.wvu.Rows" localSheetId="39" hidden="1">[3]MASTER!#REF!,[3]MASTER!#REF!,[3]MASTER!#REF!,[3]MASTER!#REF!,[3]MASTER!#REF!,[3]MASTER!#REF!,[3]MASTER!#REF!,[3]MASTER!$A$98:$IV$272</definedName>
    <definedName name="Z_9A428CE1_B4D9_11D0_A8AA_0000C071AEE7_.wvu.Rows" hidden="1">[3]MASTER!#REF!,[3]MASTER!#REF!,[3]MASTER!#REF!,[3]MASTER!#REF!,[3]MASTER!#REF!,[3]MASTER!#REF!,[3]MASTER!#REF!,[3]MASTER!$A$98:$IV$272</definedName>
    <definedName name="ㄱ" hidden="1">[1]ppk!#REF!</definedName>
    <definedName name="간이세액">[10]공제테이블!$C$4:$E$154</definedName>
    <definedName name="강남">OFFSET([11]동적차트!$D$3,0,0,COUNTA([11]동적차트!$D$1:$D$65536)-1)</definedName>
    <definedName name="강동">OFFSET([11]동적차트!$B$3,0,0,COUNTA([11]동적차트!$B$1:$B$65536)-1)</definedName>
    <definedName name="강북">OFFSET([11]동적차트!$E$3,0,0,COUNTA([11]동적차트!$E$1:$E$65536)-1)</definedName>
    <definedName name="강서">OFFSET([11]동적차트!$C$3,0,0,COUNTA([11]동적차트!$C$1:$C$65536)-1)</definedName>
    <definedName name="개발부">INDIRECT!$K$8:$K$13</definedName>
    <definedName name="開始時刻">[12]時刻リスト!$B$3:$O$3</definedName>
    <definedName name="거래일자">'[13]다중조건 (결과)'!$B$3:$B$54</definedName>
    <definedName name="건강보험">[10]공제테이블!$L$4:$L$16</definedName>
    <definedName name="관리부">INDIRECT!$K$18:$K$21</definedName>
    <definedName name="국민연금">[10]공제테이블!$H$4:$H$20</definedName>
    <definedName name="기능직">#REF!</definedName>
    <definedName name="기본급">[14]Sheet2!$A$3:$C$7</definedName>
    <definedName name="기본급테이블">[10]지급테이블!$B$4:$G$9</definedName>
    <definedName name="납품자">#REF!</definedName>
    <definedName name="年">[15]データ!$B$4:$B$13</definedName>
    <definedName name="단가표">[16]다중조건!#REF!</definedName>
    <definedName name="대표">#REF!</definedName>
    <definedName name="등급">#REF!</definedName>
    <definedName name="등록번호">#REF!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OFFSET([4]제품정보!#REF!,1,0,COUNTA([4]제품정보!#REF!)-3,1)</definedName>
    <definedName name="ㅁㅁㅁ" hidden="1">OFFSET([4]제품정보!#REF!,1,0,COUNTA([4]제품정보!#REF!)-3,1)</definedName>
    <definedName name="범위">'[17]데이타베이스 함수'!$G$2,'[17]데이타베이스 함수'!$G$4</definedName>
    <definedName name="범위1">'[18]데이타베이스 함수'!$G$2,'[18]데이타베이스 함수'!$G$4</definedName>
    <definedName name="변경될셀">'[19]1일'!$B$6:$B$20,'[19]1일'!$E$6:$E$20,'[19]1일'!$G$6:$G$20</definedName>
    <definedName name="브랜드">#REF!</definedName>
    <definedName name="사번">LOOKUP!$C$4:$C$12</definedName>
    <definedName name="사원번호">[10]사원현황!$A$2:$A$60</definedName>
    <definedName name="사원현황">[10]사원현황!$A$1:$G$60</definedName>
    <definedName name="삼학년">'[20]3학년입력'!$E$1:$E$65536</definedName>
    <definedName name="상품명">#REF!</definedName>
    <definedName name="상품정보">#REF!</definedName>
    <definedName name="상호">#REF!</definedName>
    <definedName name="상호1">#REF!</definedName>
    <definedName name="새일므" localSheetId="2" hidden="1">{"Japan_Capers_Ed_Pub",#N/A,FALSE,"DI 2 YEAR MASTER SCHEDULE"}</definedName>
    <definedName name="새일므" hidden="1">{"Japan_Capers_Ed_Pub",#N/A,FALSE,"DI 2 YEAR MASTER SCHEDULE"}</definedName>
    <definedName name="서울">#REF!</definedName>
    <definedName name="성과급">[21]행삽입삭제!$G$4:$H$9</definedName>
    <definedName name="성명">LOOKUP!$B$4:$B$12</definedName>
    <definedName name="성적">#REF!</definedName>
    <definedName name="성정1">[22]index_표!$A$2:$E$14</definedName>
    <definedName name="소속">LOOKUP!$F$4:$F$12</definedName>
    <definedName name="수당테이블">[10]지급테이블!$B$14:$F$15</definedName>
    <definedName name="수량">'[13]다중조건 (결과)'!$E$3:$E$54</definedName>
    <definedName name="영업부">INDIRECT!$K$14:$K$17</definedName>
    <definedName name="영업점">'[13]다중조건 (결과)'!$C$3:$C$54</definedName>
    <definedName name="월">OFFSET([11]동적차트!$A$3,0,0,COUNTA([11]동적차트!$A$1:$A$65536)-1)</definedName>
    <definedName name="月">[15]データ!$C$4:$C$15</definedName>
    <definedName name="월급여액">[10]공제테이블!$B$4:$B$154</definedName>
    <definedName name="이름">'[17]데이타베이스 함수'!$G$2,'[17]데이타베이스 함수'!$G$4</definedName>
    <definedName name="이학년">'[20]2학년입력'!$E$1:$E$65536</definedName>
    <definedName name="인수자">#REF!</definedName>
    <definedName name="일학년">'[20]1학년입력'!$E$1:$E$65536</definedName>
    <definedName name="ㅈ구" hidden="1">{#N/A,#N/A,FALSE,"DI 2 YEAR MASTER SCHEDULE"}</definedName>
    <definedName name="전화번호">#REF!</definedName>
    <definedName name="전화번호1">#REF!</definedName>
    <definedName name="제품">[23]제품목록!$A$2:$C$21</definedName>
    <definedName name="제품군">#REF!</definedName>
    <definedName name="제품코드">'[13]다중조건 (결과)'!$D$3:$D$54</definedName>
    <definedName name="조회조건">#REF!</definedName>
    <definedName name="주문목록">#REF!</definedName>
    <definedName name="주문목록_시작">#REF!</definedName>
    <definedName name="주민등록번호">LOOKUP!$D$4:$D$12</definedName>
    <definedName name="주소">LOOKUP!$E$4:$E$12</definedName>
    <definedName name="주소1">#REF!</definedName>
    <definedName name="직위">[8]급여표!$B$2:$K$3</definedName>
    <definedName name="첫번째">#REF!</definedName>
    <definedName name="총무부">INDIRECT!$K$4:$K$7</definedName>
    <definedName name="하나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학생명">#REF!</definedName>
    <definedName name="학생수">'[24]서식(결과)'!$G$5:$H$19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62913"/>
</workbook>
</file>

<file path=xl/calcChain.xml><?xml version="1.0" encoding="utf-8"?>
<calcChain xmlns="http://schemas.openxmlformats.org/spreadsheetml/2006/main">
  <c r="O7" i="19" l="1"/>
  <c r="O6" i="19"/>
  <c r="O5" i="19"/>
  <c r="N7" i="19"/>
  <c r="N6" i="19"/>
  <c r="N5" i="19"/>
  <c r="M7" i="19"/>
  <c r="M6" i="19"/>
  <c r="M5" i="19"/>
  <c r="J19" i="19"/>
  <c r="I19" i="19"/>
  <c r="H19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4" i="19"/>
  <c r="L66" i="10"/>
  <c r="L67" i="10"/>
  <c r="L68" i="10"/>
  <c r="L65" i="10"/>
  <c r="H5" i="46"/>
  <c r="H4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9" i="10"/>
  <c r="D5" i="10" l="1"/>
  <c r="D4" i="10"/>
  <c r="L7" i="47"/>
  <c r="L6" i="47"/>
  <c r="D12" i="48"/>
  <c r="J6" i="47"/>
  <c r="D10" i="47"/>
  <c r="D8" i="47"/>
  <c r="E7" i="14"/>
  <c r="E8" i="14"/>
  <c r="E9" i="14"/>
  <c r="E10" i="14"/>
  <c r="E11" i="14"/>
  <c r="E12" i="14"/>
  <c r="E13" i="14"/>
  <c r="E14" i="14"/>
  <c r="E15" i="14"/>
  <c r="E6" i="14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J28" i="46"/>
  <c r="D6" i="10" l="1"/>
  <c r="J3" i="43"/>
  <c r="J2" i="43"/>
  <c r="H7" i="11"/>
  <c r="I7" i="11"/>
  <c r="J7" i="11"/>
  <c r="H8" i="11"/>
  <c r="I8" i="11"/>
  <c r="J8" i="11"/>
  <c r="H9" i="11"/>
  <c r="I9" i="11"/>
  <c r="J9" i="11"/>
  <c r="H10" i="11"/>
  <c r="I10" i="11"/>
  <c r="J10" i="11"/>
  <c r="H11" i="11"/>
  <c r="I11" i="11"/>
  <c r="J11" i="11"/>
  <c r="H12" i="11"/>
  <c r="I12" i="11"/>
  <c r="J12" i="11"/>
  <c r="H13" i="11"/>
  <c r="I13" i="11"/>
  <c r="J13" i="11"/>
  <c r="H14" i="11"/>
  <c r="I14" i="11"/>
  <c r="J14" i="11"/>
  <c r="H15" i="11"/>
  <c r="I15" i="11"/>
  <c r="J15" i="11"/>
  <c r="H16" i="11"/>
  <c r="I16" i="11"/>
  <c r="J16" i="11"/>
  <c r="H17" i="11"/>
  <c r="I17" i="11"/>
  <c r="J17" i="11"/>
  <c r="H18" i="11"/>
  <c r="I18" i="11"/>
  <c r="J18" i="11"/>
  <c r="H19" i="11"/>
  <c r="I19" i="11"/>
  <c r="J19" i="11"/>
  <c r="J6" i="11"/>
  <c r="I6" i="11"/>
  <c r="H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6" i="11"/>
  <c r="E6" i="28"/>
  <c r="F6" i="28"/>
  <c r="E7" i="28"/>
  <c r="F7" i="28"/>
  <c r="E8" i="28"/>
  <c r="F8" i="28"/>
  <c r="E9" i="28"/>
  <c r="F9" i="28"/>
  <c r="E10" i="28"/>
  <c r="F10" i="28"/>
  <c r="E11" i="28"/>
  <c r="F11" i="28"/>
  <c r="E12" i="28"/>
  <c r="F12" i="28"/>
  <c r="E13" i="28"/>
  <c r="F13" i="28"/>
  <c r="E14" i="28"/>
  <c r="F14" i="28"/>
  <c r="E15" i="28"/>
  <c r="F15" i="28"/>
  <c r="E16" i="28"/>
  <c r="F16" i="28"/>
  <c r="E17" i="28"/>
  <c r="F17" i="28"/>
  <c r="E18" i="28"/>
  <c r="F18" i="28"/>
  <c r="E19" i="28"/>
  <c r="F19" i="28"/>
  <c r="E20" i="28"/>
  <c r="F20" i="28"/>
  <c r="E21" i="28"/>
  <c r="F21" i="28"/>
  <c r="E22" i="28"/>
  <c r="F22" i="28"/>
  <c r="F5" i="28"/>
  <c r="E5" i="28"/>
  <c r="L2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2" i="27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4" i="26"/>
  <c r="D3" i="27"/>
  <c r="D4" i="27"/>
  <c r="D5" i="27"/>
  <c r="D6" i="27"/>
  <c r="D8" i="26" s="1"/>
  <c r="E8" i="26" s="1"/>
  <c r="D7" i="27"/>
  <c r="D8" i="27"/>
  <c r="D9" i="27"/>
  <c r="D10" i="27"/>
  <c r="D12" i="26" s="1"/>
  <c r="E12" i="26" s="1"/>
  <c r="D11" i="27"/>
  <c r="D12" i="27"/>
  <c r="D13" i="27"/>
  <c r="D14" i="27"/>
  <c r="D16" i="26" s="1"/>
  <c r="E16" i="26" s="1"/>
  <c r="D15" i="27"/>
  <c r="D16" i="27"/>
  <c r="D17" i="27"/>
  <c r="D18" i="27"/>
  <c r="D20" i="26" s="1"/>
  <c r="E20" i="26" s="1"/>
  <c r="D19" i="27"/>
  <c r="D20" i="27"/>
  <c r="D21" i="27"/>
  <c r="D22" i="27"/>
  <c r="D24" i="26" s="1"/>
  <c r="E24" i="26" s="1"/>
  <c r="D23" i="27"/>
  <c r="D24" i="27"/>
  <c r="D25" i="27"/>
  <c r="D26" i="27"/>
  <c r="D28" i="26" s="1"/>
  <c r="E28" i="26" s="1"/>
  <c r="D27" i="27"/>
  <c r="D28" i="27"/>
  <c r="D29" i="27"/>
  <c r="D30" i="27"/>
  <c r="D32" i="26" s="1"/>
  <c r="E32" i="26" s="1"/>
  <c r="D31" i="27"/>
  <c r="D32" i="27"/>
  <c r="D33" i="27"/>
  <c r="D34" i="27"/>
  <c r="D36" i="26" s="1"/>
  <c r="E36" i="26" s="1"/>
  <c r="D35" i="27"/>
  <c r="D36" i="27"/>
  <c r="D37" i="27"/>
  <c r="D38" i="27"/>
  <c r="D40" i="26" s="1"/>
  <c r="E40" i="26" s="1"/>
  <c r="D39" i="27"/>
  <c r="D40" i="27"/>
  <c r="D41" i="27"/>
  <c r="D42" i="27"/>
  <c r="D44" i="26" s="1"/>
  <c r="E44" i="26" s="1"/>
  <c r="D43" i="27"/>
  <c r="D44" i="27"/>
  <c r="D45" i="27"/>
  <c r="D46" i="27"/>
  <c r="D48" i="26" s="1"/>
  <c r="E48" i="26" s="1"/>
  <c r="D47" i="27"/>
  <c r="D48" i="27"/>
  <c r="D49" i="27"/>
  <c r="D50" i="27"/>
  <c r="D52" i="26" s="1"/>
  <c r="E52" i="26" s="1"/>
  <c r="D51" i="27"/>
  <c r="D2" i="27"/>
  <c r="D4" i="26" s="1"/>
  <c r="D5" i="26"/>
  <c r="E5" i="26" s="1"/>
  <c r="D6" i="26"/>
  <c r="E6" i="26" s="1"/>
  <c r="D7" i="26"/>
  <c r="F7" i="26" s="1"/>
  <c r="D9" i="26"/>
  <c r="E9" i="26" s="1"/>
  <c r="D10" i="26"/>
  <c r="E10" i="26" s="1"/>
  <c r="D11" i="26"/>
  <c r="F11" i="26" s="1"/>
  <c r="D13" i="26"/>
  <c r="E13" i="26" s="1"/>
  <c r="D14" i="26"/>
  <c r="E14" i="26" s="1"/>
  <c r="D15" i="26"/>
  <c r="F15" i="26" s="1"/>
  <c r="D17" i="26"/>
  <c r="E17" i="26" s="1"/>
  <c r="D18" i="26"/>
  <c r="E18" i="26" s="1"/>
  <c r="D19" i="26"/>
  <c r="F19" i="26" s="1"/>
  <c r="D21" i="26"/>
  <c r="E21" i="26" s="1"/>
  <c r="D22" i="26"/>
  <c r="E22" i="26" s="1"/>
  <c r="D23" i="26"/>
  <c r="F23" i="26" s="1"/>
  <c r="D25" i="26"/>
  <c r="E25" i="26" s="1"/>
  <c r="D26" i="26"/>
  <c r="E26" i="26" s="1"/>
  <c r="D27" i="26"/>
  <c r="F27" i="26" s="1"/>
  <c r="D29" i="26"/>
  <c r="E29" i="26" s="1"/>
  <c r="D30" i="26"/>
  <c r="E30" i="26" s="1"/>
  <c r="D31" i="26"/>
  <c r="F31" i="26" s="1"/>
  <c r="D33" i="26"/>
  <c r="E33" i="26" s="1"/>
  <c r="D34" i="26"/>
  <c r="E34" i="26" s="1"/>
  <c r="D35" i="26"/>
  <c r="F35" i="26" s="1"/>
  <c r="D37" i="26"/>
  <c r="E37" i="26" s="1"/>
  <c r="D38" i="26"/>
  <c r="E38" i="26" s="1"/>
  <c r="D39" i="26"/>
  <c r="F39" i="26" s="1"/>
  <c r="D41" i="26"/>
  <c r="E41" i="26" s="1"/>
  <c r="D42" i="26"/>
  <c r="E42" i="26" s="1"/>
  <c r="D43" i="26"/>
  <c r="F43" i="26" s="1"/>
  <c r="D45" i="26"/>
  <c r="E45" i="26" s="1"/>
  <c r="D46" i="26"/>
  <c r="E46" i="26" s="1"/>
  <c r="D47" i="26"/>
  <c r="F47" i="26" s="1"/>
  <c r="D49" i="26"/>
  <c r="E49" i="26" s="1"/>
  <c r="D50" i="26"/>
  <c r="E50" i="26" s="1"/>
  <c r="D51" i="26"/>
  <c r="F51" i="26" s="1"/>
  <c r="D53" i="26"/>
  <c r="E53" i="26" s="1"/>
  <c r="H5" i="37"/>
  <c r="H6" i="37"/>
  <c r="H7" i="37"/>
  <c r="H8" i="37"/>
  <c r="H9" i="37"/>
  <c r="H10" i="37"/>
  <c r="H11" i="37"/>
  <c r="H12" i="37"/>
  <c r="H13" i="37"/>
  <c r="H4" i="37"/>
  <c r="E5" i="37"/>
  <c r="E6" i="37"/>
  <c r="E7" i="37"/>
  <c r="E8" i="37"/>
  <c r="E9" i="37"/>
  <c r="E10" i="37"/>
  <c r="E11" i="37"/>
  <c r="E12" i="37"/>
  <c r="E4" i="37"/>
  <c r="E5" i="36"/>
  <c r="F5" i="36"/>
  <c r="G5" i="36"/>
  <c r="H5" i="36"/>
  <c r="E6" i="36"/>
  <c r="F6" i="36"/>
  <c r="G6" i="36"/>
  <c r="H6" i="36"/>
  <c r="E7" i="36"/>
  <c r="F7" i="36"/>
  <c r="G7" i="36"/>
  <c r="H7" i="36"/>
  <c r="E8" i="36"/>
  <c r="F8" i="36"/>
  <c r="G8" i="36"/>
  <c r="H8" i="36"/>
  <c r="E9" i="36"/>
  <c r="F9" i="36"/>
  <c r="G9" i="36"/>
  <c r="H9" i="36"/>
  <c r="E10" i="36"/>
  <c r="F10" i="36"/>
  <c r="G10" i="36"/>
  <c r="H10" i="36"/>
  <c r="E11" i="36"/>
  <c r="F11" i="36"/>
  <c r="G11" i="36"/>
  <c r="H11" i="36"/>
  <c r="E12" i="36"/>
  <c r="F12" i="36"/>
  <c r="G12" i="36"/>
  <c r="H12" i="36"/>
  <c r="G4" i="36"/>
  <c r="H4" i="36" s="1"/>
  <c r="F4" i="36"/>
  <c r="E4" i="36"/>
  <c r="F5" i="9"/>
  <c r="F6" i="9"/>
  <c r="F7" i="9"/>
  <c r="F8" i="9"/>
  <c r="F9" i="9"/>
  <c r="F10" i="9"/>
  <c r="F11" i="9"/>
  <c r="F12" i="9"/>
  <c r="F4" i="9"/>
  <c r="G3" i="9" s="1"/>
  <c r="E5" i="9"/>
  <c r="E6" i="9"/>
  <c r="E7" i="9"/>
  <c r="E8" i="9"/>
  <c r="E9" i="9"/>
  <c r="E10" i="9"/>
  <c r="E11" i="9"/>
  <c r="E12" i="9"/>
  <c r="E4" i="9"/>
  <c r="J6" i="43" l="1"/>
  <c r="J7" i="43"/>
  <c r="J8" i="43"/>
  <c r="J9" i="43"/>
  <c r="E7" i="26"/>
  <c r="F13" i="26"/>
  <c r="E51" i="26"/>
  <c r="E47" i="26"/>
  <c r="E43" i="26"/>
  <c r="E39" i="26"/>
  <c r="E35" i="26"/>
  <c r="E31" i="26"/>
  <c r="E27" i="26"/>
  <c r="E23" i="26"/>
  <c r="E19" i="26"/>
  <c r="E15" i="26"/>
  <c r="E11" i="26"/>
  <c r="F53" i="26"/>
  <c r="F45" i="26"/>
  <c r="F37" i="26"/>
  <c r="F29" i="26"/>
  <c r="F21" i="26"/>
  <c r="F49" i="26"/>
  <c r="F41" i="26"/>
  <c r="F33" i="26"/>
  <c r="F25" i="26"/>
  <c r="F17" i="26"/>
  <c r="F9" i="26"/>
  <c r="F52" i="26"/>
  <c r="F48" i="26"/>
  <c r="F44" i="26"/>
  <c r="F40" i="26"/>
  <c r="F36" i="26"/>
  <c r="F32" i="26"/>
  <c r="F28" i="26"/>
  <c r="F24" i="26"/>
  <c r="F20" i="26"/>
  <c r="F16" i="26"/>
  <c r="F12" i="26"/>
  <c r="F8" i="26"/>
  <c r="F5" i="26"/>
  <c r="F50" i="26"/>
  <c r="F46" i="26"/>
  <c r="F42" i="26"/>
  <c r="F38" i="26"/>
  <c r="F34" i="26"/>
  <c r="F30" i="26"/>
  <c r="F26" i="26"/>
  <c r="F22" i="26"/>
  <c r="F18" i="26"/>
  <c r="F14" i="26"/>
  <c r="F10" i="26"/>
  <c r="F6" i="26"/>
  <c r="D5" i="9"/>
  <c r="D6" i="9"/>
  <c r="D7" i="9"/>
  <c r="D8" i="9"/>
  <c r="D9" i="9"/>
  <c r="D10" i="9"/>
  <c r="D11" i="9"/>
  <c r="D12" i="9"/>
  <c r="D4" i="9"/>
  <c r="C5" i="9"/>
  <c r="C6" i="9"/>
  <c r="C7" i="9"/>
  <c r="C8" i="9"/>
  <c r="C9" i="9"/>
  <c r="C10" i="9"/>
  <c r="C11" i="9"/>
  <c r="C12" i="9"/>
  <c r="C4" i="9"/>
  <c r="F5" i="41" l="1"/>
  <c r="F6" i="41"/>
  <c r="F7" i="41"/>
  <c r="F8" i="41"/>
  <c r="F9" i="41"/>
  <c r="F10" i="41"/>
  <c r="F11" i="41"/>
  <c r="F4" i="41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D5" i="44"/>
  <c r="D6" i="44"/>
  <c r="D7" i="44"/>
  <c r="D8" i="44"/>
  <c r="D9" i="44"/>
  <c r="D10" i="44"/>
  <c r="D4" i="44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4" i="16"/>
  <c r="C12" i="15"/>
  <c r="C13" i="15"/>
  <c r="C14" i="15"/>
  <c r="C15" i="15"/>
  <c r="C11" i="15"/>
  <c r="E11" i="15"/>
  <c r="D11" i="15"/>
  <c r="G8" i="15"/>
  <c r="E19" i="42"/>
  <c r="E18" i="42"/>
  <c r="E17" i="42"/>
  <c r="E16" i="42"/>
  <c r="E15" i="42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4" i="24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4" i="7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4" i="23"/>
  <c r="I12" i="6"/>
  <c r="I13" i="6"/>
  <c r="I11" i="6"/>
  <c r="I5" i="6"/>
  <c r="I6" i="6"/>
  <c r="I4" i="6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3" i="20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4" i="8"/>
  <c r="G5" i="8"/>
  <c r="G6" i="8"/>
  <c r="G7" i="8"/>
  <c r="G9" i="8"/>
  <c r="G10" i="8"/>
  <c r="G11" i="8"/>
  <c r="G13" i="8"/>
  <c r="G14" i="8"/>
  <c r="G15" i="8"/>
  <c r="G17" i="8"/>
  <c r="G18" i="8"/>
  <c r="G19" i="8"/>
  <c r="G21" i="8"/>
  <c r="G22" i="8"/>
  <c r="G23" i="8"/>
  <c r="G25" i="8"/>
  <c r="G4" i="8"/>
  <c r="D11" i="5"/>
  <c r="E11" i="5"/>
  <c r="F11" i="5"/>
  <c r="G11" i="5"/>
  <c r="H11" i="5"/>
  <c r="I11" i="5"/>
  <c r="J11" i="5"/>
  <c r="K11" i="5"/>
  <c r="L11" i="5"/>
  <c r="C11" i="5"/>
  <c r="D4" i="5"/>
  <c r="N14" i="4"/>
  <c r="N15" i="4"/>
  <c r="N16" i="4"/>
  <c r="N13" i="4"/>
  <c r="M14" i="4"/>
  <c r="M15" i="4"/>
  <c r="M16" i="4"/>
  <c r="M13" i="4"/>
  <c r="L14" i="4"/>
  <c r="L15" i="4"/>
  <c r="L16" i="4"/>
  <c r="L13" i="4"/>
  <c r="L6" i="4"/>
  <c r="L7" i="4"/>
  <c r="L8" i="4"/>
  <c r="L5" i="4"/>
  <c r="H3" i="33"/>
  <c r="H5" i="33"/>
  <c r="H4" i="33"/>
  <c r="L15" i="3"/>
  <c r="L16" i="3"/>
  <c r="L17" i="3"/>
  <c r="L18" i="3"/>
  <c r="L19" i="3"/>
  <c r="L14" i="3"/>
  <c r="K15" i="3"/>
  <c r="K16" i="3"/>
  <c r="K17" i="3"/>
  <c r="K18" i="3"/>
  <c r="K19" i="3"/>
  <c r="K14" i="3"/>
  <c r="L6" i="3"/>
  <c r="L7" i="3"/>
  <c r="L8" i="3"/>
  <c r="L9" i="3"/>
  <c r="L10" i="3"/>
  <c r="K6" i="3"/>
  <c r="K7" i="3"/>
  <c r="K8" i="3"/>
  <c r="K9" i="3"/>
  <c r="K10" i="3"/>
  <c r="K5" i="3"/>
  <c r="L5" i="3"/>
  <c r="G11" i="32"/>
  <c r="H7" i="32"/>
  <c r="H6" i="32"/>
  <c r="H5" i="32"/>
  <c r="H4" i="32"/>
  <c r="L21" i="2" a="1"/>
  <c r="L24" i="2" s="1"/>
  <c r="N14" i="2"/>
  <c r="N15" i="2"/>
  <c r="N16" i="2"/>
  <c r="N13" i="2"/>
  <c r="M14" i="2"/>
  <c r="M15" i="2"/>
  <c r="M16" i="2"/>
  <c r="M13" i="2"/>
  <c r="L14" i="2"/>
  <c r="L15" i="2"/>
  <c r="L16" i="2"/>
  <c r="L13" i="2"/>
  <c r="M8" i="2"/>
  <c r="M7" i="2"/>
  <c r="L5" i="2"/>
  <c r="L4" i="2"/>
  <c r="L3" i="2"/>
  <c r="H6" i="31"/>
  <c r="H4" i="31"/>
  <c r="H8" i="31"/>
  <c r="H7" i="31"/>
  <c r="H5" i="31"/>
  <c r="G24" i="8" l="1"/>
  <c r="G20" i="8"/>
  <c r="G16" i="8"/>
  <c r="G12" i="8"/>
  <c r="G8" i="8"/>
  <c r="L23" i="2"/>
  <c r="L26" i="2"/>
  <c r="L22" i="2"/>
  <c r="L25" i="2"/>
  <c r="L21" i="2"/>
  <c r="H20" i="45" l="1"/>
  <c r="J20" i="45" s="1"/>
  <c r="H19" i="45"/>
  <c r="J19" i="45" s="1"/>
  <c r="J18" i="45"/>
  <c r="H18" i="45"/>
  <c r="H17" i="45"/>
  <c r="J17" i="45" s="1"/>
  <c r="J16" i="45"/>
  <c r="H16" i="45"/>
  <c r="H15" i="45"/>
  <c r="J15" i="45" s="1"/>
  <c r="J14" i="45"/>
  <c r="H14" i="45"/>
  <c r="H13" i="45"/>
  <c r="J13" i="45" s="1"/>
  <c r="J12" i="45"/>
  <c r="H12" i="45"/>
  <c r="H11" i="45"/>
  <c r="J11" i="45" s="1"/>
  <c r="J10" i="45"/>
  <c r="H10" i="45"/>
  <c r="H9" i="45"/>
  <c r="J9" i="45" s="1"/>
  <c r="J8" i="45"/>
  <c r="H8" i="45"/>
  <c r="H7" i="45"/>
  <c r="J7" i="45" s="1"/>
  <c r="J6" i="45"/>
  <c r="H6" i="45"/>
  <c r="H5" i="45"/>
  <c r="J5" i="45" s="1"/>
  <c r="J4" i="45"/>
  <c r="H4" i="45"/>
  <c r="E4" i="32"/>
  <c r="E5" i="32"/>
  <c r="E6" i="32"/>
  <c r="E7" i="32"/>
  <c r="E8" i="32"/>
  <c r="E9" i="32"/>
  <c r="E10" i="32"/>
  <c r="E11" i="32"/>
  <c r="E12" i="32"/>
  <c r="E13" i="32"/>
  <c r="E14" i="32"/>
  <c r="E4" i="31"/>
  <c r="E5" i="31"/>
  <c r="E6" i="31"/>
  <c r="E7" i="31"/>
  <c r="E8" i="31"/>
  <c r="E9" i="31"/>
  <c r="E10" i="31"/>
  <c r="E11" i="31"/>
  <c r="E12" i="31"/>
  <c r="E13" i="31"/>
  <c r="F4" i="12" l="1"/>
  <c r="F8" i="12" l="1"/>
  <c r="F10" i="12"/>
  <c r="F12" i="12"/>
  <c r="F14" i="12"/>
  <c r="F16" i="12"/>
  <c r="F11" i="12"/>
  <c r="F15" i="12"/>
  <c r="E8" i="12"/>
  <c r="E12" i="12"/>
  <c r="E16" i="12"/>
  <c r="E9" i="12"/>
  <c r="E11" i="12"/>
  <c r="E13" i="12"/>
  <c r="E15" i="12"/>
  <c r="E17" i="12"/>
  <c r="F9" i="12"/>
  <c r="F13" i="12"/>
  <c r="F17" i="12"/>
  <c r="E10" i="12"/>
  <c r="E14" i="12"/>
  <c r="E7" i="12"/>
  <c r="F7" i="12"/>
  <c r="D7" i="12"/>
  <c r="D8" i="12"/>
  <c r="D12" i="12"/>
  <c r="D16" i="12"/>
  <c r="D9" i="12"/>
  <c r="D13" i="12"/>
  <c r="D17" i="12"/>
  <c r="D14" i="12"/>
  <c r="D11" i="12"/>
  <c r="D10" i="12"/>
  <c r="D15" i="12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F16" i="22" l="1"/>
  <c r="F15" i="22"/>
  <c r="F14" i="22"/>
  <c r="F13" i="22"/>
  <c r="F12" i="22"/>
  <c r="F11" i="22"/>
  <c r="F10" i="22"/>
  <c r="F9" i="22"/>
  <c r="C6" i="22" s="1"/>
  <c r="G7" i="13" l="1"/>
  <c r="G9" i="13"/>
  <c r="G11" i="13"/>
  <c r="G13" i="13"/>
  <c r="G15" i="13"/>
  <c r="G17" i="13"/>
  <c r="G4" i="13"/>
  <c r="G6" i="13"/>
  <c r="A20" i="15"/>
  <c r="A19" i="15"/>
  <c r="A18" i="15"/>
  <c r="A17" i="15"/>
  <c r="A16" i="15"/>
  <c r="A15" i="15"/>
  <c r="A14" i="15"/>
  <c r="A13" i="15"/>
  <c r="A12" i="15"/>
  <c r="A11" i="15"/>
  <c r="C7" i="15"/>
  <c r="D15" i="14"/>
  <c r="D14" i="14"/>
  <c r="D13" i="14"/>
  <c r="D12" i="14"/>
  <c r="D11" i="14"/>
  <c r="D10" i="14"/>
  <c r="D9" i="14"/>
  <c r="D8" i="14"/>
  <c r="D7" i="14"/>
  <c r="D6" i="14"/>
  <c r="G16" i="13"/>
  <c r="G14" i="13"/>
  <c r="G12" i="13"/>
  <c r="G10" i="13"/>
  <c r="G8" i="13"/>
  <c r="G5" i="13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F4" i="6"/>
  <c r="F5" i="6"/>
  <c r="F6" i="6"/>
  <c r="F7" i="6"/>
  <c r="F8" i="6"/>
  <c r="F9" i="6"/>
  <c r="F10" i="6"/>
  <c r="F11" i="6"/>
  <c r="F12" i="6"/>
  <c r="F13" i="6"/>
  <c r="F14" i="6"/>
  <c r="F15" i="6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4" i="2" l="1"/>
  <c r="G5" i="2"/>
  <c r="G6" i="2"/>
  <c r="G7" i="2"/>
  <c r="G8" i="2"/>
  <c r="G9" i="2"/>
  <c r="L6" i="2" s="1"/>
  <c r="G10" i="2"/>
  <c r="G11" i="2"/>
  <c r="G12" i="2"/>
  <c r="G13" i="2"/>
  <c r="G14" i="2"/>
  <c r="G15" i="2"/>
  <c r="G16" i="2"/>
  <c r="G17" i="2"/>
  <c r="G18" i="2"/>
  <c r="G19" i="2"/>
  <c r="G20" i="2"/>
  <c r="G21" i="2"/>
  <c r="D16" i="1"/>
  <c r="D15" i="1"/>
  <c r="D14" i="1"/>
  <c r="D13" i="1"/>
  <c r="D12" i="1"/>
  <c r="D11" i="1"/>
  <c r="D10" i="1"/>
  <c r="D9" i="1"/>
  <c r="D8" i="1"/>
  <c r="D7" i="1"/>
  <c r="D6" i="1"/>
  <c r="D5" i="1"/>
  <c r="E4" i="26"/>
  <c r="F4" i="26"/>
</calcChain>
</file>

<file path=xl/comments1.xml><?xml version="1.0" encoding="utf-8"?>
<comments xmlns="http://schemas.openxmlformats.org/spreadsheetml/2006/main">
  <authors>
    <author>unisong</author>
    <author>최미옥</author>
  </authors>
  <commentList>
    <comment ref="F3" authorId="0" shapeId="0">
      <text>
        <r>
          <rPr>
            <b/>
            <sz val="9"/>
            <color indexed="81"/>
            <rFont val="돋움"/>
            <family val="3"/>
            <charset val="129"/>
          </rPr>
          <t>평균이</t>
        </r>
        <r>
          <rPr>
            <b/>
            <sz val="9"/>
            <color indexed="81"/>
            <rFont val="Tahoma"/>
            <family val="2"/>
          </rPr>
          <t xml:space="preserve"> 70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이상이면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합격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불합격</t>
        </r>
        <r>
          <rPr>
            <b/>
            <sz val="9"/>
            <color indexed="81"/>
            <rFont val="Tahoma"/>
            <family val="2"/>
          </rPr>
          <t>"</t>
        </r>
      </text>
    </comment>
    <comment ref="G3" authorId="0" shapeId="0">
      <text>
        <r>
          <rPr>
            <b/>
            <sz val="9"/>
            <color indexed="81"/>
            <rFont val="돋움"/>
            <family val="3"/>
            <charset val="129"/>
          </rPr>
          <t>평균이</t>
        </r>
        <r>
          <rPr>
            <b/>
            <sz val="9"/>
            <color indexed="81"/>
            <rFont val="Tahoma"/>
            <family val="2"/>
          </rPr>
          <t xml:space="preserve"> 80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이상이면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" 60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이상이면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"
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b/>
            <sz val="9"/>
            <color indexed="81"/>
            <rFont val="Tahoma"/>
            <family val="2"/>
          </rPr>
          <t>"</t>
        </r>
      </text>
    </comment>
    <comment ref="H3" authorId="0" shapeId="0">
      <text>
        <r>
          <rPr>
            <b/>
            <sz val="9"/>
            <color indexed="81"/>
            <rFont val="돋움"/>
            <family val="3"/>
            <charset val="129"/>
          </rPr>
          <t>전공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영어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상식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80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이상이면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합격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과락</t>
        </r>
        <r>
          <rPr>
            <b/>
            <sz val="9"/>
            <color indexed="81"/>
            <rFont val="Tahoma"/>
            <family val="2"/>
          </rPr>
          <t>"</t>
        </r>
      </text>
    </comment>
    <comment ref="D19" authorId="1" shapeId="0">
      <text>
        <r>
          <rPr>
            <b/>
            <sz val="10"/>
            <color indexed="81"/>
            <rFont val="맑은 고딕"/>
            <family val="3"/>
            <charset val="129"/>
          </rPr>
          <t>[판매]가 [목표] 보다 크면 "달성" 아니면 "미달"</t>
        </r>
      </text>
    </comment>
    <comment ref="E19" authorId="1" shapeId="0">
      <text>
        <r>
          <rPr>
            <b/>
            <sz val="10"/>
            <color indexed="81"/>
            <rFont val="맑은 고딕"/>
            <family val="3"/>
            <charset val="129"/>
          </rPr>
          <t>판매가 목표보다크면"▲"입력하고 그렇지 않으면"▼"를입력하세요</t>
        </r>
      </text>
    </comment>
  </commentList>
</comments>
</file>

<file path=xl/comments2.xml><?xml version="1.0" encoding="utf-8"?>
<comments xmlns="http://schemas.openxmlformats.org/spreadsheetml/2006/main">
  <authors>
    <author>김경자</author>
  </authors>
  <commentList>
    <comment ref="D3" authorId="0" shapeId="0">
      <text>
        <r>
          <rPr>
            <sz val="9"/>
            <color indexed="81"/>
            <rFont val="돋움"/>
            <family val="3"/>
            <charset val="129"/>
          </rPr>
          <t>근무지가 서울이 아니면 
출장비 50,000원 지급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K3" authorId="0" shapeId="0">
      <text>
        <r>
          <rPr>
            <b/>
            <sz val="11"/>
            <color indexed="81"/>
            <rFont val="돋움"/>
            <family val="3"/>
            <charset val="129"/>
          </rPr>
          <t>성과급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조견표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참조범위를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삭제하려면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팀별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매출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및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성과급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표의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성과급을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계산</t>
        </r>
        <r>
          <rPr>
            <b/>
            <sz val="11"/>
            <color indexed="81"/>
            <rFont val="돋움"/>
            <family val="3"/>
            <charset val="129"/>
          </rPr>
          <t>한</t>
        </r>
        <r>
          <rPr>
            <b/>
            <sz val="11"/>
            <color indexed="81"/>
            <rFont val="Tahoma"/>
            <family val="2"/>
          </rPr>
          <t xml:space="preserve"> Vlookup </t>
        </r>
        <r>
          <rPr>
            <b/>
            <sz val="11"/>
            <color indexed="81"/>
            <rFont val="돋움"/>
            <family val="3"/>
            <charset val="129"/>
          </rPr>
          <t>함수에서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참조범위를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배열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상수로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변환해야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한다</t>
        </r>
        <r>
          <rPr>
            <b/>
            <sz val="11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N3" authorId="0" shapeId="0">
      <text>
        <r>
          <rPr>
            <b/>
            <sz val="10"/>
            <color indexed="81"/>
            <rFont val="Tahoma"/>
            <family val="2"/>
          </rPr>
          <t>K</t>
        </r>
        <r>
          <rPr>
            <b/>
            <sz val="10"/>
            <color indexed="81"/>
            <rFont val="돋움"/>
            <family val="3"/>
            <charset val="129"/>
          </rPr>
          <t>열에</t>
        </r>
        <r>
          <rPr>
            <b/>
            <sz val="10"/>
            <color indexed="81"/>
            <rFont val="Tahoma"/>
            <family val="2"/>
          </rPr>
          <t xml:space="preserve"> '</t>
        </r>
        <r>
          <rPr>
            <b/>
            <sz val="10"/>
            <color indexed="81"/>
            <rFont val="돋움"/>
            <family val="3"/>
            <charset val="129"/>
          </rPr>
          <t>납기</t>
        </r>
        <r>
          <rPr>
            <b/>
            <sz val="10"/>
            <color indexed="81"/>
            <rFont val="Tahoma"/>
            <family val="2"/>
          </rPr>
          <t>'</t>
        </r>
        <r>
          <rPr>
            <b/>
            <sz val="10"/>
            <color indexed="81"/>
            <rFont val="돋움"/>
            <family val="3"/>
            <charset val="129"/>
          </rPr>
          <t>부터</t>
        </r>
        <r>
          <rPr>
            <b/>
            <sz val="10"/>
            <color indexed="81"/>
            <rFont val="Tahoma"/>
            <family val="2"/>
          </rPr>
          <t xml:space="preserve"> '</t>
        </r>
        <r>
          <rPr>
            <b/>
            <sz val="10"/>
            <color indexed="81"/>
            <rFont val="돋움"/>
            <family val="3"/>
            <charset val="129"/>
          </rPr>
          <t>윤리경영</t>
        </r>
        <r>
          <rPr>
            <b/>
            <sz val="10"/>
            <color indexed="81"/>
            <rFont val="Tahoma"/>
            <family val="2"/>
          </rPr>
          <t xml:space="preserve">' </t>
        </r>
        <r>
          <rPr>
            <b/>
            <sz val="10"/>
            <color indexed="81"/>
            <rFont val="돋움"/>
            <family val="3"/>
            <charset val="129"/>
          </rPr>
          <t>점수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높은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점수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세개의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항목에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평균을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산출</t>
        </r>
        <r>
          <rPr>
            <b/>
            <sz val="10"/>
            <color indexed="81"/>
            <rFont val="Tahoma"/>
            <family val="2"/>
          </rPr>
          <t xml:space="preserve">(AVERAGE, LARGE </t>
        </r>
        <r>
          <rPr>
            <b/>
            <sz val="10"/>
            <color indexed="81"/>
            <rFont val="돋움"/>
            <family val="3"/>
            <charset val="129"/>
          </rPr>
          <t>함수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</t>
        </r>
        <r>
          <rPr>
            <b/>
            <sz val="10"/>
            <color indexed="81"/>
            <rFont val="Tahoma"/>
            <family val="2"/>
          </rPr>
          <t xml:space="preserve">)
 * Large </t>
        </r>
        <r>
          <rPr>
            <b/>
            <sz val="10"/>
            <color indexed="81"/>
            <rFont val="돋움"/>
            <family val="3"/>
            <charset val="129"/>
          </rPr>
          <t>함수의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두번째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인수에</t>
        </r>
        <r>
          <rPr>
            <b/>
            <sz val="10"/>
            <color indexed="81"/>
            <rFont val="Tahoma"/>
            <family val="2"/>
          </rPr>
          <t xml:space="preserve"> {} </t>
        </r>
        <r>
          <rPr>
            <b/>
            <sz val="10"/>
            <color indexed="81"/>
            <rFont val="돋움"/>
            <family val="3"/>
            <charset val="129"/>
          </rPr>
          <t>이용한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베열상수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</t>
        </r>
      </text>
    </comment>
  </commentList>
</comments>
</file>

<file path=xl/comments5.xml><?xml version="1.0" encoding="utf-8"?>
<comments xmlns="http://schemas.openxmlformats.org/spreadsheetml/2006/main">
  <authors>
    <author>YIMJY</author>
  </authors>
  <commentList>
    <comment ref="D8" authorId="0" shapeId="0">
      <text>
        <r>
          <rPr>
            <b/>
            <sz val="9"/>
            <color indexed="81"/>
            <rFont val="굴림"/>
            <family val="3"/>
            <charset val="129"/>
          </rPr>
          <t>[D8]</t>
        </r>
        <r>
          <rPr>
            <sz val="9"/>
            <color indexed="81"/>
            <rFont val="굴림"/>
            <family val="3"/>
            <charset val="129"/>
          </rPr>
          <t xml:space="preserve">
  - 광주가 위치한 행 번호</t>
        </r>
      </text>
    </comment>
    <comment ref="D10" authorId="0" shapeId="0">
      <text>
        <r>
          <rPr>
            <b/>
            <sz val="9"/>
            <color indexed="81"/>
            <rFont val="굴림"/>
            <family val="3"/>
            <charset val="129"/>
          </rPr>
          <t>[D10]</t>
        </r>
        <r>
          <rPr>
            <sz val="9"/>
            <color indexed="81"/>
            <rFont val="굴림"/>
            <family val="3"/>
            <charset val="129"/>
          </rPr>
          <t xml:space="preserve">
  - 5번째 위치한 자료값</t>
        </r>
      </text>
    </comment>
  </commentList>
</comments>
</file>

<file path=xl/comments6.xml><?xml version="1.0" encoding="utf-8"?>
<comments xmlns="http://schemas.openxmlformats.org/spreadsheetml/2006/main">
  <authors>
    <author>YIMJY</author>
  </authors>
  <commentList>
    <comment ref="D12" authorId="0" shapeId="0">
      <text>
        <r>
          <rPr>
            <b/>
            <sz val="9"/>
            <color indexed="81"/>
            <rFont val="굴림"/>
            <family val="3"/>
            <charset val="129"/>
          </rPr>
          <t>[D12]</t>
        </r>
        <r>
          <rPr>
            <sz val="9"/>
            <color indexed="81"/>
            <rFont val="굴림"/>
            <family val="3"/>
            <charset val="129"/>
          </rPr>
          <t xml:space="preserve">
  - 출발지와 도착지의 위치를 찾아 해당 운임값을 출력</t>
        </r>
      </text>
    </comment>
  </commentList>
</comments>
</file>

<file path=xl/sharedStrings.xml><?xml version="1.0" encoding="utf-8"?>
<sst xmlns="http://schemas.openxmlformats.org/spreadsheetml/2006/main" count="2861" uniqueCount="1911">
  <si>
    <t>1월 지점별 실적집계</t>
    <phoneticPr fontId="9" type="noConversion"/>
  </si>
  <si>
    <t>지점명</t>
    <phoneticPr fontId="9" type="noConversion"/>
  </si>
  <si>
    <t>생활용품</t>
    <phoneticPr fontId="9" type="noConversion"/>
  </si>
  <si>
    <t>가전용품</t>
    <phoneticPr fontId="9" type="noConversion"/>
  </si>
  <si>
    <t>합계</t>
    <phoneticPr fontId="9" type="noConversion"/>
  </si>
  <si>
    <t>순위</t>
    <phoneticPr fontId="9" type="noConversion"/>
  </si>
  <si>
    <t>RANK.EQ</t>
    <phoneticPr fontId="9" type="noConversion"/>
  </si>
  <si>
    <t>RANK.AVG</t>
    <phoneticPr fontId="9" type="noConversion"/>
  </si>
  <si>
    <t>강변점</t>
    <phoneticPr fontId="9" type="noConversion"/>
  </si>
  <si>
    <t>영등포점</t>
    <phoneticPr fontId="9" type="noConversion"/>
  </si>
  <si>
    <t>서울역점</t>
    <phoneticPr fontId="9" type="noConversion"/>
  </si>
  <si>
    <t>금천점</t>
    <phoneticPr fontId="9" type="noConversion"/>
  </si>
  <si>
    <t>도봉점</t>
    <phoneticPr fontId="9" type="noConversion"/>
  </si>
  <si>
    <t>연수점</t>
    <phoneticPr fontId="9" type="noConversion"/>
  </si>
  <si>
    <t>주엽점</t>
    <phoneticPr fontId="9" type="noConversion"/>
  </si>
  <si>
    <t>오산점</t>
    <phoneticPr fontId="9" type="noConversion"/>
  </si>
  <si>
    <t>부평점</t>
    <phoneticPr fontId="9" type="noConversion"/>
  </si>
  <si>
    <t>구리점</t>
    <phoneticPr fontId="9" type="noConversion"/>
  </si>
  <si>
    <t>의왕점</t>
    <phoneticPr fontId="9" type="noConversion"/>
  </si>
  <si>
    <t>의정부점</t>
    <phoneticPr fontId="9" type="noConversion"/>
  </si>
  <si>
    <t>중</t>
    <phoneticPr fontId="35" type="noConversion"/>
  </si>
  <si>
    <t>B</t>
    <phoneticPr fontId="9" type="noConversion"/>
  </si>
  <si>
    <t>이덕구</t>
    <phoneticPr fontId="35" type="noConversion"/>
  </si>
  <si>
    <t>전산실</t>
    <phoneticPr fontId="9" type="noConversion"/>
  </si>
  <si>
    <t>상</t>
    <phoneticPr fontId="35" type="noConversion"/>
  </si>
  <si>
    <t>A</t>
    <phoneticPr fontId="9" type="noConversion"/>
  </si>
  <si>
    <t>이한구</t>
    <phoneticPr fontId="35" type="noConversion"/>
  </si>
  <si>
    <t>하</t>
    <phoneticPr fontId="35" type="noConversion"/>
  </si>
  <si>
    <t>이혜정</t>
    <phoneticPr fontId="9" type="noConversion"/>
  </si>
  <si>
    <t>중</t>
    <phoneticPr fontId="35" type="noConversion"/>
  </si>
  <si>
    <t>표경민</t>
    <phoneticPr fontId="9" type="noConversion"/>
  </si>
  <si>
    <t>D</t>
    <phoneticPr fontId="9" type="noConversion"/>
  </si>
  <si>
    <t>김판철</t>
    <phoneticPr fontId="9" type="noConversion"/>
  </si>
  <si>
    <t>관리팀</t>
    <phoneticPr fontId="9" type="noConversion"/>
  </si>
  <si>
    <t>D</t>
    <phoneticPr fontId="35" type="noConversion"/>
  </si>
  <si>
    <t>C</t>
    <phoneticPr fontId="9" type="noConversion"/>
  </si>
  <si>
    <t>홍의진</t>
    <phoneticPr fontId="9" type="noConversion"/>
  </si>
  <si>
    <t>C</t>
    <phoneticPr fontId="35" type="noConversion"/>
  </si>
  <si>
    <t>김민수</t>
    <phoneticPr fontId="9" type="noConversion"/>
  </si>
  <si>
    <t>B</t>
    <phoneticPr fontId="35" type="noConversion"/>
  </si>
  <si>
    <t>정길수</t>
    <phoneticPr fontId="9" type="noConversion"/>
  </si>
  <si>
    <t>인사팀</t>
    <phoneticPr fontId="9" type="noConversion"/>
  </si>
  <si>
    <t>A</t>
    <phoneticPr fontId="35" type="noConversion"/>
  </si>
  <si>
    <t>한명희</t>
    <phoneticPr fontId="9" type="noConversion"/>
  </si>
  <si>
    <t>장정희</t>
    <phoneticPr fontId="9" type="noConversion"/>
  </si>
  <si>
    <t xml:space="preserve">             프로젝트고과평가</t>
    <phoneticPr fontId="35" type="noConversion"/>
  </si>
  <si>
    <t>이언욱</t>
    <phoneticPr fontId="9" type="noConversion"/>
  </si>
  <si>
    <t>각과목(프로젝트,고과평가) 집계표</t>
    <phoneticPr fontId="35" type="noConversion"/>
  </si>
  <si>
    <t>이영철</t>
    <phoneticPr fontId="9" type="noConversion"/>
  </si>
  <si>
    <t>생산관리팀</t>
    <phoneticPr fontId="9" type="noConversion"/>
  </si>
  <si>
    <t>이영실</t>
    <phoneticPr fontId="9" type="noConversion"/>
  </si>
  <si>
    <t>직무평가 우수자(80점 이상, A)</t>
    <phoneticPr fontId="9" type="noConversion"/>
  </si>
  <si>
    <t>구상모</t>
    <phoneticPr fontId="9" type="noConversion"/>
  </si>
  <si>
    <t>능력시험 우수자(80점 이상)</t>
    <phoneticPr fontId="9" type="noConversion"/>
  </si>
  <si>
    <t>김영실</t>
    <phoneticPr fontId="9" type="noConversion"/>
  </si>
  <si>
    <t>최종합격인원</t>
    <phoneticPr fontId="9" type="noConversion"/>
  </si>
  <si>
    <t>이상민</t>
    <phoneticPr fontId="9" type="noConversion"/>
  </si>
  <si>
    <t>구매팀</t>
    <phoneticPr fontId="9" type="noConversion"/>
  </si>
  <si>
    <t>능력시험 결시자</t>
    <phoneticPr fontId="9" type="noConversion"/>
  </si>
  <si>
    <t>김도규</t>
    <phoneticPr fontId="9" type="noConversion"/>
  </si>
  <si>
    <t>능력시험 응시자</t>
    <phoneticPr fontId="9" type="noConversion"/>
  </si>
  <si>
    <t>박기봉</t>
    <phoneticPr fontId="9" type="noConversion"/>
  </si>
  <si>
    <t>전체 인원수</t>
    <phoneticPr fontId="9" type="noConversion"/>
  </si>
  <si>
    <t>심사결과</t>
    <phoneticPr fontId="9" type="noConversion"/>
  </si>
  <si>
    <t>프로젝트평가</t>
    <phoneticPr fontId="9" type="noConversion"/>
  </si>
  <si>
    <t>업무평가</t>
    <phoneticPr fontId="9" type="noConversion"/>
  </si>
  <si>
    <t>능력시험</t>
    <phoneticPr fontId="9" type="noConversion"/>
  </si>
  <si>
    <t>성명</t>
    <phoneticPr fontId="9" type="noConversion"/>
  </si>
  <si>
    <t>부서</t>
    <phoneticPr fontId="9" type="noConversion"/>
  </si>
  <si>
    <t>점수</t>
    <phoneticPr fontId="35" type="noConversion"/>
  </si>
  <si>
    <t>인원수</t>
    <phoneticPr fontId="35" type="noConversion"/>
  </si>
  <si>
    <t>능력시험 점수분포표</t>
    <phoneticPr fontId="35" type="noConversion"/>
  </si>
  <si>
    <t>경기도</t>
  </si>
  <si>
    <t>남</t>
  </si>
  <si>
    <t>구재석</t>
  </si>
  <si>
    <t>박영아</t>
  </si>
  <si>
    <t>서울특별시</t>
  </si>
  <si>
    <t>정가진</t>
  </si>
  <si>
    <t>여</t>
  </si>
  <si>
    <t>장선희</t>
  </si>
  <si>
    <t>안재혁</t>
  </si>
  <si>
    <t>박춘심</t>
  </si>
  <si>
    <t>인천광역시</t>
  </si>
  <si>
    <t>호혜경</t>
  </si>
  <si>
    <t>이혜준</t>
  </si>
  <si>
    <t>박찬희</t>
  </si>
  <si>
    <t>김한영</t>
  </si>
  <si>
    <t>전라북도</t>
  </si>
  <si>
    <t>최춘실</t>
  </si>
  <si>
    <t>마창진</t>
  </si>
  <si>
    <t>최한기</t>
  </si>
  <si>
    <t>부산광역시</t>
  </si>
  <si>
    <t>하사헌</t>
  </si>
  <si>
    <t>강태준</t>
  </si>
  <si>
    <t>조자룡</t>
  </si>
  <si>
    <t>천용만</t>
  </si>
  <si>
    <t>대전광역시</t>
  </si>
  <si>
    <t>황영신</t>
  </si>
  <si>
    <t>민병철</t>
  </si>
  <si>
    <t>여</t>
    <phoneticPr fontId="35" type="noConversion"/>
  </si>
  <si>
    <t>남</t>
    <phoneticPr fontId="35" type="noConversion"/>
  </si>
  <si>
    <t>영업지역</t>
    <phoneticPr fontId="35" type="noConversion"/>
  </si>
  <si>
    <t>강미란</t>
  </si>
  <si>
    <t>2. 영업지역별, 성별 매출액 집계</t>
    <phoneticPr fontId="35" type="noConversion"/>
  </si>
  <si>
    <t>장미자</t>
  </si>
  <si>
    <t>황길호</t>
  </si>
  <si>
    <t>강민수</t>
  </si>
  <si>
    <t>심영국</t>
  </si>
  <si>
    <t>김혜린</t>
  </si>
  <si>
    <t>임홍삼</t>
  </si>
  <si>
    <t>전준호</t>
  </si>
  <si>
    <t>미수금합계</t>
    <phoneticPr fontId="35" type="noConversion"/>
  </si>
  <si>
    <t>매출액합계</t>
    <phoneticPr fontId="35" type="noConversion"/>
  </si>
  <si>
    <t>마은성</t>
  </si>
  <si>
    <t>1. 영업지역별 매출액과 미수금 집계</t>
    <phoneticPr fontId="35" type="noConversion"/>
  </si>
  <si>
    <t>미수금</t>
    <phoneticPr fontId="35" type="noConversion"/>
  </si>
  <si>
    <t>매출액</t>
    <phoneticPr fontId="35" type="noConversion"/>
  </si>
  <si>
    <t>성별</t>
    <phoneticPr fontId="35" type="noConversion"/>
  </si>
  <si>
    <t>성명</t>
  </si>
  <si>
    <t>사원별 매출현황</t>
    <phoneticPr fontId="35" type="noConversion"/>
  </si>
  <si>
    <t>연구직</t>
    <phoneticPr fontId="35" type="noConversion"/>
  </si>
  <si>
    <t>인도법인</t>
    <phoneticPr fontId="35" type="noConversion"/>
  </si>
  <si>
    <t>D1632</t>
    <phoneticPr fontId="35" type="noConversion"/>
  </si>
  <si>
    <t>이은향</t>
    <phoneticPr fontId="35" type="noConversion"/>
  </si>
  <si>
    <t>기능직</t>
    <phoneticPr fontId="35" type="noConversion"/>
  </si>
  <si>
    <t>품질관리</t>
    <phoneticPr fontId="35" type="noConversion"/>
  </si>
  <si>
    <t>E1345</t>
    <phoneticPr fontId="35" type="noConversion"/>
  </si>
  <si>
    <t>이승민</t>
    <phoneticPr fontId="35" type="noConversion"/>
  </si>
  <si>
    <t>생산팀</t>
    <phoneticPr fontId="35" type="noConversion"/>
  </si>
  <si>
    <t>A1122</t>
  </si>
  <si>
    <t>양동하</t>
    <phoneticPr fontId="35" type="noConversion"/>
  </si>
  <si>
    <t>강광석</t>
    <phoneticPr fontId="35" type="noConversion"/>
  </si>
  <si>
    <t>사무직</t>
    <phoneticPr fontId="35" type="noConversion"/>
  </si>
  <si>
    <t>강진호</t>
    <phoneticPr fontId="35" type="noConversion"/>
  </si>
  <si>
    <t>이민기</t>
    <phoneticPr fontId="35" type="noConversion"/>
  </si>
  <si>
    <t>강충식</t>
    <phoneticPr fontId="35" type="noConversion"/>
  </si>
  <si>
    <t>경영혁신팀</t>
  </si>
  <si>
    <t>이선균</t>
    <phoneticPr fontId="35" type="noConversion"/>
  </si>
  <si>
    <t>양민평</t>
    <phoneticPr fontId="35" type="noConversion"/>
  </si>
  <si>
    <t>A1111</t>
    <phoneticPr fontId="35" type="noConversion"/>
  </si>
  <si>
    <t>김민원</t>
    <phoneticPr fontId="35" type="noConversion"/>
  </si>
  <si>
    <t>구분</t>
    <phoneticPr fontId="35" type="noConversion"/>
  </si>
  <si>
    <t>고봉수</t>
    <phoneticPr fontId="35" type="noConversion"/>
  </si>
  <si>
    <t>2. 부서별 직급별 평균 집계</t>
    <phoneticPr fontId="35" type="noConversion"/>
  </si>
  <si>
    <t>이지혁</t>
    <phoneticPr fontId="35" type="noConversion"/>
  </si>
  <si>
    <t>양창수</t>
    <phoneticPr fontId="35" type="noConversion"/>
  </si>
  <si>
    <t>경영혁신팀</t>
    <phoneticPr fontId="35" type="noConversion"/>
  </si>
  <si>
    <t>이성대</t>
    <phoneticPr fontId="35" type="noConversion"/>
  </si>
  <si>
    <t>인도법인</t>
    <phoneticPr fontId="35" type="noConversion"/>
  </si>
  <si>
    <t>연구직</t>
    <phoneticPr fontId="35" type="noConversion"/>
  </si>
  <si>
    <t>품질관리</t>
    <phoneticPr fontId="35" type="noConversion"/>
  </si>
  <si>
    <t>E1345</t>
    <phoneticPr fontId="35" type="noConversion"/>
  </si>
  <si>
    <t>이순민</t>
    <phoneticPr fontId="35" type="noConversion"/>
  </si>
  <si>
    <t>고복민</t>
    <phoneticPr fontId="35" type="noConversion"/>
  </si>
  <si>
    <t>생산팀</t>
    <phoneticPr fontId="35" type="noConversion"/>
  </si>
  <si>
    <t>최민식</t>
    <phoneticPr fontId="35" type="noConversion"/>
  </si>
  <si>
    <t>양민호</t>
    <phoneticPr fontId="35" type="noConversion"/>
  </si>
  <si>
    <t>평균</t>
    <phoneticPr fontId="35" type="noConversion"/>
  </si>
  <si>
    <t>부서명</t>
    <phoneticPr fontId="35" type="noConversion"/>
  </si>
  <si>
    <t>이미애</t>
    <phoneticPr fontId="35" type="noConversion"/>
  </si>
  <si>
    <t>1. 부서별 평균 집계</t>
    <phoneticPr fontId="35" type="noConversion"/>
  </si>
  <si>
    <t>실기</t>
    <phoneticPr fontId="35" type="noConversion"/>
  </si>
  <si>
    <t>필기</t>
    <phoneticPr fontId="35" type="noConversion"/>
  </si>
  <si>
    <t>직급</t>
    <phoneticPr fontId="35" type="noConversion"/>
  </si>
  <si>
    <t>사번</t>
    <phoneticPr fontId="35" type="noConversion"/>
  </si>
  <si>
    <t>성명</t>
    <phoneticPr fontId="35" type="noConversion"/>
  </si>
  <si>
    <t>금액</t>
    <phoneticPr fontId="35" type="noConversion"/>
  </si>
  <si>
    <t>할인율</t>
    <phoneticPr fontId="35" type="noConversion"/>
  </si>
  <si>
    <t>단가</t>
    <phoneticPr fontId="35" type="noConversion"/>
  </si>
  <si>
    <t>수량</t>
    <phoneticPr fontId="35" type="noConversion"/>
  </si>
  <si>
    <t>더블클립</t>
  </si>
  <si>
    <t>키보드</t>
  </si>
  <si>
    <t>투명테이프</t>
  </si>
  <si>
    <t>파랑잉크</t>
  </si>
  <si>
    <t>제도샤프</t>
  </si>
  <si>
    <t>CASIO 계산기</t>
  </si>
  <si>
    <t>A4용지</t>
  </si>
  <si>
    <t>노랑잉크</t>
  </si>
  <si>
    <t>검정잉크</t>
  </si>
  <si>
    <t>품목명</t>
    <phoneticPr fontId="35" type="noConversion"/>
  </si>
  <si>
    <t>[주문 현황]</t>
    <phoneticPr fontId="35" type="noConversion"/>
  </si>
  <si>
    <t>총 금액</t>
    <phoneticPr fontId="35" type="noConversion"/>
  </si>
  <si>
    <t>사무용 문구 주문현황</t>
    <phoneticPr fontId="35" type="noConversion"/>
  </si>
  <si>
    <t>12월</t>
  </si>
  <si>
    <t>11월</t>
  </si>
  <si>
    <t>10월</t>
  </si>
  <si>
    <t>9월</t>
  </si>
  <si>
    <t>8월</t>
  </si>
  <si>
    <t>하위 순위</t>
    <phoneticPr fontId="9" type="noConversion"/>
  </si>
  <si>
    <t>7월</t>
  </si>
  <si>
    <t>6월</t>
  </si>
  <si>
    <t>5월</t>
  </si>
  <si>
    <t>4월</t>
  </si>
  <si>
    <t>3월</t>
  </si>
  <si>
    <t>2월</t>
  </si>
  <si>
    <t>1월</t>
    <phoneticPr fontId="9" type="noConversion"/>
  </si>
  <si>
    <t>상위 순위</t>
    <phoneticPr fontId="9" type="noConversion"/>
  </si>
  <si>
    <t>수지</t>
    <phoneticPr fontId="9" type="noConversion"/>
  </si>
  <si>
    <t>과천</t>
    <phoneticPr fontId="9" type="noConversion"/>
  </si>
  <si>
    <t>성남</t>
    <phoneticPr fontId="9" type="noConversion"/>
  </si>
  <si>
    <t>수원</t>
    <phoneticPr fontId="9" type="noConversion"/>
  </si>
  <si>
    <t>구분</t>
    <phoneticPr fontId="9" type="noConversion"/>
  </si>
  <si>
    <t>대리점별 매출실적표</t>
    <phoneticPr fontId="9" type="noConversion"/>
  </si>
  <si>
    <t>C</t>
    <phoneticPr fontId="9" type="noConversion"/>
  </si>
  <si>
    <t>이소라</t>
  </si>
  <si>
    <t>물류출하</t>
  </si>
  <si>
    <t>A</t>
    <phoneticPr fontId="9" type="noConversion"/>
  </si>
  <si>
    <t>이무경</t>
  </si>
  <si>
    <t>환경관리</t>
  </si>
  <si>
    <t>B</t>
    <phoneticPr fontId="9" type="noConversion"/>
  </si>
  <si>
    <t>이명보</t>
  </si>
  <si>
    <t>품질관리</t>
  </si>
  <si>
    <t>오은자</t>
  </si>
  <si>
    <t>양동하</t>
  </si>
  <si>
    <t>B</t>
  </si>
  <si>
    <t>김은숙</t>
  </si>
  <si>
    <t>기계정비</t>
  </si>
  <si>
    <t>A</t>
  </si>
  <si>
    <t>김영희</t>
  </si>
  <si>
    <t>C</t>
  </si>
  <si>
    <t>김석범</t>
  </si>
  <si>
    <t>D</t>
    <phoneticPr fontId="9" type="noConversion"/>
  </si>
  <si>
    <t>김민규</t>
  </si>
  <si>
    <t>D</t>
  </si>
  <si>
    <t>김동걸</t>
  </si>
  <si>
    <t>고진구</t>
  </si>
  <si>
    <t>고은아</t>
  </si>
  <si>
    <t>고상근</t>
  </si>
  <si>
    <t>강한서</t>
  </si>
  <si>
    <t>강진호</t>
  </si>
  <si>
    <t>강인승</t>
  </si>
  <si>
    <t>강수연</t>
  </si>
  <si>
    <t>3. 우수자는 기획력이 'A'이고, 평균이 80점이상이면 'O'로 입력, 그렇지 않으면 빈셀을 표시</t>
    <phoneticPr fontId="9" type="noConversion"/>
  </si>
  <si>
    <t>강병옥</t>
  </si>
  <si>
    <t>2. 평균값이 90점 이상이면 '상', 평균이 80점이상90점미만이면 '중', 80점 미만이면 '하'</t>
    <phoneticPr fontId="9" type="noConversion"/>
  </si>
  <si>
    <t>강민애</t>
  </si>
  <si>
    <t>1. 80점 이상이면 합격 80점 미만이면 불합격</t>
    <phoneticPr fontId="9" type="noConversion"/>
  </si>
  <si>
    <t>강광석</t>
  </si>
  <si>
    <t>보충교육</t>
    <phoneticPr fontId="9" type="noConversion"/>
  </si>
  <si>
    <t>우수자</t>
    <phoneticPr fontId="9" type="noConversion"/>
  </si>
  <si>
    <t>능력진단</t>
    <phoneticPr fontId="9" type="noConversion"/>
  </si>
  <si>
    <t>합계여부</t>
    <phoneticPr fontId="9" type="noConversion"/>
  </si>
  <si>
    <t>평균</t>
    <phoneticPr fontId="9" type="noConversion"/>
  </si>
  <si>
    <t>기획력</t>
    <phoneticPr fontId="9" type="noConversion"/>
  </si>
  <si>
    <t>엑셀통계</t>
    <phoneticPr fontId="9" type="noConversion"/>
  </si>
  <si>
    <t>프레젠테이션</t>
    <phoneticPr fontId="9" type="noConversion"/>
  </si>
  <si>
    <t>보고서작성</t>
    <phoneticPr fontId="9" type="noConversion"/>
  </si>
  <si>
    <t>소속</t>
    <phoneticPr fontId="9" type="noConversion"/>
  </si>
  <si>
    <t>근무자 정보화 능력 진단</t>
    <phoneticPr fontId="9" type="noConversion"/>
  </si>
  <si>
    <t>R/K 파이프(310S)</t>
    <phoneticPr fontId="9" type="noConversion"/>
  </si>
  <si>
    <t>기계장치</t>
    <phoneticPr fontId="9" type="noConversion"/>
  </si>
  <si>
    <t>다통형(R/K)</t>
    <phoneticPr fontId="9" type="noConversion"/>
  </si>
  <si>
    <t>분쇄 C.V.M제작</t>
    <phoneticPr fontId="9" type="noConversion"/>
  </si>
  <si>
    <t>XRF 분석기</t>
    <phoneticPr fontId="9" type="noConversion"/>
  </si>
  <si>
    <t>B 라인 스크라바제작</t>
    <phoneticPr fontId="9" type="noConversion"/>
  </si>
  <si>
    <t>쿨러제작(A LINE)</t>
    <phoneticPr fontId="9" type="noConversion"/>
  </si>
  <si>
    <t>ROTARY VALVE</t>
    <phoneticPr fontId="9" type="noConversion"/>
  </si>
  <si>
    <t>공장조경공사</t>
    <phoneticPr fontId="9" type="noConversion"/>
  </si>
  <si>
    <t>구축물</t>
    <phoneticPr fontId="9" type="noConversion"/>
  </si>
  <si>
    <t>옹벽공사</t>
    <phoneticPr fontId="9" type="noConversion"/>
  </si>
  <si>
    <t>교통신호등</t>
    <phoneticPr fontId="9" type="noConversion"/>
  </si>
  <si>
    <t>공해방지시설</t>
    <phoneticPr fontId="9" type="noConversion"/>
  </si>
  <si>
    <t>정화조공사</t>
    <phoneticPr fontId="9" type="noConversion"/>
  </si>
  <si>
    <t>공장도로 포장공사</t>
    <phoneticPr fontId="9" type="noConversion"/>
  </si>
  <si>
    <t>경유탱크</t>
    <phoneticPr fontId="9" type="noConversion"/>
  </si>
  <si>
    <t>위험물 탱크</t>
    <phoneticPr fontId="9" type="noConversion"/>
  </si>
  <si>
    <t>휴게실동</t>
    <phoneticPr fontId="9" type="noConversion"/>
  </si>
  <si>
    <t>건물</t>
    <phoneticPr fontId="9" type="noConversion"/>
  </si>
  <si>
    <t>관리동신축</t>
    <phoneticPr fontId="9" type="noConversion"/>
  </si>
  <si>
    <t>화장실동</t>
    <phoneticPr fontId="9" type="noConversion"/>
  </si>
  <si>
    <t>수위실동</t>
    <phoneticPr fontId="9" type="noConversion"/>
  </si>
  <si>
    <t>3. 취득원가-감가상각비의 천단위로 내림</t>
    <phoneticPr fontId="9" type="noConversion"/>
  </si>
  <si>
    <t>변전실동</t>
    <phoneticPr fontId="9" type="noConversion"/>
  </si>
  <si>
    <t>2. 감가상각비 *경과년수의 결과를 올림</t>
    <phoneticPr fontId="9" type="noConversion"/>
  </si>
  <si>
    <t>실험실 및 식당동</t>
    <phoneticPr fontId="9" type="noConversion"/>
  </si>
  <si>
    <t xml:space="preserve">1. 취득원가*상각율의 결과를 소수첫째자리반올림 </t>
    <phoneticPr fontId="9" type="noConversion"/>
  </si>
  <si>
    <t>공장동</t>
    <phoneticPr fontId="9" type="noConversion"/>
  </si>
  <si>
    <t>장부가액</t>
    <phoneticPr fontId="9" type="noConversion"/>
  </si>
  <si>
    <t>감각상각비 누계</t>
    <phoneticPr fontId="9" type="noConversion"/>
  </si>
  <si>
    <t>감가상각비</t>
    <phoneticPr fontId="9" type="noConversion"/>
  </si>
  <si>
    <t>상각율</t>
    <phoneticPr fontId="9" type="noConversion"/>
  </si>
  <si>
    <t>취득원가</t>
    <phoneticPr fontId="9" type="noConversion"/>
  </si>
  <si>
    <t>경과년수</t>
    <phoneticPr fontId="9" type="noConversion"/>
  </si>
  <si>
    <t>자산명</t>
    <phoneticPr fontId="9" type="noConversion"/>
  </si>
  <si>
    <t>구분</t>
    <phoneticPr fontId="9" type="noConversion"/>
  </si>
  <si>
    <t>성명</t>
    <phoneticPr fontId="9" type="noConversion"/>
  </si>
  <si>
    <t>7311102172211최미나</t>
    <phoneticPr fontId="57" type="noConversion"/>
  </si>
  <si>
    <t>7701292155019조연곤</t>
    <phoneticPr fontId="57" type="noConversion"/>
  </si>
  <si>
    <t>8008202240417정성진</t>
  </si>
  <si>
    <t>성별</t>
    <phoneticPr fontId="57" type="noConversion"/>
  </si>
  <si>
    <t>주민번호(보호)</t>
    <phoneticPr fontId="35" type="noConversion"/>
  </si>
  <si>
    <t>성명</t>
    <phoneticPr fontId="35" type="noConversion"/>
  </si>
  <si>
    <t>주민등록번호</t>
    <phoneticPr fontId="57" type="noConversion"/>
  </si>
  <si>
    <t>근무자 정보</t>
    <phoneticPr fontId="57" type="noConversion"/>
  </si>
  <si>
    <t>오늘의 근무자 현황</t>
    <phoneticPr fontId="57" type="noConversion"/>
  </si>
  <si>
    <t>대표 이사</t>
  </si>
  <si>
    <t>미주 상사</t>
  </si>
  <si>
    <t>WILMK</t>
  </si>
  <si>
    <t>천동석</t>
  </si>
  <si>
    <t>신흥 교역</t>
  </si>
  <si>
    <t>WHITC</t>
  </si>
  <si>
    <t>영업 3과장</t>
  </si>
  <si>
    <t>금화 유통</t>
  </si>
  <si>
    <t>WELLI</t>
  </si>
  <si>
    <t>영업 사원</t>
  </si>
  <si>
    <t>정승화</t>
  </si>
  <si>
    <t>언더우드 상사</t>
  </si>
  <si>
    <t>WANDK</t>
  </si>
  <si>
    <t>경리 과장</t>
  </si>
  <si>
    <t>채송아</t>
  </si>
  <si>
    <t>해바라기 백화점</t>
  </si>
  <si>
    <t>VINET</t>
  </si>
  <si>
    <t>최지한</t>
  </si>
  <si>
    <t>삼왕 통상</t>
  </si>
  <si>
    <t>VICTE</t>
  </si>
  <si>
    <t>영업 과장</t>
  </si>
  <si>
    <t>한민정</t>
  </si>
  <si>
    <t>천지 교역</t>
  </si>
  <si>
    <t>VAFFE</t>
  </si>
  <si>
    <t>국제 무역</t>
  </si>
  <si>
    <t>TRADH</t>
  </si>
  <si>
    <t>박민희</t>
  </si>
  <si>
    <t>한진 교역</t>
  </si>
  <si>
    <t>TORTU</t>
  </si>
  <si>
    <t>몽블랑 백화점</t>
  </si>
  <si>
    <t>THECR</t>
  </si>
  <si>
    <t>마케팅 1과장</t>
  </si>
  <si>
    <t>김혜령</t>
  </si>
  <si>
    <t>신성 식품</t>
  </si>
  <si>
    <t>THEBI</t>
  </si>
  <si>
    <t>감성동</t>
  </si>
  <si>
    <t>삼양 상사</t>
  </si>
  <si>
    <t>SUPRD</t>
  </si>
  <si>
    <t>마케팅 2과장</t>
  </si>
  <si>
    <t>대성 교역</t>
  </si>
  <si>
    <t>SPECD</t>
  </si>
  <si>
    <t>영업 1과장</t>
  </si>
  <si>
    <t>김명석</t>
  </si>
  <si>
    <t>엘르</t>
  </si>
  <si>
    <t>SEVES</t>
  </si>
  <si>
    <t>김종설</t>
  </si>
  <si>
    <t>태흥 무역</t>
  </si>
  <si>
    <t>SANTG</t>
  </si>
  <si>
    <t>서태진</t>
  </si>
  <si>
    <t>한남 상사</t>
  </si>
  <si>
    <t>RICSU</t>
  </si>
  <si>
    <t>김완순</t>
  </si>
  <si>
    <t>정문 상사</t>
  </si>
  <si>
    <t>REGGC</t>
  </si>
  <si>
    <t>황영남</t>
  </si>
  <si>
    <t>스타 상사</t>
  </si>
  <si>
    <t>RANCH</t>
  </si>
  <si>
    <t>미성 백화점</t>
  </si>
  <si>
    <t>QUICK</t>
  </si>
  <si>
    <t>마케팅 담당</t>
  </si>
  <si>
    <t>사하라 통상</t>
  </si>
  <si>
    <t>QUEEN</t>
  </si>
  <si>
    <t>게이트웨이 통상</t>
  </si>
  <si>
    <t>QUEDE</t>
  </si>
  <si>
    <t>임정빈</t>
  </si>
  <si>
    <t>TGIF</t>
  </si>
  <si>
    <t>PICCO</t>
  </si>
  <si>
    <t>동도 교역</t>
  </si>
  <si>
    <t>PERIC</t>
  </si>
  <si>
    <t>김필순</t>
  </si>
  <si>
    <t>평화 상사</t>
  </si>
  <si>
    <t>PARIS</t>
  </si>
  <si>
    <t>배준호</t>
  </si>
  <si>
    <t>우주 상사</t>
  </si>
  <si>
    <t>OLDWO</t>
  </si>
  <si>
    <t>서한성</t>
  </si>
  <si>
    <t>새롬 교역</t>
  </si>
  <si>
    <t>OCEAN</t>
  </si>
  <si>
    <t>우순하</t>
  </si>
  <si>
    <t>아틀란티스 통상</t>
  </si>
  <si>
    <t>NORTS</t>
  </si>
  <si>
    <t>서예희</t>
  </si>
  <si>
    <t>신천지 통상</t>
  </si>
  <si>
    <t>MORGK</t>
  </si>
  <si>
    <t>이성화</t>
  </si>
  <si>
    <t>성진 인터내셔널</t>
  </si>
  <si>
    <t>MAGAA</t>
  </si>
  <si>
    <t>황규하</t>
  </si>
  <si>
    <t>흑진주 백화점</t>
  </si>
  <si>
    <t>LINOD</t>
  </si>
  <si>
    <t>경동 무역</t>
  </si>
  <si>
    <t>LILAS</t>
  </si>
  <si>
    <t>동방 무역</t>
  </si>
  <si>
    <t>LEHMS</t>
  </si>
  <si>
    <t>정영진</t>
  </si>
  <si>
    <t>성화 식품</t>
  </si>
  <si>
    <t>LAUGB</t>
  </si>
  <si>
    <t>이대욱</t>
  </si>
  <si>
    <t>조선 무역</t>
  </si>
  <si>
    <t>LAMAI</t>
  </si>
  <si>
    <t>신민경</t>
  </si>
  <si>
    <t>세준 통상</t>
  </si>
  <si>
    <t>LACOR</t>
  </si>
  <si>
    <t>강경식</t>
  </si>
  <si>
    <t>신세기 상사</t>
  </si>
  <si>
    <t>KOENE</t>
  </si>
  <si>
    <t>마케팅 3과장</t>
  </si>
  <si>
    <t>글로리아 백화점</t>
  </si>
  <si>
    <t>ISLAT</t>
  </si>
  <si>
    <t>노소연</t>
  </si>
  <si>
    <t>샤론 통상</t>
  </si>
  <si>
    <t>HUNGO</t>
  </si>
  <si>
    <t>김애란</t>
  </si>
  <si>
    <t>아성 교역</t>
  </si>
  <si>
    <t>HUNGC</t>
  </si>
  <si>
    <t>동성 직배</t>
  </si>
  <si>
    <t>GROSR</t>
  </si>
  <si>
    <t>황보영국</t>
  </si>
  <si>
    <t>캘리포니아</t>
  </si>
  <si>
    <t>GREAL</t>
  </si>
  <si>
    <t>김윤중</t>
  </si>
  <si>
    <t>한미 식품</t>
  </si>
  <si>
    <t>GODOS</t>
  </si>
  <si>
    <t>광성 교역</t>
  </si>
  <si>
    <t>GALED</t>
  </si>
  <si>
    <t>정영순</t>
  </si>
  <si>
    <t>한미 교역</t>
  </si>
  <si>
    <t>FRANS</t>
  </si>
  <si>
    <t>성현아</t>
  </si>
  <si>
    <t>진흥</t>
  </si>
  <si>
    <t>FRANK</t>
  </si>
  <si>
    <t>강판석</t>
  </si>
  <si>
    <t>한일 상사</t>
  </si>
  <si>
    <t>FOLIG</t>
  </si>
  <si>
    <t>유영주</t>
  </si>
  <si>
    <t>세주 상사</t>
  </si>
  <si>
    <t>FISSA</t>
  </si>
  <si>
    <t>손미순</t>
  </si>
  <si>
    <t>삼일</t>
  </si>
  <si>
    <t>FAMIA</t>
  </si>
  <si>
    <t>강세라</t>
  </si>
  <si>
    <t>신세계 통상</t>
  </si>
  <si>
    <t>ERNSH</t>
  </si>
  <si>
    <t>주진국</t>
  </si>
  <si>
    <t>양정 물산</t>
  </si>
  <si>
    <t>DUMON</t>
  </si>
  <si>
    <t>극동 무역</t>
  </si>
  <si>
    <t>DRACD</t>
  </si>
  <si>
    <t>대진 상사</t>
  </si>
  <si>
    <t>COMMI</t>
  </si>
  <si>
    <t>동남 상사</t>
  </si>
  <si>
    <t>CHOPS</t>
  </si>
  <si>
    <t>홍성주</t>
  </si>
  <si>
    <t>진주 백화점</t>
  </si>
  <si>
    <t>CENTC</t>
  </si>
  <si>
    <t>박광준</t>
  </si>
  <si>
    <t>혜성 백화점</t>
  </si>
  <si>
    <t>CACTU</t>
  </si>
  <si>
    <t>문흥미</t>
  </si>
  <si>
    <t>태강 교역</t>
  </si>
  <si>
    <t>BOTTM</t>
  </si>
  <si>
    <t>문익한</t>
  </si>
  <si>
    <t>서주 무역</t>
  </si>
  <si>
    <t>BONAP</t>
  </si>
  <si>
    <t>정영일</t>
  </si>
  <si>
    <t>삼화 상사</t>
  </si>
  <si>
    <t>BOLID</t>
  </si>
  <si>
    <t>베네디스 유통</t>
  </si>
  <si>
    <t>BLONP</t>
  </si>
  <si>
    <t>손미선</t>
  </si>
  <si>
    <t>협우 상사</t>
  </si>
  <si>
    <t>BLAUS</t>
  </si>
  <si>
    <t>최영희</t>
  </si>
  <si>
    <t>정금 상사</t>
  </si>
  <si>
    <t>BERGS</t>
  </si>
  <si>
    <t>경성 트레이딩</t>
  </si>
  <si>
    <t>AROUT</t>
  </si>
  <si>
    <t>동광 통상</t>
  </si>
  <si>
    <t>ANTON</t>
  </si>
  <si>
    <t>황영순</t>
  </si>
  <si>
    <t>원창</t>
  </si>
  <si>
    <t>ANATR</t>
  </si>
  <si>
    <t>거래금액</t>
  </si>
  <si>
    <t>도시명</t>
  </si>
  <si>
    <t>담당자 직위</t>
  </si>
  <si>
    <t>담당자 이름</t>
  </si>
  <si>
    <t>회사 이름</t>
  </si>
  <si>
    <t>고객 번호</t>
  </si>
  <si>
    <t>검색
결과</t>
  </si>
  <si>
    <t>도시명을 선택하세요</t>
  </si>
  <si>
    <t>근무 일자와 시간 기록부</t>
    <phoneticPr fontId="57" type="noConversion"/>
  </si>
  <si>
    <t>오늘날짜</t>
    <phoneticPr fontId="35" type="noConversion"/>
  </si>
  <si>
    <t>현재시각</t>
    <phoneticPr fontId="35" type="noConversion"/>
  </si>
  <si>
    <t>근무자명</t>
    <phoneticPr fontId="57" type="noConversion"/>
  </si>
  <si>
    <t>출근 일자</t>
    <phoneticPr fontId="57" type="noConversion"/>
  </si>
  <si>
    <t>년도</t>
    <phoneticPr fontId="35" type="noConversion"/>
  </si>
  <si>
    <t>월</t>
    <phoneticPr fontId="35" type="noConversion"/>
  </si>
  <si>
    <t>일</t>
    <phoneticPr fontId="35" type="noConversion"/>
  </si>
  <si>
    <t>출근 시간</t>
    <phoneticPr fontId="57" type="noConversion"/>
  </si>
  <si>
    <t>시</t>
    <phoneticPr fontId="57" type="noConversion"/>
  </si>
  <si>
    <t>분</t>
    <phoneticPr fontId="57" type="noConversion"/>
  </si>
  <si>
    <t>초</t>
    <phoneticPr fontId="57" type="noConversion"/>
  </si>
  <si>
    <t>김오현</t>
  </si>
  <si>
    <t>황국현</t>
  </si>
  <si>
    <t>윤재윤</t>
  </si>
  <si>
    <t>최명진</t>
  </si>
  <si>
    <t>김정운</t>
  </si>
  <si>
    <t>최정진</t>
  </si>
  <si>
    <t>조영주</t>
  </si>
  <si>
    <t>김미환</t>
  </si>
  <si>
    <t>김은주</t>
  </si>
  <si>
    <t>박혜경</t>
  </si>
  <si>
    <t>최유정</t>
  </si>
  <si>
    <t>이정민</t>
  </si>
  <si>
    <t>이미나</t>
  </si>
  <si>
    <t>김애연</t>
  </si>
  <si>
    <t>영업지원 PART 근무자 근무기간 계산</t>
    <phoneticPr fontId="35" type="noConversion"/>
  </si>
  <si>
    <t>기준날짜</t>
    <phoneticPr fontId="9" type="noConversion"/>
  </si>
  <si>
    <t>이름</t>
    <phoneticPr fontId="9" type="noConversion"/>
  </si>
  <si>
    <t>입사일</t>
    <phoneticPr fontId="9" type="noConversion"/>
  </si>
  <si>
    <t>근무년수</t>
    <phoneticPr fontId="9" type="noConversion"/>
  </si>
  <si>
    <t>근무개월</t>
    <phoneticPr fontId="9" type="noConversion"/>
  </si>
  <si>
    <t>근무일수</t>
    <phoneticPr fontId="9" type="noConversion"/>
  </si>
  <si>
    <t>김정수</t>
  </si>
  <si>
    <t>한익수</t>
    <phoneticPr fontId="35" type="noConversion"/>
  </si>
  <si>
    <t>이홍익</t>
    <phoneticPr fontId="35" type="noConversion"/>
  </si>
  <si>
    <t>박영수</t>
    <phoneticPr fontId="35" type="noConversion"/>
  </si>
  <si>
    <t>권기영</t>
    <phoneticPr fontId="35" type="noConversion"/>
  </si>
  <si>
    <t>이덕호</t>
    <phoneticPr fontId="35" type="noConversion"/>
  </si>
  <si>
    <t>배상호</t>
    <phoneticPr fontId="35" type="noConversion"/>
  </si>
  <si>
    <t>장혜진</t>
  </si>
  <si>
    <t>김성호</t>
  </si>
  <si>
    <t>윤미라</t>
  </si>
  <si>
    <t>최재원</t>
  </si>
  <si>
    <t>시간제 근로자 급여 계산</t>
    <phoneticPr fontId="57" type="noConversion"/>
  </si>
  <si>
    <t>근무 시간</t>
    <phoneticPr fontId="57" type="noConversion"/>
  </si>
  <si>
    <t>일일 급여</t>
    <phoneticPr fontId="57" type="noConversion"/>
  </si>
  <si>
    <t>총지급금액</t>
    <phoneticPr fontId="57" type="noConversion"/>
  </si>
  <si>
    <t>기본배송기간</t>
    <phoneticPr fontId="35" type="noConversion"/>
  </si>
  <si>
    <t>번호</t>
    <phoneticPr fontId="35" type="noConversion"/>
  </si>
  <si>
    <t>주문일</t>
  </si>
  <si>
    <t>기본배송일</t>
    <phoneticPr fontId="35" type="noConversion"/>
  </si>
  <si>
    <t>일요일, 휴일 포함</t>
    <phoneticPr fontId="35" type="noConversion"/>
  </si>
  <si>
    <t>WORKDAY 함수</t>
    <phoneticPr fontId="35" type="noConversion"/>
  </si>
  <si>
    <t>WORKDAY.INTL 함수</t>
    <phoneticPr fontId="35" type="noConversion"/>
  </si>
  <si>
    <t>주 문 서</t>
  </si>
  <si>
    <t>※ 배송료표</t>
    <phoneticPr fontId="35" type="noConversion"/>
  </si>
  <si>
    <t>지역명</t>
  </si>
  <si>
    <t>서울</t>
  </si>
  <si>
    <t>경기</t>
    <phoneticPr fontId="35" type="noConversion"/>
  </si>
  <si>
    <t>대전</t>
  </si>
  <si>
    <t>부산</t>
  </si>
  <si>
    <t>광주</t>
  </si>
  <si>
    <t>제주도</t>
  </si>
  <si>
    <t>주문번호 :</t>
    <phoneticPr fontId="77" type="noConversion"/>
  </si>
  <si>
    <t>소매점명 :</t>
  </si>
  <si>
    <t>우리소매점</t>
  </si>
  <si>
    <t>구분</t>
  </si>
  <si>
    <t>도매</t>
  </si>
  <si>
    <t>소매</t>
  </si>
  <si>
    <t>주문일자 :</t>
  </si>
  <si>
    <t>소매점위치 :</t>
  </si>
  <si>
    <t>배송료</t>
  </si>
  <si>
    <t>배송료 :</t>
  </si>
  <si>
    <t>※ 제품목록</t>
    <phoneticPr fontId="77" type="noConversion"/>
  </si>
  <si>
    <t>No</t>
    <phoneticPr fontId="35" type="noConversion"/>
  </si>
  <si>
    <t>제품코드</t>
  </si>
  <si>
    <t>업체명</t>
  </si>
  <si>
    <t>제품명</t>
  </si>
  <si>
    <t>단가</t>
  </si>
  <si>
    <t>수량</t>
  </si>
  <si>
    <t>매출액</t>
  </si>
  <si>
    <t>S03</t>
    <phoneticPr fontId="35" type="noConversion"/>
  </si>
  <si>
    <t>S01</t>
    <phoneticPr fontId="35" type="noConversion"/>
  </si>
  <si>
    <t>서울무역</t>
  </si>
  <si>
    <t>버터</t>
    <phoneticPr fontId="35" type="noConversion"/>
  </si>
  <si>
    <t>S02</t>
  </si>
  <si>
    <t>현진식품</t>
  </si>
  <si>
    <t>사탕</t>
    <phoneticPr fontId="35" type="noConversion"/>
  </si>
  <si>
    <t>S05</t>
    <phoneticPr fontId="35" type="noConversion"/>
  </si>
  <si>
    <t>S03</t>
  </si>
  <si>
    <t>유미식품</t>
  </si>
  <si>
    <t>딸기소스</t>
    <phoneticPr fontId="35" type="noConversion"/>
  </si>
  <si>
    <t>S07</t>
    <phoneticPr fontId="35" type="noConversion"/>
  </si>
  <si>
    <t>S04</t>
  </si>
  <si>
    <t>대륙교역</t>
  </si>
  <si>
    <t>체리시럽</t>
    <phoneticPr fontId="35" type="noConversion"/>
  </si>
  <si>
    <t>S09</t>
    <phoneticPr fontId="35" type="noConversion"/>
  </si>
  <si>
    <t>S05</t>
  </si>
  <si>
    <t>세종물산</t>
  </si>
  <si>
    <t>포도잼</t>
    <phoneticPr fontId="35" type="noConversion"/>
  </si>
  <si>
    <t>S06</t>
  </si>
  <si>
    <t>태양식품</t>
  </si>
  <si>
    <t>통조림</t>
    <phoneticPr fontId="35" type="noConversion"/>
  </si>
  <si>
    <t>S07</t>
  </si>
  <si>
    <t>신한식품</t>
  </si>
  <si>
    <t>오렌지주스</t>
    <phoneticPr fontId="35" type="noConversion"/>
  </si>
  <si>
    <t>S08</t>
  </si>
  <si>
    <t>대양농산</t>
  </si>
  <si>
    <t>원두커피</t>
    <phoneticPr fontId="35" type="noConversion"/>
  </si>
  <si>
    <t>S09</t>
  </si>
  <si>
    <t>삼화음료</t>
    <phoneticPr fontId="35" type="noConversion"/>
  </si>
  <si>
    <t>야생녹차</t>
    <phoneticPr fontId="35" type="noConversion"/>
  </si>
  <si>
    <t>S10</t>
  </si>
  <si>
    <t>신성식품</t>
    <phoneticPr fontId="35" type="noConversion"/>
  </si>
  <si>
    <t>밀가루</t>
    <phoneticPr fontId="35" type="noConversion"/>
  </si>
  <si>
    <t>합계</t>
  </si>
  <si>
    <t>사내 정보화교육 성적표</t>
    <phoneticPr fontId="9" type="noConversion"/>
  </si>
  <si>
    <t>No.</t>
    <phoneticPr fontId="9" type="noConversion"/>
  </si>
  <si>
    <t>부서</t>
    <phoneticPr fontId="9" type="noConversion"/>
  </si>
  <si>
    <t>워드</t>
    <phoneticPr fontId="9" type="noConversion"/>
  </si>
  <si>
    <t>엑셀</t>
    <phoneticPr fontId="9" type="noConversion"/>
  </si>
  <si>
    <t>파워포인트</t>
    <phoneticPr fontId="9" type="noConversion"/>
  </si>
  <si>
    <t>총점</t>
    <phoneticPr fontId="9" type="noConversion"/>
  </si>
  <si>
    <t>평균평점</t>
    <phoneticPr fontId="9" type="noConversion"/>
  </si>
  <si>
    <t>평점표</t>
    <phoneticPr fontId="9" type="noConversion"/>
  </si>
  <si>
    <t>김대근</t>
    <phoneticPr fontId="9" type="noConversion"/>
  </si>
  <si>
    <t>총무부</t>
  </si>
  <si>
    <t>점수</t>
    <phoneticPr fontId="9" type="noConversion"/>
  </si>
  <si>
    <t>평점</t>
    <phoneticPr fontId="9" type="noConversion"/>
  </si>
  <si>
    <t>김성준</t>
    <phoneticPr fontId="9" type="noConversion"/>
  </si>
  <si>
    <t>기획부</t>
  </si>
  <si>
    <t>F</t>
    <phoneticPr fontId="9" type="noConversion"/>
  </si>
  <si>
    <t>김치명</t>
    <phoneticPr fontId="9" type="noConversion"/>
  </si>
  <si>
    <t>노은희</t>
    <phoneticPr fontId="9" type="noConversion"/>
  </si>
  <si>
    <t>D+</t>
    <phoneticPr fontId="9" type="noConversion"/>
  </si>
  <si>
    <t>박덕연</t>
    <phoneticPr fontId="9" type="noConversion"/>
  </si>
  <si>
    <t>경리부</t>
  </si>
  <si>
    <t>방경자</t>
    <phoneticPr fontId="9" type="noConversion"/>
  </si>
  <si>
    <t>구매부</t>
  </si>
  <si>
    <t>C+</t>
    <phoneticPr fontId="9" type="noConversion"/>
  </si>
  <si>
    <t>안소나</t>
    <phoneticPr fontId="9" type="noConversion"/>
  </si>
  <si>
    <t>양성미</t>
    <phoneticPr fontId="9" type="noConversion"/>
  </si>
  <si>
    <t>B+</t>
    <phoneticPr fontId="9" type="noConversion"/>
  </si>
  <si>
    <t>오지호</t>
    <phoneticPr fontId="9" type="noConversion"/>
  </si>
  <si>
    <t>유현</t>
    <phoneticPr fontId="9" type="noConversion"/>
  </si>
  <si>
    <t>영업부</t>
  </si>
  <si>
    <t>A+</t>
    <phoneticPr fontId="9" type="noConversion"/>
  </si>
  <si>
    <t>이남주</t>
    <phoneticPr fontId="9" type="noConversion"/>
  </si>
  <si>
    <t>이상만</t>
    <phoneticPr fontId="9" type="noConversion"/>
  </si>
  <si>
    <t>이상희</t>
    <phoneticPr fontId="9" type="noConversion"/>
  </si>
  <si>
    <t>이은정</t>
    <phoneticPr fontId="9" type="noConversion"/>
  </si>
  <si>
    <t>이은지</t>
    <phoneticPr fontId="9" type="noConversion"/>
  </si>
  <si>
    <t>전영일</t>
    <phoneticPr fontId="9" type="noConversion"/>
  </si>
  <si>
    <t>김선주</t>
    <phoneticPr fontId="9" type="noConversion"/>
  </si>
  <si>
    <t>천진희</t>
    <phoneticPr fontId="9" type="noConversion"/>
  </si>
  <si>
    <t>최은희</t>
    <phoneticPr fontId="9" type="noConversion"/>
  </si>
  <si>
    <t>최인순</t>
    <phoneticPr fontId="9" type="noConversion"/>
  </si>
  <si>
    <t>* 총점 : 워드,엑셀,파워포인트 점수의 합계</t>
    <phoneticPr fontId="35" type="noConversion"/>
  </si>
  <si>
    <t>* 평균 : 3과목의 평균</t>
    <phoneticPr fontId="35" type="noConversion"/>
  </si>
  <si>
    <t>* 평균 평점 : 평점표를 기준으로 Vlookup함수 적용</t>
    <phoneticPr fontId="35" type="noConversion"/>
  </si>
  <si>
    <t>매출 내역</t>
    <phoneticPr fontId="35" type="noConversion"/>
  </si>
  <si>
    <t>No</t>
    <phoneticPr fontId="35" type="noConversion"/>
  </si>
  <si>
    <t>부서</t>
  </si>
  <si>
    <t>지역</t>
  </si>
  <si>
    <t>제품명</t>
    <phoneticPr fontId="35" type="noConversion"/>
  </si>
  <si>
    <t>수당</t>
    <phoneticPr fontId="35" type="noConversion"/>
  </si>
  <si>
    <t>부서별 지역별 매출액</t>
    <phoneticPr fontId="35" type="noConversion"/>
  </si>
  <si>
    <t>김소미</t>
  </si>
  <si>
    <t>영업1팀</t>
    <phoneticPr fontId="35" type="noConversion"/>
  </si>
  <si>
    <t>서울</t>
    <phoneticPr fontId="35" type="noConversion"/>
  </si>
  <si>
    <t>MP3</t>
    <phoneticPr fontId="35" type="noConversion"/>
  </si>
  <si>
    <t>대구</t>
    <phoneticPr fontId="35" type="noConversion"/>
  </si>
  <si>
    <t>부산</t>
    <phoneticPr fontId="35" type="noConversion"/>
  </si>
  <si>
    <t>윤대현</t>
  </si>
  <si>
    <t>캠코더</t>
    <phoneticPr fontId="35" type="noConversion"/>
  </si>
  <si>
    <t>김덕훈</t>
  </si>
  <si>
    <t>디지털카메라</t>
    <phoneticPr fontId="35" type="noConversion"/>
  </si>
  <si>
    <t>영업2팀</t>
  </si>
  <si>
    <t>안정훈</t>
  </si>
  <si>
    <t>영업기획팀</t>
    <phoneticPr fontId="35" type="noConversion"/>
  </si>
  <si>
    <t>최소라</t>
  </si>
  <si>
    <t>오영수</t>
  </si>
  <si>
    <t>영업2팀</t>
    <phoneticPr fontId="35" type="noConversion"/>
  </si>
  <si>
    <t>단가표</t>
    <phoneticPr fontId="35" type="noConversion"/>
  </si>
  <si>
    <t>선하라</t>
  </si>
  <si>
    <t>유가을</t>
  </si>
  <si>
    <t>김문호</t>
  </si>
  <si>
    <t>이남순</t>
  </si>
  <si>
    <t>박정근</t>
  </si>
  <si>
    <t>김경배</t>
  </si>
  <si>
    <t>장은봉</t>
  </si>
  <si>
    <t>이준성</t>
  </si>
  <si>
    <t>이경혜</t>
  </si>
  <si>
    <t>합계</t>
    <phoneticPr fontId="35" type="noConversion"/>
  </si>
  <si>
    <t>[수식 입력 조건]</t>
    <phoneticPr fontId="35" type="noConversion"/>
  </si>
  <si>
    <t>번호</t>
    <phoneticPr fontId="9" type="noConversion"/>
  </si>
  <si>
    <t>분류</t>
    <phoneticPr fontId="57" type="noConversion"/>
  </si>
  <si>
    <t>도서명</t>
    <phoneticPr fontId="57" type="noConversion"/>
  </si>
  <si>
    <t>저 자</t>
  </si>
  <si>
    <t>출판사</t>
    <phoneticPr fontId="57" type="noConversion"/>
  </si>
  <si>
    <t>책수</t>
  </si>
  <si>
    <t>단가</t>
    <phoneticPr fontId="9" type="noConversion"/>
  </si>
  <si>
    <t>기술과학</t>
  </si>
  <si>
    <t>SOLIDWORKS 2009</t>
  </si>
  <si>
    <t>최영재</t>
  </si>
  <si>
    <t>북미디어</t>
  </si>
  <si>
    <t>3DS MAX 2010 기본 활용 지대로 배우기</t>
  </si>
  <si>
    <t>강일웅</t>
  </si>
  <si>
    <t>웰북</t>
  </si>
  <si>
    <t>OpenVG프로그래밍</t>
  </si>
  <si>
    <t>이환용</t>
  </si>
  <si>
    <t>생능</t>
  </si>
  <si>
    <t>PHOTOSHOP CS4 알찬 예제로 쉽게배우기</t>
  </si>
  <si>
    <t>유강수</t>
  </si>
  <si>
    <t>교학사</t>
  </si>
  <si>
    <t>AutoCAD2010</t>
  </si>
  <si>
    <t>이국환</t>
  </si>
  <si>
    <t>기전연구사</t>
  </si>
  <si>
    <t>건설현장기술경영실무</t>
  </si>
  <si>
    <t>김덕준</t>
  </si>
  <si>
    <t>구미서관</t>
  </si>
  <si>
    <t>건강기능식품</t>
  </si>
  <si>
    <t>김미경</t>
  </si>
  <si>
    <t>교문사</t>
  </si>
  <si>
    <t>Git분산버전관리시스템</t>
  </si>
  <si>
    <t>트라비스스위스굿</t>
  </si>
  <si>
    <t>인사이트</t>
  </si>
  <si>
    <t>고수구조역학</t>
  </si>
  <si>
    <t>선용</t>
  </si>
  <si>
    <t>이엔지북</t>
  </si>
  <si>
    <t>객체지향을위한C++프로그래밍</t>
  </si>
  <si>
    <t>서현우</t>
  </si>
  <si>
    <t>웰북(신화북)</t>
  </si>
  <si>
    <t>HMI를위한모니터링제어실험</t>
  </si>
  <si>
    <t>박양수</t>
  </si>
  <si>
    <t>명진</t>
  </si>
  <si>
    <t>C프로그래밍입문과활용</t>
  </si>
  <si>
    <t>이대호</t>
  </si>
  <si>
    <t>GS인터비전</t>
  </si>
  <si>
    <t>PRO ENGINEER에 의한 3D형상모델링과 기초 가상 기구설계</t>
  </si>
  <si>
    <t>홍준희</t>
  </si>
  <si>
    <t>12가지 동화로 만나는 창작 유아 음악극</t>
  </si>
  <si>
    <t>장은희</t>
  </si>
  <si>
    <t>창지사</t>
  </si>
  <si>
    <t>ALTERA QUARTUSII를이용한 FPGA 시스템 설계 및 실습</t>
  </si>
  <si>
    <t>박영석</t>
  </si>
  <si>
    <t>RUBY가보이는그림책</t>
  </si>
  <si>
    <t>ANK Co., Ltd.</t>
  </si>
  <si>
    <t>성안당</t>
  </si>
  <si>
    <t>게리</t>
  </si>
  <si>
    <t>밀드레드프리드먼</t>
  </si>
  <si>
    <t>미메시스</t>
  </si>
  <si>
    <t>감성 지성 높여주는 태교동화</t>
  </si>
  <si>
    <t>김수영</t>
  </si>
  <si>
    <t>웅진리빙하우스(웅진)</t>
  </si>
  <si>
    <t>고마워요 요리 선생님</t>
  </si>
  <si>
    <t>이양지</t>
  </si>
  <si>
    <t>웅진웰북</t>
  </si>
  <si>
    <t>가을맘의 그림책 몰입영어</t>
  </si>
  <si>
    <t>박혜정</t>
  </si>
  <si>
    <t>푸른육아</t>
  </si>
  <si>
    <t>강박증을극복한Joe의이야기</t>
  </si>
  <si>
    <t>조웰스</t>
  </si>
  <si>
    <t>시그마프레스(주)</t>
  </si>
  <si>
    <t>문학</t>
  </si>
  <si>
    <t>각별한 마음</t>
  </si>
  <si>
    <t>장자끄상뻬</t>
  </si>
  <si>
    <t>열린책들</t>
  </si>
  <si>
    <t>100% 엔젤</t>
  </si>
  <si>
    <t>조문채</t>
  </si>
  <si>
    <t>씨앗을뿌리는사람</t>
  </si>
  <si>
    <t>계몽의미학</t>
  </si>
  <si>
    <t>맹주완</t>
  </si>
  <si>
    <t>한국문화사</t>
  </si>
  <si>
    <t>가든파티</t>
  </si>
  <si>
    <t>도리스레씽</t>
  </si>
  <si>
    <t>창비(주)</t>
  </si>
  <si>
    <t>CRAZY 유학 STORY</t>
  </si>
  <si>
    <t>유재호</t>
  </si>
  <si>
    <t>제이북스</t>
  </si>
  <si>
    <t>감성의귀환</t>
  </si>
  <si>
    <t>이연승</t>
  </si>
  <si>
    <t>월인</t>
  </si>
  <si>
    <t>2009 제41회 희중문학상 수상 작품집</t>
  </si>
  <si>
    <t>한상훈</t>
  </si>
  <si>
    <t>에세이</t>
  </si>
  <si>
    <t>고래의 눈</t>
  </si>
  <si>
    <t>게리 D. 슈미트</t>
  </si>
  <si>
    <t>책과콩나무</t>
  </si>
  <si>
    <t>고전과함께떠나는문학여행</t>
  </si>
  <si>
    <t>정병헌</t>
  </si>
  <si>
    <t>태학사</t>
  </si>
  <si>
    <t>21세기를 사는 부모를 위한 자녀양육 지침서</t>
  </si>
  <si>
    <t>공명숙</t>
  </si>
  <si>
    <t>2010신춘문예당선시집</t>
  </si>
  <si>
    <t>강윤미</t>
  </si>
  <si>
    <t>문학세계사</t>
  </si>
  <si>
    <t>가을여자</t>
  </si>
  <si>
    <t>오정희</t>
  </si>
  <si>
    <t>랜덤하우스코리아</t>
  </si>
  <si>
    <t>365뭉클</t>
  </si>
  <si>
    <t>송정림</t>
  </si>
  <si>
    <t>글로세움</t>
  </si>
  <si>
    <t>사회과학</t>
  </si>
  <si>
    <t>2009 State of the Future</t>
  </si>
  <si>
    <t>Jerome C. Glenn</t>
  </si>
  <si>
    <t>Amer Council for the United nations</t>
  </si>
  <si>
    <t>On the Brink</t>
  </si>
  <si>
    <t>Henry M. Paulson</t>
  </si>
  <si>
    <t>Business Plus</t>
  </si>
  <si>
    <t>Strategies in Public Relations</t>
  </si>
  <si>
    <t>Dr.Won Woo Hyun</t>
  </si>
  <si>
    <t>커뮤니케이션북스</t>
  </si>
  <si>
    <t>A Touch of Dead</t>
  </si>
  <si>
    <t>Charlaine Harris</t>
  </si>
  <si>
    <t>Ace</t>
  </si>
  <si>
    <t>경영을위한데이터마이닝</t>
  </si>
  <si>
    <t>MICHAEL J. A. BERRY</t>
  </si>
  <si>
    <t>한경사</t>
  </si>
  <si>
    <t>Warren Buffett Speaks</t>
  </si>
  <si>
    <t>Janet Lowe</t>
  </si>
  <si>
    <t>John Wiley &amp; Sons</t>
  </si>
  <si>
    <t>개인재무설계</t>
  </si>
  <si>
    <t>박광수</t>
  </si>
  <si>
    <t>경문사</t>
  </si>
  <si>
    <t>KOREA through Western Eyes</t>
  </si>
  <si>
    <t>Neff</t>
  </si>
  <si>
    <t>서울대학교출판부</t>
  </si>
  <si>
    <t>공감의상상력과통섭의인문학</t>
  </si>
  <si>
    <t>정정호</t>
  </si>
  <si>
    <t>1718세기통신사에대한일본의의식다례</t>
  </si>
  <si>
    <t>박정희</t>
  </si>
  <si>
    <t>민속원</t>
  </si>
  <si>
    <t>2010 경제신어사전</t>
  </si>
  <si>
    <t>매경출판 출판팀</t>
  </si>
  <si>
    <t>매경출판</t>
  </si>
  <si>
    <t>2020퓨처캐스트</t>
  </si>
  <si>
    <t>로버트 J. 샤피로</t>
  </si>
  <si>
    <t>랜덤하우스</t>
  </si>
  <si>
    <t>경매성공다이어리</t>
  </si>
  <si>
    <t>이영진</t>
  </si>
  <si>
    <t>2010키워드경제사전</t>
  </si>
  <si>
    <t>곽해선</t>
  </si>
  <si>
    <t>개정 유치원 교육과정에 따른 영 유아 건강교육</t>
  </si>
  <si>
    <t>허혜경</t>
  </si>
  <si>
    <t>2010일본업계지도</t>
  </si>
  <si>
    <t>일본경제신문사</t>
  </si>
  <si>
    <t>100년 후</t>
  </si>
  <si>
    <t>조지 프리드먼</t>
  </si>
  <si>
    <t>김영사</t>
  </si>
  <si>
    <t>MD WHO HOW(개정판)</t>
  </si>
  <si>
    <t>최낙삼</t>
  </si>
  <si>
    <t>A4한장으로완성하는기획서작성법</t>
  </si>
  <si>
    <t>토미타 신지</t>
  </si>
  <si>
    <t>삼양미디어</t>
  </si>
  <si>
    <t>CEO브랜딩</t>
  </si>
  <si>
    <t>이필재</t>
  </si>
  <si>
    <t>좋은책만들기</t>
  </si>
  <si>
    <t>HIGH SCORE면접멘토링</t>
  </si>
  <si>
    <t>정희석</t>
  </si>
  <si>
    <t>정일(도서출판)</t>
  </si>
  <si>
    <t>CRM전략</t>
  </si>
  <si>
    <t>레오나드 베리</t>
  </si>
  <si>
    <t>21세기북스</t>
  </si>
  <si>
    <t>공급망관리</t>
  </si>
  <si>
    <t>더글러스 램버트</t>
  </si>
  <si>
    <t>2015건설부동산</t>
  </si>
  <si>
    <t>노무라종합연구소</t>
  </si>
  <si>
    <t>매일경제신문사</t>
  </si>
  <si>
    <t>2010 성장률 속에 감춰진 한국사회의 진실</t>
  </si>
  <si>
    <t>새로운사회를여는연구원</t>
  </si>
  <si>
    <t>시대의창</t>
  </si>
  <si>
    <t>강남엄마의 영어교육 바이블</t>
  </si>
  <si>
    <t>김소희</t>
  </si>
  <si>
    <t>시공사</t>
  </si>
  <si>
    <t>20대에가게를시작했습니다</t>
  </si>
  <si>
    <t>다카와 미유</t>
  </si>
  <si>
    <t>에디터</t>
  </si>
  <si>
    <t>CEO경영의서재를훔치다</t>
  </si>
  <si>
    <t>홍재화</t>
  </si>
  <si>
    <t>미래지식</t>
  </si>
  <si>
    <t>경영학원론</t>
  </si>
  <si>
    <t>임태순</t>
  </si>
  <si>
    <t>한국학술정보</t>
  </si>
  <si>
    <t>88세대여880만원을꿈꿔라</t>
  </si>
  <si>
    <t>한경아</t>
  </si>
  <si>
    <t>코리아하우스</t>
  </si>
  <si>
    <t>가계부 잘쓰는 법</t>
  </si>
  <si>
    <t>에듀머니</t>
  </si>
  <si>
    <t>이콘</t>
  </si>
  <si>
    <t>순수과학</t>
  </si>
  <si>
    <t>PRESCOTT의 핵심미생물학</t>
  </si>
  <si>
    <t>JOANNE M. WILLEY</t>
  </si>
  <si>
    <t>교보문고</t>
  </si>
  <si>
    <t>MAPLE과 수학</t>
  </si>
  <si>
    <t>유천성</t>
  </si>
  <si>
    <t>청문각</t>
  </si>
  <si>
    <t>곤충크게보고색다르게찾자</t>
  </si>
  <si>
    <t>김태우</t>
  </si>
  <si>
    <t>자연과생태</t>
  </si>
  <si>
    <t>언어</t>
  </si>
  <si>
    <t>가짜영어바로잡기사전</t>
  </si>
  <si>
    <t>최동욱</t>
  </si>
  <si>
    <t>문예림</t>
  </si>
  <si>
    <t>TESOL IN ACTION</t>
  </si>
  <si>
    <t>HAN S. JUNG</t>
  </si>
  <si>
    <t>베이직북스</t>
  </si>
  <si>
    <t>THE PRINCESS AND THE FROG</t>
  </si>
  <si>
    <t>IRENE TRIMBLE</t>
  </si>
  <si>
    <t>롱테일북스</t>
  </si>
  <si>
    <t>THE JANITOR</t>
  </si>
  <si>
    <t>토드 홉킨스</t>
  </si>
  <si>
    <t>NEWRUN</t>
  </si>
  <si>
    <t>PLAIN GRAMMAR. 초급</t>
  </si>
  <si>
    <t>소노라</t>
  </si>
  <si>
    <t>랭기지플러스</t>
  </si>
  <si>
    <t>역사</t>
  </si>
  <si>
    <t>6.25전쟁이것만은알아야한다</t>
  </si>
  <si>
    <t>남정옥</t>
  </si>
  <si>
    <t>삼우사</t>
  </si>
  <si>
    <t>고려도자신론</t>
  </si>
  <si>
    <t>강경인</t>
  </si>
  <si>
    <t>학연문화사</t>
  </si>
  <si>
    <t>강화걷기여행</t>
  </si>
  <si>
    <t>김우선</t>
  </si>
  <si>
    <t>터치아트</t>
  </si>
  <si>
    <t>Seoul Survivor</t>
  </si>
  <si>
    <t>라이언 위버</t>
  </si>
  <si>
    <t>EunHaeng NaMu</t>
  </si>
  <si>
    <t>고종황제비밀국새</t>
  </si>
  <si>
    <t>성인근</t>
  </si>
  <si>
    <t>소와당</t>
  </si>
  <si>
    <t>예술</t>
  </si>
  <si>
    <t>공공디자인교과서</t>
  </si>
  <si>
    <t>에도 스미추이젠</t>
  </si>
  <si>
    <t>안그라픽스</t>
  </si>
  <si>
    <t>WTF태권도용어정보사전</t>
  </si>
  <si>
    <t>이경명</t>
  </si>
  <si>
    <t>세계태권도연맹</t>
  </si>
  <si>
    <t>1910 식민지시대의 영화검열 1934</t>
  </si>
  <si>
    <t>한국영상자료원</t>
  </si>
  <si>
    <t>SO COOL</t>
  </si>
  <si>
    <t>이성우</t>
  </si>
  <si>
    <t>미다스북스</t>
  </si>
  <si>
    <t>공간정보디자인</t>
  </si>
  <si>
    <t>데이비드 깁슨</t>
  </si>
  <si>
    <t>비즈앤비즈</t>
  </si>
  <si>
    <t>가족을그리다</t>
  </si>
  <si>
    <t>박영택</t>
  </si>
  <si>
    <t>바다출판사</t>
  </si>
  <si>
    <t>종교</t>
  </si>
  <si>
    <t>Korean Buddhism</t>
  </si>
  <si>
    <t>한국불교종단협의회</t>
  </si>
  <si>
    <t>불광출판사</t>
  </si>
  <si>
    <t>Soundless Whisper</t>
  </si>
  <si>
    <t>우학 스님</t>
  </si>
  <si>
    <t>컬처북스</t>
  </si>
  <si>
    <t>철학</t>
  </si>
  <si>
    <t>가위바위보</t>
  </si>
  <si>
    <t>렌 피셔</t>
  </si>
  <si>
    <t>추수밭</t>
  </si>
  <si>
    <t>가장 듣고 싶은 한마디 YES</t>
  </si>
  <si>
    <t>김태원</t>
  </si>
  <si>
    <t>지식노마드</t>
  </si>
  <si>
    <t>건강한삶이성공한인생이다</t>
  </si>
  <si>
    <t>박구부</t>
  </si>
  <si>
    <t>이코노믹북스</t>
  </si>
  <si>
    <t>감정심리학</t>
  </si>
  <si>
    <t>이훈구</t>
  </si>
  <si>
    <t>이너북스</t>
  </si>
  <si>
    <t>20대에꼭만나야할50인</t>
  </si>
  <si>
    <t>윤정은</t>
  </si>
  <si>
    <t>원앤원북스</t>
  </si>
  <si>
    <t>1미터테두리법칙</t>
  </si>
  <si>
    <t>야마구치 요시유키</t>
  </si>
  <si>
    <t>지훈</t>
  </si>
  <si>
    <t>NO나라에사는YES를찾아서</t>
  </si>
  <si>
    <t>BJ 갤러허</t>
  </si>
  <si>
    <t>문학수첩</t>
  </si>
  <si>
    <t>365 매일 읽는 성공 3력</t>
  </si>
  <si>
    <t>강민구</t>
  </si>
  <si>
    <t>눈과마음</t>
  </si>
  <si>
    <t>365 매일읽는 3분 상상토크</t>
  </si>
  <si>
    <t>신청일</t>
    <phoneticPr fontId="35" type="noConversion"/>
  </si>
  <si>
    <t>부장</t>
    <phoneticPr fontId="35" type="noConversion"/>
  </si>
  <si>
    <t>전무</t>
    <phoneticPr fontId="35" type="noConversion"/>
  </si>
  <si>
    <t>사장</t>
    <phoneticPr fontId="35" type="noConversion"/>
  </si>
  <si>
    <t>부서목록</t>
    <phoneticPr fontId="35" type="noConversion"/>
  </si>
  <si>
    <t>부서명</t>
    <phoneticPr fontId="35" type="noConversion"/>
  </si>
  <si>
    <t>직원</t>
    <phoneticPr fontId="35" type="noConversion"/>
  </si>
  <si>
    <t>총무부</t>
    <phoneticPr fontId="35" type="noConversion"/>
  </si>
  <si>
    <t>오행순</t>
    <phoneticPr fontId="35" type="noConversion"/>
  </si>
  <si>
    <t>담당자</t>
    <phoneticPr fontId="35" type="noConversion"/>
  </si>
  <si>
    <t>개발부</t>
    <phoneticPr fontId="35" type="noConversion"/>
  </si>
  <si>
    <t>총무부</t>
    <phoneticPr fontId="35" type="noConversion"/>
  </si>
  <si>
    <t>노금자</t>
    <phoneticPr fontId="35" type="noConversion"/>
  </si>
  <si>
    <t>합  계</t>
    <phoneticPr fontId="35" type="noConversion"/>
  </si>
  <si>
    <t>영업부</t>
    <phoneticPr fontId="35" type="noConversion"/>
  </si>
  <si>
    <t>노영아</t>
    <phoneticPr fontId="35" type="noConversion"/>
  </si>
  <si>
    <t>관리부</t>
    <phoneticPr fontId="35" type="noConversion"/>
  </si>
  <si>
    <t>총무부</t>
    <phoneticPr fontId="35" type="noConversion"/>
  </si>
  <si>
    <t>최춘희</t>
    <phoneticPr fontId="35" type="noConversion"/>
  </si>
  <si>
    <t>구분</t>
    <phoneticPr fontId="35" type="noConversion"/>
  </si>
  <si>
    <t>품명</t>
    <phoneticPr fontId="35" type="noConversion"/>
  </si>
  <si>
    <t>수량</t>
    <phoneticPr fontId="35" type="noConversion"/>
  </si>
  <si>
    <t>단가</t>
    <phoneticPr fontId="35" type="noConversion"/>
  </si>
  <si>
    <t>금액</t>
    <phoneticPr fontId="35" type="noConversion"/>
  </si>
  <si>
    <t>비고</t>
    <phoneticPr fontId="35" type="noConversion"/>
  </si>
  <si>
    <t>개발부</t>
    <phoneticPr fontId="35" type="noConversion"/>
  </si>
  <si>
    <t>이인숙</t>
    <phoneticPr fontId="35" type="noConversion"/>
  </si>
  <si>
    <t>사무용품</t>
    <phoneticPr fontId="35" type="noConversion"/>
  </si>
  <si>
    <t>투명 테이프</t>
  </si>
  <si>
    <t>김지숙</t>
    <phoneticPr fontId="35" type="noConversion"/>
  </si>
  <si>
    <t>박스 테이프</t>
  </si>
  <si>
    <t>이다혜</t>
    <phoneticPr fontId="35" type="noConversion"/>
  </si>
  <si>
    <t>서류 꽂이</t>
  </si>
  <si>
    <t>이우경</t>
    <phoneticPr fontId="35" type="noConversion"/>
  </si>
  <si>
    <t>서류 바인더(D링)</t>
  </si>
  <si>
    <t>이지연</t>
    <phoneticPr fontId="35" type="noConversion"/>
  </si>
  <si>
    <t>인쇄용지</t>
    <phoneticPr fontId="35" type="noConversion"/>
  </si>
  <si>
    <t>복사 용지(A4)</t>
  </si>
  <si>
    <t>정민진</t>
    <phoneticPr fontId="35" type="noConversion"/>
  </si>
  <si>
    <t>잉크넷 전용지(A4)</t>
  </si>
  <si>
    <t>영업부</t>
    <phoneticPr fontId="35" type="noConversion"/>
  </si>
  <si>
    <t>변재업</t>
    <phoneticPr fontId="35" type="noConversion"/>
  </si>
  <si>
    <t>필기도구</t>
    <phoneticPr fontId="35" type="noConversion"/>
  </si>
  <si>
    <t>볼펜(12개입)</t>
    <phoneticPr fontId="35" type="noConversion"/>
  </si>
  <si>
    <t>정창현</t>
    <phoneticPr fontId="35" type="noConversion"/>
  </si>
  <si>
    <t>젤러펜(0.5mm)</t>
    <phoneticPr fontId="35" type="noConversion"/>
  </si>
  <si>
    <t>차정욱</t>
    <phoneticPr fontId="35" type="noConversion"/>
  </si>
  <si>
    <t>최현욱</t>
    <phoneticPr fontId="35" type="noConversion"/>
  </si>
  <si>
    <t>김재길</t>
    <phoneticPr fontId="35" type="noConversion"/>
  </si>
  <si>
    <t>서운종</t>
    <phoneticPr fontId="35" type="noConversion"/>
  </si>
  <si>
    <t>박상섭</t>
    <phoneticPr fontId="35" type="noConversion"/>
  </si>
  <si>
    <t>유재호</t>
    <phoneticPr fontId="35" type="noConversion"/>
  </si>
  <si>
    <t>비    고</t>
    <phoneticPr fontId="35" type="noConversion"/>
  </si>
  <si>
    <t xml:space="preserve">1. NO : 1,2,3,4로 일련번호 표시 </t>
    <phoneticPr fontId="35" type="noConversion"/>
  </si>
  <si>
    <t>2. 단가 : 단가표를 참조하여 제품명에 따른 단가 표시</t>
    <phoneticPr fontId="35" type="noConversion"/>
  </si>
  <si>
    <t>3. 수당 : '수량'이 5개 이상이고, '매출액'이 300만원 이상이면 [매출액]*10%, 아니면 0</t>
    <phoneticPr fontId="35" type="noConversion"/>
  </si>
  <si>
    <t>4. 합계 : 수량, 매출액, 수당의 합계</t>
    <phoneticPr fontId="35" type="noConversion"/>
  </si>
  <si>
    <t>5. 부서별 지역별 매출액(L열~O열) : 부서와 지역의 2개 조건에 만족하는 매출액 합계</t>
    <phoneticPr fontId="35" type="noConversion"/>
  </si>
  <si>
    <t>능력평가 집계표</t>
    <phoneticPr fontId="9" type="noConversion"/>
  </si>
  <si>
    <t>번호</t>
    <phoneticPr fontId="9" type="noConversion"/>
  </si>
  <si>
    <t>이  름</t>
    <phoneticPr fontId="9" type="noConversion"/>
  </si>
  <si>
    <t>교육점수</t>
    <phoneticPr fontId="9" type="noConversion"/>
  </si>
  <si>
    <t>업무능력</t>
    <phoneticPr fontId="9" type="noConversion"/>
  </si>
  <si>
    <t>실적등급</t>
    <phoneticPr fontId="9" type="noConversion"/>
  </si>
  <si>
    <t>해외연수</t>
    <phoneticPr fontId="9" type="noConversion"/>
  </si>
  <si>
    <t>실적수당</t>
    <phoneticPr fontId="9" type="noConversion"/>
  </si>
  <si>
    <t>특별수당</t>
    <phoneticPr fontId="9" type="noConversion"/>
  </si>
  <si>
    <t>강환진</t>
  </si>
  <si>
    <t>A</t>
    <phoneticPr fontId="9" type="noConversion"/>
  </si>
  <si>
    <t>C</t>
    <phoneticPr fontId="9" type="noConversion"/>
  </si>
  <si>
    <t>권미정</t>
  </si>
  <si>
    <t>B</t>
    <phoneticPr fontId="9" type="noConversion"/>
  </si>
  <si>
    <t>권현구</t>
  </si>
  <si>
    <t>김대호</t>
  </si>
  <si>
    <t>김문식</t>
  </si>
  <si>
    <t>김양경</t>
  </si>
  <si>
    <t>김운형</t>
  </si>
  <si>
    <t>김지흔</t>
  </si>
  <si>
    <t>김태욱</t>
  </si>
  <si>
    <t>김현정</t>
  </si>
  <si>
    <t>김효진</t>
  </si>
  <si>
    <t>박명화</t>
  </si>
  <si>
    <t>박세희</t>
  </si>
  <si>
    <t>박영상</t>
  </si>
  <si>
    <t>박영환</t>
  </si>
  <si>
    <t>박정남</t>
  </si>
  <si>
    <t>양길웅</t>
  </si>
  <si>
    <t>양정화</t>
  </si>
  <si>
    <t>오상식</t>
  </si>
  <si>
    <t>임주연</t>
  </si>
  <si>
    <t>서울</t>
    <phoneticPr fontId="35" type="noConversion"/>
  </si>
  <si>
    <t>주세형</t>
  </si>
  <si>
    <t>대전</t>
    <phoneticPr fontId="35" type="noConversion"/>
  </si>
  <si>
    <t>박현경</t>
  </si>
  <si>
    <t>권병철</t>
  </si>
  <si>
    <t>김아영</t>
  </si>
  <si>
    <t>대구</t>
  </si>
  <si>
    <t>송완호</t>
  </si>
  <si>
    <t>유미선</t>
  </si>
  <si>
    <t>윤정태</t>
  </si>
  <si>
    <t>박정환</t>
  </si>
  <si>
    <t>김태희</t>
  </si>
  <si>
    <t>조상흠</t>
  </si>
  <si>
    <t>배준형</t>
  </si>
  <si>
    <t>부산</t>
    <phoneticPr fontId="35" type="noConversion"/>
  </si>
  <si>
    <t>홍성옥</t>
  </si>
  <si>
    <t>대구</t>
    <phoneticPr fontId="35" type="noConversion"/>
  </si>
  <si>
    <t>김민수</t>
  </si>
  <si>
    <t>오청미</t>
  </si>
  <si>
    <t>양기용</t>
  </si>
  <si>
    <t>지방 출장비</t>
    <phoneticPr fontId="93" type="noConversion"/>
  </si>
  <si>
    <t>근무지</t>
    <phoneticPr fontId="93" type="noConversion"/>
  </si>
  <si>
    <t>이름</t>
    <phoneticPr fontId="93" type="noConversion"/>
  </si>
  <si>
    <t>지방 근무자 출장비 지급 내역</t>
    <phoneticPr fontId="35" type="noConversion"/>
  </si>
  <si>
    <t>김희정</t>
  </si>
  <si>
    <t>주사</t>
  </si>
  <si>
    <t>한정철</t>
  </si>
  <si>
    <t>A0218</t>
  </si>
  <si>
    <t>한옥자</t>
  </si>
  <si>
    <t>A0217</t>
    <phoneticPr fontId="9" type="noConversion"/>
  </si>
  <si>
    <t>기능8</t>
    <phoneticPr fontId="9" type="noConversion"/>
  </si>
  <si>
    <t>하연정</t>
  </si>
  <si>
    <t>B2328</t>
    <phoneticPr fontId="9" type="noConversion"/>
  </si>
  <si>
    <t>별정8</t>
    <phoneticPr fontId="9" type="noConversion"/>
  </si>
  <si>
    <t>최의수</t>
  </si>
  <si>
    <t>C2145</t>
    <phoneticPr fontId="9" type="noConversion"/>
  </si>
  <si>
    <t>사무관</t>
  </si>
  <si>
    <t>최기영</t>
  </si>
  <si>
    <t>A4521</t>
    <phoneticPr fontId="9" type="noConversion"/>
  </si>
  <si>
    <t>별정7</t>
    <phoneticPr fontId="9" type="noConversion"/>
  </si>
  <si>
    <t>채춘실</t>
  </si>
  <si>
    <t>C1209</t>
    <phoneticPr fontId="9" type="noConversion"/>
  </si>
  <si>
    <t>채재상</t>
  </si>
  <si>
    <t>A2250</t>
    <phoneticPr fontId="9" type="noConversion"/>
  </si>
  <si>
    <t>채옥자</t>
  </si>
  <si>
    <t>B4580</t>
    <phoneticPr fontId="9" type="noConversion"/>
  </si>
  <si>
    <t>서기보</t>
  </si>
  <si>
    <t>주재상</t>
  </si>
  <si>
    <t>A3620</t>
    <phoneticPr fontId="9" type="noConversion"/>
  </si>
  <si>
    <t>조현빈</t>
  </si>
  <si>
    <t>C3600</t>
    <phoneticPr fontId="9" type="noConversion"/>
  </si>
  <si>
    <t>조순애</t>
  </si>
  <si>
    <t>A2543</t>
    <phoneticPr fontId="9" type="noConversion"/>
  </si>
  <si>
    <t>주사</t>
    <phoneticPr fontId="9" type="noConversion"/>
  </si>
  <si>
    <t>정혜연</t>
  </si>
  <si>
    <t>A1473</t>
    <phoneticPr fontId="9" type="noConversion"/>
  </si>
  <si>
    <t>별정5</t>
    <phoneticPr fontId="9" type="noConversion"/>
  </si>
  <si>
    <t>정칠복</t>
  </si>
  <si>
    <t>C3204</t>
    <phoneticPr fontId="9" type="noConversion"/>
  </si>
  <si>
    <t>서기관</t>
  </si>
  <si>
    <t>정문철</t>
  </si>
  <si>
    <t>A1200</t>
    <phoneticPr fontId="9" type="noConversion"/>
  </si>
  <si>
    <t>전화란</t>
  </si>
  <si>
    <t>A1209</t>
    <phoneticPr fontId="9" type="noConversion"/>
  </si>
  <si>
    <t>전찬희</t>
  </si>
  <si>
    <t>A3164</t>
    <phoneticPr fontId="9" type="noConversion"/>
  </si>
  <si>
    <t>기능10</t>
    <phoneticPr fontId="9" type="noConversion"/>
  </si>
  <si>
    <t>이혜연</t>
  </si>
  <si>
    <t>B1200</t>
    <phoneticPr fontId="9" type="noConversion"/>
  </si>
  <si>
    <t>기능8</t>
    <phoneticPr fontId="9" type="noConversion"/>
  </si>
  <si>
    <t>이윤택</t>
  </si>
  <si>
    <t>B0124</t>
    <phoneticPr fontId="9" type="noConversion"/>
  </si>
  <si>
    <t>별정9</t>
    <phoneticPr fontId="9" type="noConversion"/>
  </si>
  <si>
    <t>이영남</t>
  </si>
  <si>
    <t>C3254</t>
    <phoneticPr fontId="9" type="noConversion"/>
  </si>
  <si>
    <t>기능7</t>
    <phoneticPr fontId="9" type="noConversion"/>
  </si>
  <si>
    <t>양상일</t>
  </si>
  <si>
    <t>B1209</t>
    <phoneticPr fontId="9" type="noConversion"/>
  </si>
  <si>
    <t>서기</t>
  </si>
  <si>
    <t>A1457</t>
    <phoneticPr fontId="9" type="noConversion"/>
  </si>
  <si>
    <t>주사보</t>
  </si>
  <si>
    <t>양경규</t>
  </si>
  <si>
    <t>A1212</t>
    <phoneticPr fontId="9" type="noConversion"/>
  </si>
  <si>
    <t>손송이</t>
  </si>
  <si>
    <t>A7874</t>
    <phoneticPr fontId="9" type="noConversion"/>
  </si>
  <si>
    <t>별정8</t>
    <phoneticPr fontId="9" type="noConversion"/>
  </si>
  <si>
    <t>손건모</t>
  </si>
  <si>
    <t>C3208</t>
    <phoneticPr fontId="9" type="noConversion"/>
  </si>
  <si>
    <t>별정6</t>
    <phoneticPr fontId="9" type="noConversion"/>
  </si>
  <si>
    <t>성태일</t>
  </si>
  <si>
    <t>C2365</t>
    <phoneticPr fontId="9" type="noConversion"/>
  </si>
  <si>
    <t>기능10</t>
    <phoneticPr fontId="9" type="noConversion"/>
  </si>
  <si>
    <t>성서희</t>
  </si>
  <si>
    <t>B4578</t>
    <phoneticPr fontId="9" type="noConversion"/>
  </si>
  <si>
    <t>서영애</t>
  </si>
  <si>
    <t>A6850</t>
    <phoneticPr fontId="9" type="noConversion"/>
  </si>
  <si>
    <t>기능6</t>
    <phoneticPr fontId="9" type="noConversion"/>
  </si>
  <si>
    <t>백한일</t>
  </si>
  <si>
    <t>B1240</t>
    <phoneticPr fontId="9" type="noConversion"/>
  </si>
  <si>
    <t>기능7</t>
    <phoneticPr fontId="9" type="noConversion"/>
  </si>
  <si>
    <t>백영삼</t>
  </si>
  <si>
    <t>B3367</t>
    <phoneticPr fontId="9" type="noConversion"/>
  </si>
  <si>
    <t>별정9</t>
    <phoneticPr fontId="9" type="noConversion"/>
  </si>
  <si>
    <t>백길자</t>
  </si>
  <si>
    <t>C3607</t>
    <phoneticPr fontId="9" type="noConversion"/>
  </si>
  <si>
    <t>주사</t>
    <phoneticPr fontId="9" type="noConversion"/>
  </si>
  <si>
    <t>배주용</t>
  </si>
  <si>
    <t>A0101</t>
    <phoneticPr fontId="9" type="noConversion"/>
  </si>
  <si>
    <t>배민석</t>
  </si>
  <si>
    <t>A3630</t>
    <phoneticPr fontId="9" type="noConversion"/>
  </si>
  <si>
    <t>방춘자</t>
  </si>
  <si>
    <t>A1112</t>
    <phoneticPr fontId="9" type="noConversion"/>
  </si>
  <si>
    <t>별정8</t>
    <phoneticPr fontId="9" type="noConversion"/>
  </si>
  <si>
    <t>방동석</t>
  </si>
  <si>
    <t>C6985</t>
    <phoneticPr fontId="9" type="noConversion"/>
  </si>
  <si>
    <t>기능9</t>
    <phoneticPr fontId="9" type="noConversion"/>
  </si>
  <si>
    <t>박순희</t>
  </si>
  <si>
    <t>B1478</t>
    <phoneticPr fontId="9" type="noConversion"/>
  </si>
  <si>
    <t>노혜정</t>
  </si>
  <si>
    <t>A3654</t>
    <phoneticPr fontId="9" type="noConversion"/>
  </si>
  <si>
    <t>주사보</t>
    <phoneticPr fontId="9" type="noConversion"/>
  </si>
  <si>
    <t>노정환</t>
  </si>
  <si>
    <t>A3636</t>
    <phoneticPr fontId="9" type="noConversion"/>
  </si>
  <si>
    <t>노정일</t>
  </si>
  <si>
    <t>A7930</t>
    <phoneticPr fontId="9" type="noConversion"/>
  </si>
  <si>
    <t>노은영</t>
  </si>
  <si>
    <t>B2210</t>
    <phoneticPr fontId="9" type="noConversion"/>
  </si>
  <si>
    <t>기능10</t>
    <phoneticPr fontId="9" type="noConversion"/>
  </si>
  <si>
    <t>노은숙</t>
  </si>
  <si>
    <t>B0312</t>
    <phoneticPr fontId="9" type="noConversion"/>
  </si>
  <si>
    <t>노연숙</t>
  </si>
  <si>
    <t>A3657</t>
    <phoneticPr fontId="9" type="noConversion"/>
  </si>
  <si>
    <t>별정5</t>
    <phoneticPr fontId="9" type="noConversion"/>
  </si>
  <si>
    <t>C1010</t>
    <phoneticPr fontId="9" type="noConversion"/>
  </si>
  <si>
    <t>기능8</t>
    <phoneticPr fontId="9" type="noConversion"/>
  </si>
  <si>
    <t>김은아</t>
  </si>
  <si>
    <t>B1204</t>
    <phoneticPr fontId="9" type="noConversion"/>
  </si>
  <si>
    <t>B6542</t>
    <phoneticPr fontId="9" type="noConversion"/>
  </si>
  <si>
    <t>권한일</t>
  </si>
  <si>
    <t>A2451</t>
    <phoneticPr fontId="9" type="noConversion"/>
  </si>
  <si>
    <t>3. 주민등록번호를 이용하여 생년월일을 추출</t>
    <phoneticPr fontId="9" type="noConversion"/>
  </si>
  <si>
    <t>권민욱</t>
  </si>
  <si>
    <t>B7801</t>
    <phoneticPr fontId="9" type="noConversion"/>
  </si>
  <si>
    <t>권미숙</t>
  </si>
  <si>
    <t>B1245</t>
    <phoneticPr fontId="9" type="noConversion"/>
  </si>
  <si>
    <t>2.  주민등록번호의 8번째부터 1자리를 추출하여 '남', '여' 구분</t>
    <phoneticPr fontId="9" type="noConversion"/>
  </si>
  <si>
    <t>강정철</t>
  </si>
  <si>
    <t>A1452</t>
    <phoneticPr fontId="9" type="noConversion"/>
  </si>
  <si>
    <t>강정원</t>
  </si>
  <si>
    <t>A1140</t>
    <phoneticPr fontId="9" type="noConversion"/>
  </si>
  <si>
    <t>1. 인적사항의 시트를 이용하여 주민등록번호를 뒤 6자리를 '*'로 출력</t>
    <phoneticPr fontId="9" type="noConversion"/>
  </si>
  <si>
    <t>강은광</t>
  </si>
  <si>
    <t>B3624</t>
    <phoneticPr fontId="9" type="noConversion"/>
  </si>
  <si>
    <t>비고</t>
    <phoneticPr fontId="9" type="noConversion"/>
  </si>
  <si>
    <t>생년월일</t>
    <phoneticPr fontId="35" type="noConversion"/>
  </si>
  <si>
    <t>성별</t>
    <phoneticPr fontId="35" type="noConversion"/>
  </si>
  <si>
    <t>주민등록번호</t>
    <phoneticPr fontId="9" type="noConversion"/>
  </si>
  <si>
    <t>직위</t>
    <phoneticPr fontId="9" type="noConversion"/>
  </si>
  <si>
    <t>성명</t>
    <phoneticPr fontId="9" type="noConversion"/>
  </si>
  <si>
    <t>사번</t>
    <phoneticPr fontId="9" type="noConversion"/>
  </si>
  <si>
    <t>직원정보 출력</t>
    <phoneticPr fontId="35" type="noConversion"/>
  </si>
  <si>
    <t>충북 청주시 흥덕구 원평동 582</t>
  </si>
  <si>
    <t>600605-1328773</t>
  </si>
  <si>
    <t>대전 유성구 신봉동 809</t>
  </si>
  <si>
    <t>751101-2431458</t>
  </si>
  <si>
    <t>A0217</t>
    <phoneticPr fontId="9" type="noConversion"/>
  </si>
  <si>
    <t>경남 마산시 회원동 277</t>
  </si>
  <si>
    <t>591021-1517099</t>
  </si>
  <si>
    <t>기능8</t>
    <phoneticPr fontId="9" type="noConversion"/>
  </si>
  <si>
    <t>B2328</t>
    <phoneticPr fontId="9" type="noConversion"/>
  </si>
  <si>
    <t>서울 동대문구 용두1동 244</t>
  </si>
  <si>
    <t>740102-1214706</t>
  </si>
  <si>
    <t>별정8</t>
    <phoneticPr fontId="9" type="noConversion"/>
  </si>
  <si>
    <t>C2145</t>
    <phoneticPr fontId="9" type="noConversion"/>
  </si>
  <si>
    <t>광주 동구 남동 680</t>
  </si>
  <si>
    <t>761012-2420917</t>
  </si>
  <si>
    <t>A4521</t>
    <phoneticPr fontId="9" type="noConversion"/>
  </si>
  <si>
    <t>서울 강동구 암사4동 445</t>
  </si>
  <si>
    <t>580112-2869534</t>
  </si>
  <si>
    <t>별정7</t>
    <phoneticPr fontId="9" type="noConversion"/>
  </si>
  <si>
    <t>C1209</t>
    <phoneticPr fontId="9" type="noConversion"/>
  </si>
  <si>
    <t>경남 통영시 인평동 601</t>
  </si>
  <si>
    <t>640626-1451759</t>
  </si>
  <si>
    <t>A2250</t>
    <phoneticPr fontId="9" type="noConversion"/>
  </si>
  <si>
    <t>강원 춘천시 송암동 747</t>
  </si>
  <si>
    <t>690311-1141487</t>
  </si>
  <si>
    <t>B4580</t>
    <phoneticPr fontId="9" type="noConversion"/>
  </si>
  <si>
    <t>서울 중구 남대문로5가 474</t>
  </si>
  <si>
    <t>610724-1364791</t>
  </si>
  <si>
    <t>A3620</t>
    <phoneticPr fontId="9" type="noConversion"/>
  </si>
  <si>
    <t>전남 나주시 경현동 809</t>
  </si>
  <si>
    <t>670205-1780646</t>
  </si>
  <si>
    <t>C3600</t>
    <phoneticPr fontId="9" type="noConversion"/>
  </si>
  <si>
    <t>경북 영천시 창구동 406</t>
  </si>
  <si>
    <t>771022-1679293</t>
  </si>
  <si>
    <t>A2543</t>
    <phoneticPr fontId="9" type="noConversion"/>
  </si>
  <si>
    <t>강원 강릉시 난곡동 588</t>
  </si>
  <si>
    <t>760714-1645991</t>
  </si>
  <si>
    <t>주사</t>
    <phoneticPr fontId="9" type="noConversion"/>
  </si>
  <si>
    <t>A1473</t>
    <phoneticPr fontId="9" type="noConversion"/>
  </si>
  <si>
    <t>경기 부천시 오정구 오정동 889</t>
  </si>
  <si>
    <t>690824-2186972</t>
  </si>
  <si>
    <t>별정5</t>
    <phoneticPr fontId="9" type="noConversion"/>
  </si>
  <si>
    <t>C3204</t>
    <phoneticPr fontId="9" type="noConversion"/>
  </si>
  <si>
    <t>경기 수원시 권선구 오목천동 371</t>
  </si>
  <si>
    <t>660204-2370876</t>
  </si>
  <si>
    <t>A1200</t>
    <phoneticPr fontId="9" type="noConversion"/>
  </si>
  <si>
    <t>광주 북구 지야동 610</t>
  </si>
  <si>
    <t>710627-2687499</t>
  </si>
  <si>
    <t>A1209</t>
    <phoneticPr fontId="9" type="noConversion"/>
  </si>
  <si>
    <t>전남 목포시 유달동 103</t>
  </si>
  <si>
    <t>650517-2683130</t>
  </si>
  <si>
    <t>A3164</t>
    <phoneticPr fontId="9" type="noConversion"/>
  </si>
  <si>
    <t>서울 중구 입정동 551</t>
  </si>
  <si>
    <t>580818-1433889</t>
  </si>
  <si>
    <t>기능10</t>
    <phoneticPr fontId="9" type="noConversion"/>
  </si>
  <si>
    <t>B1200</t>
    <phoneticPr fontId="9" type="noConversion"/>
  </si>
  <si>
    <t>충북 충주시 안림동 465</t>
  </si>
  <si>
    <t>700928-1209331</t>
  </si>
  <si>
    <t>B0124</t>
    <phoneticPr fontId="9" type="noConversion"/>
  </si>
  <si>
    <t>인천 남구 용현2동 864</t>
  </si>
  <si>
    <t>601217-2412631</t>
  </si>
  <si>
    <t>별정9</t>
    <phoneticPr fontId="9" type="noConversion"/>
  </si>
  <si>
    <t>C3254</t>
    <phoneticPr fontId="9" type="noConversion"/>
  </si>
  <si>
    <t>경기 군포시 오금동 543</t>
  </si>
  <si>
    <t>720904-2426121</t>
  </si>
  <si>
    <t>기능7</t>
    <phoneticPr fontId="9" type="noConversion"/>
  </si>
  <si>
    <t>B1209</t>
    <phoneticPr fontId="9" type="noConversion"/>
  </si>
  <si>
    <t>서울 구로구 오류동 188</t>
  </si>
  <si>
    <t>690917-2265155</t>
  </si>
  <si>
    <t>A1457</t>
    <phoneticPr fontId="9" type="noConversion"/>
  </si>
  <si>
    <t>서울 성북구 삼선동4가 711</t>
  </si>
  <si>
    <t>760725-2685328</t>
  </si>
  <si>
    <t>A1212</t>
    <phoneticPr fontId="9" type="noConversion"/>
  </si>
  <si>
    <t>충남 서산시 장동 112</t>
  </si>
  <si>
    <t>660803-2407321</t>
  </si>
  <si>
    <t>A7874</t>
    <phoneticPr fontId="9" type="noConversion"/>
  </si>
  <si>
    <t>대구 중구 서문로2가 450</t>
  </si>
  <si>
    <t>760216-1923667</t>
  </si>
  <si>
    <t>C3208</t>
    <phoneticPr fontId="9" type="noConversion"/>
  </si>
  <si>
    <t>부산 동래구 명륜1동 579</t>
  </si>
  <si>
    <t>580226-2184705</t>
  </si>
  <si>
    <t>별정6</t>
    <phoneticPr fontId="9" type="noConversion"/>
  </si>
  <si>
    <t>C2365</t>
    <phoneticPr fontId="9" type="noConversion"/>
  </si>
  <si>
    <t>울산 남구 야음2동 713</t>
  </si>
  <si>
    <t>611005-2567156</t>
  </si>
  <si>
    <t>기능10</t>
    <phoneticPr fontId="9" type="noConversion"/>
  </si>
  <si>
    <t>B4578</t>
    <phoneticPr fontId="9" type="noConversion"/>
  </si>
  <si>
    <t>경남 사천시 늑도동 477</t>
  </si>
  <si>
    <t>681005-1156208</t>
  </si>
  <si>
    <t>A6850</t>
    <phoneticPr fontId="9" type="noConversion"/>
  </si>
  <si>
    <t>경기 고양시 덕양구 행주내동 596</t>
  </si>
  <si>
    <t>800704-2117574</t>
  </si>
  <si>
    <t>기능6</t>
    <phoneticPr fontId="9" type="noConversion"/>
  </si>
  <si>
    <t>B1240</t>
    <phoneticPr fontId="9" type="noConversion"/>
  </si>
  <si>
    <t>서울 광진구 구의동 134</t>
  </si>
  <si>
    <t>621002-1160571</t>
  </si>
  <si>
    <t>기능7</t>
    <phoneticPr fontId="9" type="noConversion"/>
  </si>
  <si>
    <t>B3367</t>
    <phoneticPr fontId="9" type="noConversion"/>
  </si>
  <si>
    <t>경기 과천시 갈현동 631</t>
  </si>
  <si>
    <t>770217-1219029</t>
  </si>
  <si>
    <t>별정9</t>
    <phoneticPr fontId="9" type="noConversion"/>
  </si>
  <si>
    <t>C3607</t>
    <phoneticPr fontId="9" type="noConversion"/>
  </si>
  <si>
    <t>경기 수원시 권선구 호매실동 329</t>
  </si>
  <si>
    <t>720810-1623041</t>
  </si>
  <si>
    <t>주사</t>
    <phoneticPr fontId="9" type="noConversion"/>
  </si>
  <si>
    <t>A0101</t>
    <phoneticPr fontId="9" type="noConversion"/>
  </si>
  <si>
    <t>대전 서구 둔산1동 716</t>
  </si>
  <si>
    <t>600403-1659130</t>
  </si>
  <si>
    <t>A3630</t>
    <phoneticPr fontId="9" type="noConversion"/>
  </si>
  <si>
    <t>경남 진해시 남문동 885</t>
  </si>
  <si>
    <t>621025-1123927</t>
  </si>
  <si>
    <t>A1112</t>
    <phoneticPr fontId="9" type="noConversion"/>
  </si>
  <si>
    <t>전남 목포시 경동1가 202</t>
  </si>
  <si>
    <t>681227-2967739</t>
  </si>
  <si>
    <t>별정8</t>
    <phoneticPr fontId="9" type="noConversion"/>
  </si>
  <si>
    <t>C6985</t>
    <phoneticPr fontId="9" type="noConversion"/>
  </si>
  <si>
    <t>경북 안동시 송천동 135</t>
  </si>
  <si>
    <t>750320-1476442</t>
  </si>
  <si>
    <t>기능9</t>
    <phoneticPr fontId="9" type="noConversion"/>
  </si>
  <si>
    <t>B1478</t>
    <phoneticPr fontId="9" type="noConversion"/>
  </si>
  <si>
    <t>부산 중구 동광동5가 439</t>
  </si>
  <si>
    <t>660828-1277469</t>
  </si>
  <si>
    <t>A3654</t>
    <phoneticPr fontId="9" type="noConversion"/>
  </si>
  <si>
    <t>경기 의정부시 가능1동 754</t>
  </si>
  <si>
    <t>660811-1700314</t>
  </si>
  <si>
    <t>주사보</t>
    <phoneticPr fontId="9" type="noConversion"/>
  </si>
  <si>
    <t>A3636</t>
    <phoneticPr fontId="9" type="noConversion"/>
  </si>
  <si>
    <t>경북 안동시 명륜동 299</t>
  </si>
  <si>
    <t>790211-2720108</t>
  </si>
  <si>
    <t>A7930</t>
    <phoneticPr fontId="9" type="noConversion"/>
  </si>
  <si>
    <t>서울 서초구 서초1동 790</t>
  </si>
  <si>
    <t>660123-1264713</t>
  </si>
  <si>
    <t>B2210</t>
    <phoneticPr fontId="9" type="noConversion"/>
  </si>
  <si>
    <t>경남 진해시 인사동 399</t>
  </si>
  <si>
    <t>711104-2931093</t>
  </si>
  <si>
    <t>B0312</t>
    <phoneticPr fontId="9" type="noConversion"/>
  </si>
  <si>
    <t>충북 제천시 고암동 789</t>
  </si>
  <si>
    <t>590607-2712046</t>
  </si>
  <si>
    <t>A3657</t>
    <phoneticPr fontId="9" type="noConversion"/>
  </si>
  <si>
    <t>강원 강릉시 운정동 507</t>
  </si>
  <si>
    <t>680816-2149953</t>
  </si>
  <si>
    <t>별정5</t>
    <phoneticPr fontId="9" type="noConversion"/>
  </si>
  <si>
    <t>C1010</t>
    <phoneticPr fontId="9" type="noConversion"/>
  </si>
  <si>
    <t>부산 강서구 미음동 795</t>
  </si>
  <si>
    <t>660822-2619594</t>
  </si>
  <si>
    <t>기능8</t>
    <phoneticPr fontId="9" type="noConversion"/>
  </si>
  <si>
    <t>B1204</t>
    <phoneticPr fontId="9" type="noConversion"/>
  </si>
  <si>
    <t>전남 순천시 석현동 385</t>
  </si>
  <si>
    <t>720313-2952335</t>
  </si>
  <si>
    <t>B6542</t>
    <phoneticPr fontId="9" type="noConversion"/>
  </si>
  <si>
    <t>경기 화성시 시동 336</t>
  </si>
  <si>
    <t>651122-1595999</t>
  </si>
  <si>
    <t>A2451</t>
    <phoneticPr fontId="9" type="noConversion"/>
  </si>
  <si>
    <t>전북 김제시 서암동 192</t>
  </si>
  <si>
    <t>740111-2318791</t>
  </si>
  <si>
    <t>B7801</t>
    <phoneticPr fontId="9" type="noConversion"/>
  </si>
  <si>
    <t>경남 진주시 귀곡동 249</t>
  </si>
  <si>
    <t>610322-1185518</t>
  </si>
  <si>
    <t>B1245</t>
    <phoneticPr fontId="9" type="noConversion"/>
  </si>
  <si>
    <t>서울 중구 수표동 856</t>
  </si>
  <si>
    <t>610715-1938618</t>
  </si>
  <si>
    <t>A1452</t>
    <phoneticPr fontId="9" type="noConversion"/>
  </si>
  <si>
    <t>충북 청주시 상당구 사천동 286</t>
  </si>
  <si>
    <t>600526-2449645</t>
  </si>
  <si>
    <t>A1140</t>
    <phoneticPr fontId="9" type="noConversion"/>
  </si>
  <si>
    <t>경기 파주시 맥금동 814</t>
  </si>
  <si>
    <t>730514-1248097</t>
  </si>
  <si>
    <t>B3624</t>
    <phoneticPr fontId="9" type="noConversion"/>
  </si>
  <si>
    <t>입사일</t>
    <phoneticPr fontId="9" type="noConversion"/>
  </si>
  <si>
    <t>주소</t>
    <phoneticPr fontId="9" type="noConversion"/>
  </si>
  <si>
    <t>주민등록번호</t>
    <phoneticPr fontId="9" type="noConversion"/>
  </si>
  <si>
    <t>직위</t>
    <phoneticPr fontId="9" type="noConversion"/>
  </si>
  <si>
    <t>성명</t>
    <phoneticPr fontId="9" type="noConversion"/>
  </si>
  <si>
    <t>사번</t>
    <phoneticPr fontId="9" type="noConversion"/>
  </si>
  <si>
    <t>N</t>
  </si>
  <si>
    <t>F</t>
  </si>
  <si>
    <t>S</t>
  </si>
  <si>
    <t>E</t>
  </si>
  <si>
    <t>&amp; 연산자</t>
    <phoneticPr fontId="35" type="noConversion"/>
  </si>
  <si>
    <t>CONCATENATE 함수</t>
    <phoneticPr fontId="35" type="noConversion"/>
  </si>
  <si>
    <t>계</t>
    <phoneticPr fontId="9" type="noConversion"/>
  </si>
  <si>
    <t>하반기</t>
    <phoneticPr fontId="9" type="noConversion"/>
  </si>
  <si>
    <t>상반기</t>
    <phoneticPr fontId="9" type="noConversion"/>
  </si>
  <si>
    <t>도서코드</t>
    <phoneticPr fontId="9" type="noConversion"/>
  </si>
  <si>
    <t>판매</t>
    <phoneticPr fontId="9" type="noConversion"/>
  </si>
  <si>
    <t>번호</t>
    <phoneticPr fontId="9" type="noConversion"/>
  </si>
  <si>
    <t>분야</t>
    <phoneticPr fontId="9" type="noConversion"/>
  </si>
  <si>
    <t>도서 판매량</t>
    <phoneticPr fontId="35" type="noConversion"/>
  </si>
  <si>
    <t>생산팀</t>
    <phoneticPr fontId="35" type="noConversion"/>
  </si>
  <si>
    <t>사원명</t>
    <phoneticPr fontId="9" type="noConversion"/>
  </si>
  <si>
    <t>4. 3과목 점수 중에서 60점 미만인 점수가 있는 경우 '●'표시 그렇지 않으면 빈셀 표시</t>
    <phoneticPr fontId="9" type="noConversion"/>
  </si>
  <si>
    <t>번호</t>
    <phoneticPr fontId="9" type="noConversion"/>
  </si>
  <si>
    <t>개수</t>
    <phoneticPr fontId="8" type="noConversion"/>
  </si>
  <si>
    <t>합계</t>
    <phoneticPr fontId="8" type="noConversion"/>
  </si>
  <si>
    <t>평균</t>
    <phoneticPr fontId="8" type="noConversion"/>
  </si>
  <si>
    <t>제주</t>
    <phoneticPr fontId="93" type="noConversion"/>
  </si>
  <si>
    <t>광주</t>
    <phoneticPr fontId="93" type="noConversion"/>
  </si>
  <si>
    <t>대전</t>
    <phoneticPr fontId="93" type="noConversion"/>
  </si>
  <si>
    <t>대구</t>
    <phoneticPr fontId="93" type="noConversion"/>
  </si>
  <si>
    <t>부산</t>
    <phoneticPr fontId="93" type="noConversion"/>
  </si>
  <si>
    <t>청주</t>
    <phoneticPr fontId="93" type="noConversion"/>
  </si>
  <si>
    <t>춘천</t>
    <phoneticPr fontId="93" type="noConversion"/>
  </si>
  <si>
    <t>인천</t>
    <phoneticPr fontId="93" type="noConversion"/>
  </si>
  <si>
    <t>수원</t>
    <phoneticPr fontId="93" type="noConversion"/>
  </si>
  <si>
    <t>강북</t>
    <phoneticPr fontId="93" type="noConversion"/>
  </si>
  <si>
    <t>강남</t>
    <phoneticPr fontId="93" type="noConversion"/>
  </si>
  <si>
    <t>강서</t>
    <phoneticPr fontId="93" type="noConversion"/>
  </si>
  <si>
    <t>강동</t>
    <phoneticPr fontId="9" type="noConversion"/>
  </si>
  <si>
    <r>
      <t>비</t>
    </r>
    <r>
      <rPr>
        <sz val="11"/>
        <rFont val="Tahoma"/>
        <family val="2"/>
      </rPr>
      <t xml:space="preserve"> </t>
    </r>
    <r>
      <rPr>
        <b/>
        <sz val="11"/>
        <color indexed="9"/>
        <rFont val="Tahoma"/>
        <family val="2"/>
      </rPr>
      <t xml:space="preserve"> </t>
    </r>
    <r>
      <rPr>
        <b/>
        <sz val="11"/>
        <color indexed="9"/>
        <rFont val="굴림"/>
        <family val="3"/>
        <charset val="129"/>
      </rPr>
      <t>고</t>
    </r>
    <phoneticPr fontId="9" type="noConversion"/>
  </si>
  <si>
    <t>달성여부</t>
    <phoneticPr fontId="9" type="noConversion"/>
  </si>
  <si>
    <t>판매</t>
    <phoneticPr fontId="9" type="noConversion"/>
  </si>
  <si>
    <t>목표</t>
    <phoneticPr fontId="9" type="noConversion"/>
  </si>
  <si>
    <t>지점명</t>
    <phoneticPr fontId="9" type="noConversion"/>
  </si>
  <si>
    <t>지점별 매출 현황</t>
    <phoneticPr fontId="9" type="noConversion"/>
  </si>
  <si>
    <t>A010</t>
  </si>
  <si>
    <t>A009</t>
  </si>
  <si>
    <t>A008</t>
  </si>
  <si>
    <t>A007</t>
  </si>
  <si>
    <t>A006</t>
  </si>
  <si>
    <t>A005</t>
  </si>
  <si>
    <t>A004</t>
  </si>
  <si>
    <t>A003</t>
  </si>
  <si>
    <t>A002</t>
  </si>
  <si>
    <t>A001</t>
  </si>
  <si>
    <t>평가3</t>
  </si>
  <si>
    <t>평가2</t>
  </si>
  <si>
    <t>평가1</t>
  </si>
  <si>
    <t>평균</t>
  </si>
  <si>
    <t>상식</t>
  </si>
  <si>
    <t>영어</t>
  </si>
  <si>
    <t>전공</t>
  </si>
  <si>
    <t>시험번호</t>
  </si>
  <si>
    <t>시험 결과 보고서</t>
  </si>
  <si>
    <t>송진혁</t>
    <phoneticPr fontId="77" type="noConversion"/>
  </si>
  <si>
    <t>이수정</t>
  </si>
  <si>
    <t>송윤희</t>
  </si>
  <si>
    <t>이인수</t>
  </si>
  <si>
    <t>김동우</t>
    <phoneticPr fontId="77" type="noConversion"/>
  </si>
  <si>
    <t>이의찬</t>
    <phoneticPr fontId="77" type="noConversion"/>
  </si>
  <si>
    <t>전체 인원</t>
    <phoneticPr fontId="126" type="noConversion"/>
  </si>
  <si>
    <t>회비 미납부 인원</t>
    <phoneticPr fontId="126" type="noConversion"/>
  </si>
  <si>
    <t>회비 납부 인원</t>
    <phoneticPr fontId="126" type="noConversion"/>
  </si>
  <si>
    <t>금액</t>
    <phoneticPr fontId="9" type="noConversion"/>
  </si>
  <si>
    <t>납부일자</t>
    <phoneticPr fontId="9" type="noConversion"/>
  </si>
  <si>
    <t>회비 납부 내역</t>
    <phoneticPr fontId="9" type="noConversion"/>
  </si>
  <si>
    <t>문치열</t>
    <phoneticPr fontId="9" type="noConversion"/>
  </si>
  <si>
    <t>백준오</t>
    <phoneticPr fontId="77" type="noConversion"/>
  </si>
  <si>
    <t>한사랑</t>
    <phoneticPr fontId="77" type="noConversion"/>
  </si>
  <si>
    <t>김호남</t>
    <phoneticPr fontId="77" type="noConversion"/>
  </si>
  <si>
    <t>장아진</t>
    <phoneticPr fontId="77" type="noConversion"/>
  </si>
  <si>
    <t>전 성적 60이상 인원</t>
    <phoneticPr fontId="77" type="noConversion"/>
  </si>
  <si>
    <t>서찬영</t>
    <phoneticPr fontId="77" type="noConversion"/>
  </si>
  <si>
    <t>총점 100이상 인원</t>
    <phoneticPr fontId="77" type="noConversion"/>
  </si>
  <si>
    <t>유상우</t>
    <phoneticPr fontId="77" type="noConversion"/>
  </si>
  <si>
    <t>2차 결시 인원</t>
    <phoneticPr fontId="77" type="noConversion"/>
  </si>
  <si>
    <t>김호진</t>
    <phoneticPr fontId="77" type="noConversion"/>
  </si>
  <si>
    <t>1차 응시 인원</t>
    <phoneticPr fontId="77" type="noConversion"/>
  </si>
  <si>
    <t>강민호</t>
    <phoneticPr fontId="77" type="noConversion"/>
  </si>
  <si>
    <t>전체 인원</t>
    <phoneticPr fontId="77" type="noConversion"/>
  </si>
  <si>
    <t>김기태</t>
    <phoneticPr fontId="9" type="noConversion"/>
  </si>
  <si>
    <t>총점</t>
    <phoneticPr fontId="77" type="noConversion"/>
  </si>
  <si>
    <t>2차성적</t>
    <phoneticPr fontId="77" type="noConversion"/>
  </si>
  <si>
    <t>1차성적</t>
    <phoneticPr fontId="77" type="noConversion"/>
  </si>
  <si>
    <t>이름</t>
    <phoneticPr fontId="77" type="noConversion"/>
  </si>
  <si>
    <t>1차/2차 응시 현황</t>
    <phoneticPr fontId="77" type="noConversion"/>
  </si>
  <si>
    <t>3사분기</t>
    <phoneticPr fontId="77" type="noConversion"/>
  </si>
  <si>
    <t>1사분기</t>
    <phoneticPr fontId="77" type="noConversion"/>
  </si>
  <si>
    <t>단가 50만원이상, 수량 50이상인 총액의 합계</t>
    <phoneticPr fontId="77" type="noConversion"/>
  </si>
  <si>
    <t>4사분기</t>
    <phoneticPr fontId="77" type="noConversion"/>
  </si>
  <si>
    <t>4사분기 총액 합계</t>
  </si>
  <si>
    <t>2사분기</t>
    <phoneticPr fontId="77" type="noConversion"/>
  </si>
  <si>
    <t>3사분기 총액 합계</t>
  </si>
  <si>
    <t>2사분기 총액 합계</t>
  </si>
  <si>
    <t>1사분기 총액 합계</t>
    <phoneticPr fontId="77" type="noConversion"/>
  </si>
  <si>
    <t>총액</t>
    <phoneticPr fontId="77" type="noConversion"/>
  </si>
  <si>
    <t>수량</t>
    <phoneticPr fontId="77" type="noConversion"/>
  </si>
  <si>
    <t>단가</t>
    <phoneticPr fontId="77" type="noConversion"/>
  </si>
  <si>
    <t>분기</t>
    <phoneticPr fontId="77" type="noConversion"/>
  </si>
  <si>
    <t>분기별 실적</t>
    <phoneticPr fontId="77" type="noConversion"/>
  </si>
  <si>
    <t>USB 2.0</t>
  </si>
  <si>
    <t>용인점</t>
  </si>
  <si>
    <t>외장 하드디스크</t>
  </si>
  <si>
    <t>서대문점</t>
  </si>
  <si>
    <t>광마우스</t>
  </si>
  <si>
    <t>서초점</t>
  </si>
  <si>
    <t>구로점</t>
  </si>
  <si>
    <t>노트북</t>
  </si>
  <si>
    <t>강남점</t>
  </si>
  <si>
    <t>강남점 노트북 평균 매출액</t>
  </si>
  <si>
    <t>서초점 평균 주문 수량</t>
  </si>
  <si>
    <t>평균 주문 수량</t>
  </si>
  <si>
    <t>품목</t>
  </si>
  <si>
    <t>대리점</t>
  </si>
  <si>
    <t>대리점별별 판매내역</t>
  </si>
  <si>
    <t>대리</t>
  </si>
  <si>
    <t>차장</t>
  </si>
  <si>
    <t>부장</t>
  </si>
  <si>
    <t>이름</t>
  </si>
  <si>
    <t>尹喜主</t>
    <phoneticPr fontId="77" type="noConversion"/>
  </si>
  <si>
    <t>8511102172211 윤희주</t>
    <phoneticPr fontId="77" type="noConversion"/>
  </si>
  <si>
    <t>姜玄石</t>
    <phoneticPr fontId="77" type="noConversion"/>
  </si>
  <si>
    <t>8904131829119 강현석</t>
    <phoneticPr fontId="77" type="noConversion"/>
  </si>
  <si>
    <t>最晩福</t>
    <phoneticPr fontId="77" type="noConversion"/>
  </si>
  <si>
    <t>二筍任</t>
    <phoneticPr fontId="77" type="noConversion"/>
  </si>
  <si>
    <t>康熙哲</t>
    <phoneticPr fontId="77" type="noConversion"/>
  </si>
  <si>
    <t>7609292155019 강희철</t>
    <phoneticPr fontId="77" type="noConversion"/>
  </si>
  <si>
    <t>文熙政</t>
    <phoneticPr fontId="77" type="noConversion"/>
  </si>
  <si>
    <t>流動性</t>
    <phoneticPr fontId="77" type="noConversion"/>
  </si>
  <si>
    <t>車範根</t>
    <phoneticPr fontId="77" type="noConversion"/>
  </si>
  <si>
    <t>7608261190622 차범근</t>
    <phoneticPr fontId="77" type="noConversion"/>
  </si>
  <si>
    <t>康熙主</t>
    <phoneticPr fontId="77" type="noConversion"/>
  </si>
  <si>
    <t>성별</t>
    <phoneticPr fontId="77" type="noConversion"/>
  </si>
  <si>
    <t>성별코드</t>
    <phoneticPr fontId="77" type="noConversion"/>
  </si>
  <si>
    <t>주민번호</t>
    <phoneticPr fontId="77" type="noConversion"/>
  </si>
  <si>
    <t>이름</t>
    <phoneticPr fontId="77" type="noConversion"/>
  </si>
  <si>
    <t>포인트</t>
    <phoneticPr fontId="77" type="noConversion"/>
  </si>
  <si>
    <t>한문</t>
    <phoneticPr fontId="77" type="noConversion"/>
  </si>
  <si>
    <t>고객</t>
    <phoneticPr fontId="77" type="noConversion"/>
  </si>
  <si>
    <t>고객 정보</t>
    <phoneticPr fontId="77" type="noConversion"/>
  </si>
  <si>
    <t>8511102172211</t>
  </si>
  <si>
    <t>윤희주</t>
  </si>
  <si>
    <t>8904131829119</t>
  </si>
  <si>
    <t>강현석</t>
  </si>
  <si>
    <t>7903211146018</t>
  </si>
  <si>
    <t>최만복</t>
  </si>
  <si>
    <t>7305091110913</t>
  </si>
  <si>
    <t>이순임</t>
  </si>
  <si>
    <t>7609292155019</t>
  </si>
  <si>
    <t>강희철</t>
  </si>
  <si>
    <t>6811291070911</t>
  </si>
  <si>
    <t>문희정</t>
  </si>
  <si>
    <t>6910202240417</t>
  </si>
  <si>
    <t>류동성</t>
  </si>
  <si>
    <t>7608261190622</t>
  </si>
  <si>
    <t>차범근</t>
  </si>
  <si>
    <t>7002151715526</t>
  </si>
  <si>
    <t>강희주</t>
  </si>
  <si>
    <t>포인트실적</t>
    <phoneticPr fontId="77" type="noConversion"/>
  </si>
  <si>
    <t>주민번호2</t>
    <phoneticPr fontId="77" type="noConversion"/>
  </si>
  <si>
    <t>이름+한문</t>
    <phoneticPr fontId="77" type="noConversion"/>
  </si>
  <si>
    <t>고객정보2</t>
    <phoneticPr fontId="77" type="noConversion"/>
  </si>
  <si>
    <t>영업팀</t>
  </si>
  <si>
    <t>영업팀</t>
    <phoneticPr fontId="93" type="noConversion"/>
  </si>
  <si>
    <t>재무팀</t>
  </si>
  <si>
    <t>재무팀</t>
    <phoneticPr fontId="93" type="noConversion"/>
  </si>
  <si>
    <t>개발팀</t>
  </si>
  <si>
    <t>액세스</t>
    <phoneticPr fontId="9" type="noConversion"/>
  </si>
  <si>
    <t>홍길동</t>
    <phoneticPr fontId="9" type="noConversion"/>
  </si>
  <si>
    <t xml:space="preserve">작성자 : </t>
    <phoneticPr fontId="9" type="noConversion"/>
  </si>
  <si>
    <t xml:space="preserve">작성일 : </t>
    <phoneticPr fontId="9" type="noConversion"/>
  </si>
  <si>
    <t>OA 교육 평가 결과</t>
    <phoneticPr fontId="9" type="noConversion"/>
  </si>
  <si>
    <t>A-3</t>
    <phoneticPr fontId="9" type="noConversion"/>
  </si>
  <si>
    <t>A-2</t>
    <phoneticPr fontId="9" type="noConversion"/>
  </si>
  <si>
    <t>A-4</t>
    <phoneticPr fontId="9" type="noConversion"/>
  </si>
  <si>
    <t>도자기</t>
    <phoneticPr fontId="9" type="noConversion"/>
  </si>
  <si>
    <t>중국</t>
    <phoneticPr fontId="9" type="noConversion"/>
  </si>
  <si>
    <t>상</t>
    <phoneticPr fontId="9" type="noConversion"/>
  </si>
  <si>
    <t>커피</t>
    <phoneticPr fontId="9" type="noConversion"/>
  </si>
  <si>
    <t>브라질</t>
    <phoneticPr fontId="9" type="noConversion"/>
  </si>
  <si>
    <t>A-3</t>
    <phoneticPr fontId="9" type="noConversion"/>
  </si>
  <si>
    <t>A-1</t>
    <phoneticPr fontId="9" type="noConversion"/>
  </si>
  <si>
    <t>중</t>
    <phoneticPr fontId="9" type="noConversion"/>
  </si>
  <si>
    <t>컴퓨터</t>
    <phoneticPr fontId="9" type="noConversion"/>
  </si>
  <si>
    <t>캐나다</t>
    <phoneticPr fontId="9" type="noConversion"/>
  </si>
  <si>
    <t>A-2</t>
    <phoneticPr fontId="9" type="noConversion"/>
  </si>
  <si>
    <t>하</t>
    <phoneticPr fontId="9" type="noConversion"/>
  </si>
  <si>
    <t>자동차</t>
    <phoneticPr fontId="9" type="noConversion"/>
  </si>
  <si>
    <t>미국</t>
    <phoneticPr fontId="9" type="noConversion"/>
  </si>
  <si>
    <t>A-1</t>
    <phoneticPr fontId="9" type="noConversion"/>
  </si>
  <si>
    <t>평가</t>
    <phoneticPr fontId="9" type="noConversion"/>
  </si>
  <si>
    <t>수량</t>
    <phoneticPr fontId="9" type="noConversion"/>
  </si>
  <si>
    <t>수입종목</t>
    <phoneticPr fontId="9" type="noConversion"/>
  </si>
  <si>
    <t>국가명</t>
    <phoneticPr fontId="9" type="noConversion"/>
  </si>
  <si>
    <t>지역코드</t>
    <phoneticPr fontId="9" type="noConversion"/>
  </si>
  <si>
    <t>코드</t>
    <phoneticPr fontId="9" type="noConversion"/>
  </si>
  <si>
    <t>&gt;&gt; 지역 코드 표 &lt;&lt;</t>
    <phoneticPr fontId="77" type="noConversion"/>
  </si>
  <si>
    <t>돈까스</t>
    <phoneticPr fontId="144" type="noConversion"/>
  </si>
  <si>
    <t>참기름</t>
    <phoneticPr fontId="144" type="noConversion"/>
  </si>
  <si>
    <t>한치젓</t>
    <phoneticPr fontId="144" type="noConversion"/>
  </si>
  <si>
    <t>오징어젓</t>
    <phoneticPr fontId="144" type="noConversion"/>
  </si>
  <si>
    <t>명란젓</t>
    <phoneticPr fontId="144" type="noConversion"/>
  </si>
  <si>
    <t>대추</t>
    <phoneticPr fontId="144" type="noConversion"/>
  </si>
  <si>
    <t>땅콩</t>
    <phoneticPr fontId="144" type="noConversion"/>
  </si>
  <si>
    <t>곶감</t>
    <phoneticPr fontId="144" type="noConversion"/>
  </si>
  <si>
    <t>감초</t>
    <phoneticPr fontId="144" type="noConversion"/>
  </si>
  <si>
    <t>당귀</t>
    <phoneticPr fontId="144" type="noConversion"/>
  </si>
  <si>
    <t>영지</t>
    <phoneticPr fontId="144" type="noConversion"/>
  </si>
  <si>
    <t>재 고 량:</t>
    <phoneticPr fontId="144" type="noConversion"/>
  </si>
  <si>
    <t>다시마</t>
    <phoneticPr fontId="144" type="noConversion"/>
  </si>
  <si>
    <t>단    가:</t>
    <phoneticPr fontId="144" type="noConversion"/>
  </si>
  <si>
    <t>미역</t>
    <phoneticPr fontId="144" type="noConversion"/>
  </si>
  <si>
    <t>상 품 명:</t>
    <phoneticPr fontId="144" type="noConversion"/>
  </si>
  <si>
    <t>김</t>
    <phoneticPr fontId="144" type="noConversion"/>
  </si>
  <si>
    <t>상품번호:</t>
    <phoneticPr fontId="144" type="noConversion"/>
  </si>
  <si>
    <t>오징어</t>
    <phoneticPr fontId="144" type="noConversion"/>
  </si>
  <si>
    <t>&lt;검색테이블&gt;</t>
    <phoneticPr fontId="144" type="noConversion"/>
  </si>
  <si>
    <t>재고량</t>
    <phoneticPr fontId="144" type="noConversion"/>
  </si>
  <si>
    <t>단가</t>
    <phoneticPr fontId="144" type="noConversion"/>
  </si>
  <si>
    <t>상품명</t>
    <phoneticPr fontId="144" type="noConversion"/>
  </si>
  <si>
    <t>상품번호</t>
    <phoneticPr fontId="144" type="noConversion"/>
  </si>
  <si>
    <t>사원</t>
    <phoneticPr fontId="77" type="noConversion"/>
  </si>
  <si>
    <t>윤성인</t>
    <phoneticPr fontId="9" type="noConversion"/>
  </si>
  <si>
    <t>교부세과</t>
  </si>
  <si>
    <t>대리</t>
    <phoneticPr fontId="77" type="noConversion"/>
  </si>
  <si>
    <t>강형성</t>
    <phoneticPr fontId="9" type="noConversion"/>
  </si>
  <si>
    <t>방호과</t>
  </si>
  <si>
    <t>부장</t>
    <phoneticPr fontId="77" type="noConversion"/>
  </si>
  <si>
    <t>류창희</t>
    <phoneticPr fontId="9" type="noConversion"/>
  </si>
  <si>
    <t>예방과</t>
  </si>
  <si>
    <t>과장</t>
    <phoneticPr fontId="77" type="noConversion"/>
  </si>
  <si>
    <t>김경진</t>
    <phoneticPr fontId="9" type="noConversion"/>
  </si>
  <si>
    <t>재정과</t>
  </si>
  <si>
    <t>차장</t>
    <phoneticPr fontId="77" type="noConversion"/>
  </si>
  <si>
    <t>강영옥</t>
    <phoneticPr fontId="9" type="noConversion"/>
  </si>
  <si>
    <t>복무과</t>
  </si>
  <si>
    <t>류민상</t>
    <phoneticPr fontId="9" type="noConversion"/>
  </si>
  <si>
    <t>고시과</t>
  </si>
  <si>
    <t>강민철</t>
    <phoneticPr fontId="9" type="noConversion"/>
  </si>
  <si>
    <t>복지과</t>
  </si>
  <si>
    <t>한민관</t>
    <phoneticPr fontId="9" type="noConversion"/>
  </si>
  <si>
    <t>인사과</t>
  </si>
  <si>
    <t>기본급</t>
    <phoneticPr fontId="77" type="noConversion"/>
  </si>
  <si>
    <t>호봉</t>
    <phoneticPr fontId="9" type="noConversion"/>
  </si>
  <si>
    <t>직급</t>
    <phoneticPr fontId="77" type="noConversion"/>
  </si>
  <si>
    <t>성명</t>
    <phoneticPr fontId="9" type="noConversion"/>
  </si>
  <si>
    <t>기본급표</t>
    <phoneticPr fontId="77" type="noConversion"/>
  </si>
  <si>
    <t>호봉별 기본급</t>
    <phoneticPr fontId="77" type="noConversion"/>
  </si>
  <si>
    <t>직위</t>
    <phoneticPr fontId="77" type="noConversion"/>
  </si>
  <si>
    <t>주소</t>
    <phoneticPr fontId="77" type="noConversion"/>
  </si>
  <si>
    <t>소속</t>
    <phoneticPr fontId="77" type="noConversion"/>
  </si>
  <si>
    <t>주민등록번호</t>
    <phoneticPr fontId="77" type="noConversion"/>
  </si>
  <si>
    <t>성명</t>
    <phoneticPr fontId="77" type="noConversion"/>
  </si>
  <si>
    <t>A1-ZC10</t>
  </si>
  <si>
    <t>사번</t>
    <phoneticPr fontId="77" type="noConversion"/>
  </si>
  <si>
    <t>총무과</t>
    <phoneticPr fontId="77" type="noConversion"/>
  </si>
  <si>
    <t>서울특별시 서초구 서초동 103</t>
    <phoneticPr fontId="9" type="noConversion"/>
  </si>
  <si>
    <t>F1-RE11</t>
  </si>
  <si>
    <t>임경숙</t>
    <phoneticPr fontId="9" type="noConversion"/>
  </si>
  <si>
    <t>서울특별시 도봉구 방학동 777</t>
    <phoneticPr fontId="9" type="noConversion"/>
  </si>
  <si>
    <t>C2-FE13</t>
  </si>
  <si>
    <t>이상아</t>
    <phoneticPr fontId="9" type="noConversion"/>
  </si>
  <si>
    <t>서울특별시 중랑구 상봉동 87</t>
    <phoneticPr fontId="9" type="noConversion"/>
  </si>
  <si>
    <t>C2-EF02</t>
  </si>
  <si>
    <t>김경민</t>
    <phoneticPr fontId="9" type="noConversion"/>
  </si>
  <si>
    <t>서울특별시 은평구 진관내동 95</t>
  </si>
  <si>
    <t>C1-BD02</t>
  </si>
  <si>
    <t>류진아</t>
    <phoneticPr fontId="9" type="noConversion"/>
  </si>
  <si>
    <t>경기도 고양시 일산구 일산동 526</t>
    <phoneticPr fontId="9" type="noConversion"/>
  </si>
  <si>
    <t>B2-KD40</t>
  </si>
  <si>
    <t>황성희</t>
    <phoneticPr fontId="9" type="noConversion"/>
  </si>
  <si>
    <t>경기도 성남시 분당구 분당동 34</t>
    <phoneticPr fontId="9" type="noConversion"/>
  </si>
  <si>
    <t>B2-CW12</t>
  </si>
  <si>
    <t>강문규</t>
    <phoneticPr fontId="9" type="noConversion"/>
  </si>
  <si>
    <t>서울특별시 은평구 수색동 631</t>
  </si>
  <si>
    <t>A2-CC11</t>
  </si>
  <si>
    <t>류미정</t>
    <phoneticPr fontId="9" type="noConversion"/>
  </si>
  <si>
    <t>서울특별시 은평구 신사동 200</t>
    <phoneticPr fontId="9" type="noConversion"/>
  </si>
  <si>
    <t>하태영</t>
    <phoneticPr fontId="9" type="noConversion"/>
  </si>
  <si>
    <t>서울특별시 은평구 갈현동 435</t>
  </si>
  <si>
    <t>A1-CD51</t>
  </si>
  <si>
    <t>감우성</t>
    <phoneticPr fontId="9" type="noConversion"/>
  </si>
  <si>
    <t>직위</t>
    <phoneticPr fontId="9" type="noConversion"/>
  </si>
  <si>
    <t>소속</t>
    <phoneticPr fontId="9" type="noConversion"/>
  </si>
  <si>
    <t>주소</t>
    <phoneticPr fontId="9" type="noConversion"/>
  </si>
  <si>
    <t>주민등록번호</t>
    <phoneticPr fontId="9" type="noConversion"/>
  </si>
  <si>
    <t>사번</t>
    <phoneticPr fontId="9" type="noConversion"/>
  </si>
  <si>
    <t>성명</t>
    <phoneticPr fontId="9" type="noConversion"/>
  </si>
  <si>
    <t>인사기록부</t>
    <phoneticPr fontId="77" type="noConversion"/>
  </si>
  <si>
    <t>711012-1234570</t>
    <phoneticPr fontId="9" type="noConversion"/>
  </si>
  <si>
    <t>이순신</t>
    <phoneticPr fontId="9" type="noConversion"/>
  </si>
  <si>
    <t>731010-2234569</t>
    <phoneticPr fontId="9" type="noConversion"/>
  </si>
  <si>
    <t>신사임당</t>
    <phoneticPr fontId="9" type="noConversion"/>
  </si>
  <si>
    <t>유관순</t>
    <phoneticPr fontId="9" type="noConversion"/>
  </si>
  <si>
    <t>741012-1234567</t>
    <phoneticPr fontId="9" type="noConversion"/>
  </si>
  <si>
    <t>홍길동</t>
    <phoneticPr fontId="9" type="noConversion"/>
  </si>
  <si>
    <t>근무기간(~년 ~개월)</t>
    <phoneticPr fontId="9" type="noConversion"/>
  </si>
  <si>
    <t>근무기간(개월)</t>
    <phoneticPr fontId="9" type="noConversion"/>
  </si>
  <si>
    <t>근무기간(년)</t>
    <phoneticPr fontId="9" type="noConversion"/>
  </si>
  <si>
    <t>입사일</t>
    <phoneticPr fontId="9" type="noConversion"/>
  </si>
  <si>
    <t>입사월</t>
    <phoneticPr fontId="9" type="noConversion"/>
  </si>
  <si>
    <t>입사년도</t>
    <phoneticPr fontId="9" type="noConversion"/>
  </si>
  <si>
    <t>주민번호</t>
    <phoneticPr fontId="9" type="noConversion"/>
  </si>
  <si>
    <t>퇴사일</t>
    <phoneticPr fontId="9" type="noConversion"/>
  </si>
  <si>
    <t>이름</t>
    <phoneticPr fontId="9" type="noConversion"/>
  </si>
  <si>
    <t>현재시간</t>
    <phoneticPr fontId="77" type="noConversion"/>
  </si>
  <si>
    <t>오늘날짜</t>
    <phoneticPr fontId="77" type="noConversion"/>
  </si>
  <si>
    <t>토요일,일요일만 휴일</t>
    <phoneticPr fontId="35" type="noConversion"/>
  </si>
  <si>
    <t>출근요일</t>
    <phoneticPr fontId="57" type="noConversion"/>
  </si>
  <si>
    <t>2020년 시험 결과</t>
    <phoneticPr fontId="9" type="noConversion"/>
  </si>
  <si>
    <t>1. 해외연수 열에 교육점수가 80점이상이면 O,  아니면 X</t>
    <phoneticPr fontId="8" type="noConversion"/>
  </si>
  <si>
    <t>2. 실적수당 열에 실적등급이 A이면 500000,B이면 300000,나머지는 0</t>
    <phoneticPr fontId="8" type="noConversion"/>
  </si>
  <si>
    <t>3. 특별수당 열에업무능력과 실적등급이 모두 A이면 200000, 나머지는 빈칸 입력</t>
    <phoneticPr fontId="8" type="noConversion"/>
  </si>
  <si>
    <t>791022-2234568</t>
    <phoneticPr fontId="9" type="noConversion"/>
  </si>
  <si>
    <t>TEXT3</t>
    <phoneticPr fontId="8" type="noConversion"/>
  </si>
  <si>
    <t>9002151715526  강희주</t>
    <phoneticPr fontId="77" type="noConversion"/>
  </si>
  <si>
    <t>9910202240417 류동성</t>
    <phoneticPr fontId="77" type="noConversion"/>
  </si>
  <si>
    <t>8305091110913 이순임</t>
    <phoneticPr fontId="77" type="noConversion"/>
  </si>
  <si>
    <t>8903211146018 최만복</t>
    <phoneticPr fontId="77" type="noConversion"/>
  </si>
  <si>
    <t>7811291070911 문희정</t>
    <phoneticPr fontId="77" type="noConversion"/>
  </si>
  <si>
    <t>9512151715526신용천</t>
    <phoneticPr fontId="57" type="noConversion"/>
  </si>
  <si>
    <t>8812261190622황인석</t>
    <phoneticPr fontId="57" type="noConversion"/>
  </si>
  <si>
    <t>9906291070911고호장</t>
    <phoneticPr fontId="8" type="noConversion"/>
  </si>
  <si>
    <t>8911211146018이원일</t>
    <phoneticPr fontId="57" type="noConversion"/>
  </si>
  <si>
    <t>9012131829119박종훈</t>
    <phoneticPr fontId="57" type="noConversion"/>
  </si>
  <si>
    <t>8104091110913홍종훈</t>
    <phoneticPr fontId="57" type="noConversion"/>
  </si>
  <si>
    <t>팀별 매출 및 성과급</t>
    <phoneticPr fontId="35" type="noConversion"/>
  </si>
  <si>
    <t>성과급 조견표</t>
    <phoneticPr fontId="35" type="noConversion"/>
  </si>
  <si>
    <t>단위</t>
    <phoneticPr fontId="35" type="noConversion"/>
  </si>
  <si>
    <t>매출</t>
    <phoneticPr fontId="35" type="noConversion"/>
  </si>
  <si>
    <t>성과급</t>
    <phoneticPr fontId="35" type="noConversion"/>
  </si>
  <si>
    <t>국내1팀</t>
    <phoneticPr fontId="35" type="noConversion"/>
  </si>
  <si>
    <t>원</t>
    <phoneticPr fontId="35" type="noConversion"/>
  </si>
  <si>
    <t>국내2팀</t>
  </si>
  <si>
    <t>국내3팀</t>
  </si>
  <si>
    <t>국내4팀</t>
  </si>
  <si>
    <t>국내5팀</t>
  </si>
  <si>
    <t>국내6팀</t>
  </si>
  <si>
    <t>국내7팀</t>
  </si>
  <si>
    <t>업체코드</t>
  </si>
  <si>
    <t>납기</t>
  </si>
  <si>
    <t>품질</t>
  </si>
  <si>
    <t>하자</t>
  </si>
  <si>
    <t>A/S만족도</t>
  </si>
  <si>
    <t>윤리경영</t>
  </si>
  <si>
    <t>총점</t>
  </si>
  <si>
    <t>백분율순위</t>
  </si>
  <si>
    <t>평가</t>
  </si>
  <si>
    <t>고득점3개 평균</t>
    <phoneticPr fontId="35" type="noConversion"/>
  </si>
  <si>
    <t>비 고</t>
  </si>
  <si>
    <t>0737001</t>
  </si>
  <si>
    <t>삼진</t>
  </si>
  <si>
    <t>0737002</t>
  </si>
  <si>
    <t>미주</t>
  </si>
  <si>
    <t>0737003</t>
  </si>
  <si>
    <t>광명</t>
  </si>
  <si>
    <t>0737004</t>
  </si>
  <si>
    <t>성도</t>
  </si>
  <si>
    <t>0737005</t>
  </si>
  <si>
    <t>0737006</t>
  </si>
  <si>
    <t>일진</t>
  </si>
  <si>
    <t>0737007</t>
  </si>
  <si>
    <t>기정</t>
  </si>
  <si>
    <t>0737008</t>
  </si>
  <si>
    <t>광진</t>
  </si>
  <si>
    <t>0737009</t>
  </si>
  <si>
    <t>흥일</t>
  </si>
  <si>
    <t>0737010</t>
  </si>
  <si>
    <t>순주</t>
  </si>
  <si>
    <t>0737011</t>
  </si>
  <si>
    <t>티엠</t>
  </si>
  <si>
    <t>0737012</t>
  </si>
  <si>
    <t>신창</t>
  </si>
  <si>
    <t>0737013</t>
  </si>
  <si>
    <t>강일</t>
  </si>
  <si>
    <t>0737014</t>
  </si>
  <si>
    <t>삼준</t>
  </si>
  <si>
    <t>0737015</t>
  </si>
  <si>
    <t>경진</t>
  </si>
  <si>
    <t>0737016</t>
  </si>
  <si>
    <t>진성</t>
  </si>
  <si>
    <t>0737017</t>
  </si>
  <si>
    <t>일광</t>
  </si>
  <si>
    <t>1. 실적 합계 (높은 순)_Large()</t>
    <phoneticPr fontId="9" type="noConversion"/>
  </si>
  <si>
    <t>2. 실적 합계 (낮은 순)_Small()</t>
    <phoneticPr fontId="9" type="noConversion"/>
  </si>
  <si>
    <t>2020년도 협력업체 등급 평가결과</t>
    <phoneticPr fontId="151" type="noConversion"/>
  </si>
  <si>
    <t>주소록</t>
    <phoneticPr fontId="151" type="noConversion"/>
  </si>
  <si>
    <t>순번</t>
    <phoneticPr fontId="151" type="noConversion"/>
  </si>
  <si>
    <t>구분</t>
    <phoneticPr fontId="151" type="noConversion"/>
  </si>
  <si>
    <t>이름</t>
    <phoneticPr fontId="151" type="noConversion"/>
  </si>
  <si>
    <t>메일주소</t>
    <phoneticPr fontId="151" type="noConversion"/>
  </si>
  <si>
    <t>연락처</t>
    <phoneticPr fontId="151" type="noConversion"/>
  </si>
  <si>
    <t>비고</t>
    <phoneticPr fontId="151" type="noConversion"/>
  </si>
  <si>
    <t>친구</t>
  </si>
  <si>
    <t>이**</t>
  </si>
  <si>
    <t>abd@daum.net</t>
    <phoneticPr fontId="151" type="noConversion"/>
  </si>
  <si>
    <t>010-****-2656</t>
  </si>
  <si>
    <t>업무</t>
  </si>
  <si>
    <t>송**</t>
  </si>
  <si>
    <t>010-****-1570</t>
  </si>
  <si>
    <t>김**</t>
  </si>
  <si>
    <t>cde@daum.net</t>
    <phoneticPr fontId="151" type="noConversion"/>
  </si>
  <si>
    <t>010-****-7120</t>
  </si>
  <si>
    <t>010-****-5383</t>
  </si>
  <si>
    <t>박**</t>
  </si>
  <si>
    <t>efg@daum.net</t>
    <phoneticPr fontId="151" type="noConversion"/>
  </si>
  <si>
    <t>010-****-1133</t>
  </si>
  <si>
    <t>010-****-4101</t>
  </si>
  <si>
    <t>ghi@daum.net</t>
    <phoneticPr fontId="151" type="noConversion"/>
  </si>
  <si>
    <t>010-****-5464</t>
  </si>
  <si>
    <t>최**</t>
  </si>
  <si>
    <t>010-****-1337</t>
  </si>
  <si>
    <t>동호회</t>
  </si>
  <si>
    <t>010-****-4973</t>
  </si>
  <si>
    <t>성**</t>
  </si>
  <si>
    <t>lmn@daum.net</t>
    <phoneticPr fontId="151" type="noConversion"/>
  </si>
  <si>
    <t>010-****-3304</t>
  </si>
  <si>
    <t>정**</t>
  </si>
  <si>
    <t>010-****-5428</t>
  </si>
  <si>
    <t>nop@daum.net</t>
    <phoneticPr fontId="151" type="noConversion"/>
  </si>
  <si>
    <t>010-****-1867</t>
  </si>
  <si>
    <t>opq@daum.net</t>
    <phoneticPr fontId="151" type="noConversion"/>
  </si>
  <si>
    <t>010-****-6375</t>
  </si>
  <si>
    <t>010-****-5553</t>
  </si>
  <si>
    <t>010-****-5498</t>
  </si>
  <si>
    <t>010-****-6909</t>
  </si>
  <si>
    <t>tuv@daum.net</t>
    <phoneticPr fontId="151" type="noConversion"/>
  </si>
  <si>
    <t>010-****-9191</t>
  </si>
  <si>
    <t>uvw@daum.net</t>
    <phoneticPr fontId="151" type="noConversion"/>
  </si>
  <si>
    <t>010-****-6643</t>
  </si>
  <si>
    <t>010-****-7262</t>
  </si>
  <si>
    <t>wxy@daum.net</t>
    <phoneticPr fontId="151" type="noConversion"/>
  </si>
  <si>
    <t>010-****-2554</t>
  </si>
  <si>
    <t>010-****-2838</t>
  </si>
  <si>
    <t>변**</t>
  </si>
  <si>
    <t>aab@daum.net</t>
    <phoneticPr fontId="151" type="noConversion"/>
  </si>
  <si>
    <t>010-****-3995</t>
  </si>
  <si>
    <t>bbc@daum.net</t>
    <phoneticPr fontId="151" type="noConversion"/>
  </si>
  <si>
    <t>010-****-1479</t>
  </si>
  <si>
    <t>부산</t>
    <phoneticPr fontId="9" type="noConversion"/>
  </si>
  <si>
    <t>대구</t>
    <phoneticPr fontId="9" type="noConversion"/>
  </si>
  <si>
    <t>광주</t>
    <phoneticPr fontId="9" type="noConversion"/>
  </si>
  <si>
    <t>대전</t>
    <phoneticPr fontId="9" type="noConversion"/>
  </si>
  <si>
    <t>영업2팀의 광주 매출액</t>
    <phoneticPr fontId="9" type="noConversion"/>
  </si>
  <si>
    <t>서울</t>
    <phoneticPr fontId="9" type="noConversion"/>
  </si>
  <si>
    <t>영업3팀</t>
  </si>
  <si>
    <t>영업1팀</t>
    <phoneticPr fontId="9" type="noConversion"/>
  </si>
  <si>
    <t>: Index(목록배열,행번호,열번호)</t>
    <phoneticPr fontId="9" type="noConversion"/>
  </si>
  <si>
    <t>** Index의 형식 **</t>
    <phoneticPr fontId="9" type="noConversion"/>
  </si>
  <si>
    <t xml:space="preserve"> : -1 -&gt; 찾을값보다 크거나 같은 값중 최소값을 찾는다.</t>
    <phoneticPr fontId="9" type="noConversion"/>
  </si>
  <si>
    <t xml:space="preserve"> :1 -&gt; 찾을값보다 작거나 같은 값중 최대값을 찾는다.</t>
    <phoneticPr fontId="9" type="noConversion"/>
  </si>
  <si>
    <t xml:space="preserve"> : 0 -&gt; 찾을값과 같은 첫번째값을 찾는다.</t>
    <phoneticPr fontId="9" type="noConversion"/>
  </si>
  <si>
    <t xml:space="preserve"> - 찾는방법 (0,1, -1) -</t>
    <phoneticPr fontId="9" type="noConversion"/>
  </si>
  <si>
    <t>: Match(찾을값,찾을목록배열,찾는방법)</t>
    <phoneticPr fontId="9" type="noConversion"/>
  </si>
  <si>
    <t>** Match의 형식 **</t>
    <phoneticPr fontId="9" type="noConversion"/>
  </si>
  <si>
    <t xml:space="preserve"> : Match함수를 사용하여 광주가 위치하는 위치를 찾아낸다.</t>
    <phoneticPr fontId="9" type="noConversion"/>
  </si>
  <si>
    <t xml:space="preserve">   &gt;&gt; 형식 : =INDEX(목록,행번호,열번호)</t>
    <phoneticPr fontId="9" type="noConversion"/>
  </si>
  <si>
    <t>▶ INDEX() : 특정 목록의 행/열번호를 지정하여 원하는 데이터 값을 찾아낸다.</t>
    <phoneticPr fontId="9" type="noConversion"/>
  </si>
  <si>
    <t xml:space="preserve">   &gt;&gt; 형식 : MATCH(찾을값, 찾을범위,찾는방법)  =&gt; 찾는 방법을 0,1,-1,로 지정할 수 있다.</t>
    <phoneticPr fontId="9" type="noConversion"/>
  </si>
  <si>
    <t>▶ MATCH() : 특정 값으로 해당 값이 몇번째 위치하는지를 찾아 낸다.</t>
    <phoneticPr fontId="9" type="noConversion"/>
  </si>
  <si>
    <t>운임</t>
    <phoneticPr fontId="9" type="noConversion"/>
  </si>
  <si>
    <t>도착지</t>
    <phoneticPr fontId="9" type="noConversion"/>
  </si>
  <si>
    <t>출발지</t>
    <phoneticPr fontId="9" type="noConversion"/>
  </si>
  <si>
    <t>천안</t>
    <phoneticPr fontId="9" type="noConversion"/>
  </si>
  <si>
    <t>모든범위 드래그 먼저하고 frequency함수 사용, ctrl shift enter</t>
    <phoneticPr fontId="8" type="noConversion"/>
  </si>
  <si>
    <t>237쪽</t>
    <phoneticPr fontId="8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</si>
  <si>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9누르면 참조범위 지워도 된다</t>
    </r>
    <phoneticPr fontId="8" type="noConversion"/>
  </si>
  <si>
    <t>208쪽 213p</t>
    <phoneticPr fontId="8" type="noConversion"/>
  </si>
  <si>
    <t>223p</t>
    <phoneticPr fontId="8" type="noConversion"/>
  </si>
  <si>
    <t>생년월일</t>
    <phoneticPr fontId="8" type="noConversion"/>
  </si>
  <si>
    <t>215쪽</t>
    <phoneticPr fontId="8" type="noConversion"/>
  </si>
  <si>
    <t>글자수(공백포함)</t>
    <phoneticPr fontId="8" type="noConversion"/>
  </si>
  <si>
    <t>227쪽</t>
    <phoneticPr fontId="8" type="noConversion"/>
  </si>
  <si>
    <t>abd@daum.net</t>
  </si>
  <si>
    <t>bcd@daum.net</t>
  </si>
  <si>
    <t>cde@daum.net</t>
  </si>
  <si>
    <t>defdaum.net</t>
  </si>
  <si>
    <t>efg@daum.net</t>
  </si>
  <si>
    <t>fghdaum.net</t>
  </si>
  <si>
    <t>ghi@daum.net</t>
  </si>
  <si>
    <t>ijkdaum.net</t>
  </si>
  <si>
    <t>klm@daum.net</t>
  </si>
  <si>
    <t>lmn@daum.net</t>
  </si>
  <si>
    <t>mno@daum.net</t>
  </si>
  <si>
    <t>nop@daum.net</t>
  </si>
  <si>
    <t>opq@daum.net</t>
  </si>
  <si>
    <t>qrs@daum.net</t>
  </si>
  <si>
    <t>rst@daum.net</t>
  </si>
  <si>
    <t>stu@daum.net</t>
  </si>
  <si>
    <t>tuv@daum.net</t>
  </si>
  <si>
    <t>uvw@daum.net</t>
  </si>
  <si>
    <t>vwx@daum.net</t>
  </si>
  <si>
    <t>wxy@daum.net</t>
  </si>
  <si>
    <t>xyz@daum.net</t>
  </si>
  <si>
    <t>aab@daum.net</t>
  </si>
  <si>
    <t>bbc@daum.net</t>
  </si>
  <si>
    <t>,</t>
    <phoneticPr fontId="8" type="noConversion"/>
  </si>
  <si>
    <t>bc@daum.net</t>
    <phoneticPr fontId="151" type="noConversion"/>
  </si>
  <si>
    <t>fghffe@daum.net</t>
    <phoneticPr fontId="151" type="noConversion"/>
  </si>
  <si>
    <t>mnro@daum.net</t>
    <phoneticPr fontId="151" type="noConversion"/>
  </si>
  <si>
    <t>kl@daum.net</t>
    <phoneticPr fontId="151" type="noConversion"/>
  </si>
  <si>
    <t>rst345@daum.net</t>
    <phoneticPr fontId="151" type="noConversion"/>
  </si>
  <si>
    <t>xy435234z@daum.net</t>
    <phoneticPr fontId="151" type="noConversion"/>
  </si>
  <si>
    <t>vewwx@daum.net</t>
    <phoneticPr fontId="151" type="noConversion"/>
  </si>
  <si>
    <t>sftu@daum.net</t>
    <phoneticPr fontId="151" type="noConversion"/>
  </si>
  <si>
    <t>qs@daum.net</t>
    <phoneticPr fontId="151" type="noConversion"/>
  </si>
  <si>
    <t>d@daum.net</t>
    <phoneticPr fontId="151" type="noConversion"/>
  </si>
  <si>
    <t>ijk324@daum.net</t>
    <phoneticPr fontId="151" type="noConversion"/>
  </si>
  <si>
    <t>A-320-1</t>
    <phoneticPr fontId="8" type="noConversion"/>
  </si>
  <si>
    <t>B-285-2</t>
    <phoneticPr fontId="8" type="noConversion"/>
  </si>
  <si>
    <t>C-1320-1</t>
    <phoneticPr fontId="8" type="noConversion"/>
  </si>
  <si>
    <t>D-45-2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</si>
</sst>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yyyy\-mm\-dd\ hh:mm:ss\.ss"/>
    <numFmt numFmtId="177" formatCode="_ * #,##0.0000_ ;_ * \-#,##0.0000_ ;_ * &quot;-&quot;_ ;_ @_ 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#,##0\ &quot;원&quot;"/>
    <numFmt numFmtId="181" formatCode="_ * #,##0_ ;_ * \-#,##0_ ;_ * &quot;-&quot;_ ;_ @_ "/>
    <numFmt numFmtId="182" formatCode="_ * #,##0.00_ ;_ * \-#,##0.00_ ;_ * &quot;-&quot;??_ ;_ @_ "/>
    <numFmt numFmtId="183" formatCode="0\ &quot;명&quot;"/>
    <numFmt numFmtId="184" formatCode="0.00_ "/>
    <numFmt numFmtId="185" formatCode="0.0"/>
    <numFmt numFmtId="186" formatCode="#,##0&quot;원&quot;"/>
    <numFmt numFmtId="187" formatCode="_-* #,##0_-;\-* #,##0_-;_-* &quot;-&quot;??_-;_-@_-"/>
    <numFmt numFmtId="188" formatCode="#,##0_ "/>
    <numFmt numFmtId="189" formatCode="0_ "/>
    <numFmt numFmtId="190" formatCode="000000\-0000000"/>
    <numFmt numFmtId="191" formatCode="mm&quot;월&quot;\ dd&quot;일 (&quot;aaa&quot;)&quot;"/>
    <numFmt numFmtId="192" formatCode="h:mm;@"/>
    <numFmt numFmtId="193" formatCode="[h]&quot;시간 &quot;mm&quot;분&quot;"/>
    <numFmt numFmtId="195" formatCode="yyyy/mm/dd\(aaa\)"/>
    <numFmt numFmtId="196" formatCode="&quot;₩&quot;#,##0_);[Red]\(&quot;₩&quot;#,##0\)"/>
    <numFmt numFmtId="197" formatCode="0&quot;일&quot;"/>
    <numFmt numFmtId="198" formatCode="mm&quot;월&quot;\ dd&quot;일&quot;"/>
    <numFmt numFmtId="199" formatCode="yyyy&quot;년&quot;\ mm&quot;월&quot;"/>
    <numFmt numFmtId="200" formatCode="0.0_ "/>
    <numFmt numFmtId="201" formatCode="@_-"/>
    <numFmt numFmtId="202" formatCode="yyyy&quot;년&quot;\ m&quot;월&quot;\ d&quot;일&quot;"/>
    <numFmt numFmtId="203" formatCode="General&quot;호&quot;&quot;봉&quot;"/>
    <numFmt numFmtId="204" formatCode="_-* #,##0.00_-;\-* #,##0.00_-;_-* &quot;-&quot;_-;_-@_-"/>
    <numFmt numFmtId="207" formatCode="aaa"/>
    <numFmt numFmtId="209" formatCode="#,##0_);[Red]\(#,##0\)"/>
  </numFmts>
  <fonts count="161">
    <font>
      <sz val="11"/>
      <color theme="1"/>
      <name val="가는둥근제목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8"/>
      <name val="가는둥근제목체"/>
      <family val="2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indexed="9"/>
      <name val="돋움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sz val="9"/>
      <name val="Arial"/>
      <family val="2"/>
    </font>
    <font>
      <sz val="11"/>
      <color theme="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돋움"/>
      <family val="2"/>
      <charset val="129"/>
    </font>
    <font>
      <sz val="10"/>
      <name val="Helv"/>
      <family val="2"/>
    </font>
    <font>
      <sz val="11"/>
      <color rgb="FFFA7D00"/>
      <name val="맑은 고딕"/>
      <family val="2"/>
      <charset val="129"/>
      <scheme val="minor"/>
    </font>
    <font>
      <b/>
      <sz val="11"/>
      <color indexed="8"/>
      <name val="돋움"/>
      <family val="3"/>
      <charset val="129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0B5395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FFFFFF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6"/>
      <name val="맑은 고딕"/>
      <family val="2"/>
      <charset val="129"/>
    </font>
    <font>
      <b/>
      <sz val="16"/>
      <name val="맑은 고딕"/>
      <family val="3"/>
      <charset val="129"/>
    </font>
    <font>
      <b/>
      <sz val="11"/>
      <color rgb="FFFFFFFF"/>
      <name val="맑은 고딕"/>
      <family val="2"/>
      <charset val="129"/>
    </font>
    <font>
      <b/>
      <sz val="16"/>
      <color theme="1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</font>
    <font>
      <b/>
      <sz val="18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6"/>
      <color theme="7" tint="-0.249977111117893"/>
      <name val="맑은 고딕"/>
      <family val="3"/>
      <charset val="129"/>
      <scheme val="minor"/>
    </font>
    <font>
      <b/>
      <sz val="20"/>
      <name val="돋움"/>
      <family val="3"/>
      <charset val="129"/>
    </font>
    <font>
      <b/>
      <sz val="14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2"/>
      <charset val="129"/>
    </font>
    <font>
      <sz val="11"/>
      <color rgb="FF9C6500"/>
      <name val="맑은 고딕"/>
      <family val="2"/>
      <charset val="129"/>
    </font>
    <font>
      <b/>
      <sz val="16"/>
      <name val="돋움체"/>
      <family val="3"/>
      <charset val="129"/>
    </font>
    <font>
      <sz val="12"/>
      <name val="굴림"/>
      <family val="3"/>
      <charset val="129"/>
    </font>
    <font>
      <b/>
      <sz val="18"/>
      <name val="돋움체"/>
      <family val="3"/>
      <charset val="129"/>
    </font>
    <font>
      <b/>
      <sz val="20"/>
      <name val="궁서"/>
      <family val="1"/>
      <charset val="129"/>
    </font>
    <font>
      <sz val="10"/>
      <name val="MS Sans Serif"/>
      <family val="2"/>
    </font>
    <font>
      <b/>
      <sz val="11"/>
      <color theme="0"/>
      <name val="가는둥근제목체"/>
      <family val="2"/>
      <charset val="129"/>
    </font>
    <font>
      <sz val="11"/>
      <name val="굴림"/>
      <family val="3"/>
      <charset val="129"/>
    </font>
    <font>
      <sz val="8"/>
      <name val="굴림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b/>
      <sz val="11"/>
      <color rgb="FFFA7D00"/>
      <name val="맑은 고딕"/>
      <family val="2"/>
      <charset val="129"/>
    </font>
    <font>
      <sz val="12"/>
      <name val="가는각진제목체"/>
      <family val="1"/>
      <charset val="129"/>
    </font>
    <font>
      <sz val="11"/>
      <name val="뼻뮝"/>
      <family val="3"/>
      <charset val="129"/>
    </font>
    <font>
      <sz val="11"/>
      <color rgb="FF000000"/>
      <name val="돋움"/>
      <family val="3"/>
      <charset val="129"/>
    </font>
    <font>
      <sz val="12"/>
      <name val="굴림체"/>
      <family val="3"/>
      <charset val="129"/>
    </font>
    <font>
      <b/>
      <sz val="10"/>
      <name val="굴림"/>
      <family val="3"/>
      <charset val="129"/>
    </font>
    <font>
      <b/>
      <sz val="20"/>
      <name val="굴림"/>
      <family val="3"/>
      <charset val="129"/>
    </font>
    <font>
      <sz val="11"/>
      <color theme="1"/>
      <name val="가는둥근제목체"/>
      <family val="2"/>
      <charset val="129"/>
    </font>
    <font>
      <b/>
      <sz val="18"/>
      <color theme="5"/>
      <name val="맑은 고딕"/>
      <family val="2"/>
      <charset val="129"/>
      <scheme val="major"/>
    </font>
    <font>
      <b/>
      <sz val="13"/>
      <color theme="5"/>
      <name val="맑은 고딕"/>
      <family val="2"/>
      <charset val="129"/>
    </font>
    <font>
      <b/>
      <sz val="13"/>
      <color theme="5"/>
      <name val="맑은 고딕"/>
      <family val="3"/>
      <charset val="129"/>
    </font>
    <font>
      <b/>
      <sz val="14"/>
      <name val="맑은 고딕"/>
      <family val="3"/>
      <charset val="129"/>
    </font>
    <font>
      <b/>
      <sz val="14"/>
      <color indexed="9"/>
      <name val="맑은 고딕"/>
      <family val="3"/>
      <charset val="129"/>
    </font>
    <font>
      <sz val="14"/>
      <name val="맑은 고딕"/>
      <family val="3"/>
      <charset val="129"/>
    </font>
    <font>
      <sz val="11"/>
      <color indexed="8"/>
      <name val="Wingdings"/>
      <charset val="2"/>
    </font>
    <font>
      <b/>
      <sz val="11"/>
      <color indexed="9"/>
      <name val="맑은 고딕"/>
      <family val="3"/>
      <charset val="129"/>
    </font>
    <font>
      <sz val="11"/>
      <name val="Tahoma"/>
      <family val="2"/>
    </font>
    <font>
      <b/>
      <sz val="11"/>
      <color indexed="9"/>
      <name val="Tahoma"/>
      <family val="2"/>
    </font>
    <font>
      <b/>
      <sz val="11"/>
      <color indexed="9"/>
      <name val="굴림"/>
      <family val="3"/>
      <charset val="129"/>
    </font>
    <font>
      <b/>
      <sz val="18"/>
      <color indexed="60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0"/>
      <color indexed="8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2"/>
      <color indexed="9"/>
      <name val="맑은 고딕"/>
      <family val="3"/>
      <charset val="129"/>
    </font>
    <font>
      <sz val="8"/>
      <name val="돋움체"/>
      <family val="3"/>
      <charset val="129"/>
    </font>
    <font>
      <b/>
      <sz val="14"/>
      <color indexed="57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3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0"/>
      <color rgb="FF0B5395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2"/>
      <color indexed="8"/>
      <name val="맑은 고딕"/>
      <family val="3"/>
      <charset val="129"/>
    </font>
    <font>
      <b/>
      <sz val="16"/>
      <color indexed="9"/>
      <name val="맑은 고딕"/>
      <family val="3"/>
      <charset val="129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name val="돋움"/>
      <family val="3"/>
      <charset val="129"/>
    </font>
    <font>
      <b/>
      <sz val="11"/>
      <color indexed="12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5"/>
        <bgColor theme="5"/>
      </patternFill>
    </fill>
    <fill>
      <patternFill patternType="solid">
        <fgColor indexed="30"/>
        <bgColor indexed="3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indexed="6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46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theme="8"/>
      </patternFill>
    </fill>
    <fill>
      <patternFill patternType="solid">
        <fgColor theme="5"/>
        <bgColor theme="6"/>
      </patternFill>
    </fill>
    <fill>
      <patternFill patternType="solid">
        <fgColor theme="5"/>
        <bgColor indexed="30"/>
      </patternFill>
    </fill>
    <fill>
      <patternFill patternType="solid">
        <fgColor theme="5"/>
        <bgColor rgb="FF809EC2"/>
      </patternFill>
    </fill>
    <fill>
      <patternFill patternType="solid">
        <fgColor theme="5" tint="0.7999816888943144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E5F4E0"/>
      </patternFill>
    </fill>
    <fill>
      <patternFill patternType="solid">
        <fgColor theme="5"/>
        <bgColor auto="1"/>
      </patternFill>
    </fill>
    <fill>
      <patternFill patternType="solid">
        <fgColor indexed="53"/>
        <bgColor indexed="53"/>
      </patternFill>
    </fill>
    <fill>
      <patternFill patternType="solid">
        <fgColor indexed="62"/>
        <bgColor indexed="62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rgb="FFC00000"/>
        <b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53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79998168889431442"/>
        <bgColor theme="7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/>
        <bgColor theme="7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5" tint="0.79998168889431442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7"/>
        <bgColor indexed="64"/>
      </patternFill>
    </fill>
  </fills>
  <borders count="19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theme="3"/>
      </left>
      <right style="thin">
        <color theme="3"/>
      </right>
      <top style="hair">
        <color theme="3"/>
      </top>
      <bottom style="thin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hair">
        <color theme="3"/>
      </right>
      <top style="hair">
        <color theme="3"/>
      </top>
      <bottom style="thin">
        <color theme="3"/>
      </bottom>
      <diagonal/>
    </border>
    <border>
      <left style="hair">
        <color theme="3"/>
      </left>
      <right style="thin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thin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hair">
        <color theme="3"/>
      </left>
      <right style="thin">
        <color theme="3"/>
      </right>
      <top style="thin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thin">
        <color theme="3"/>
      </top>
      <bottom style="hair">
        <color theme="3"/>
      </bottom>
      <diagonal/>
    </border>
    <border>
      <left style="thin">
        <color theme="3"/>
      </left>
      <right style="hair">
        <color theme="3"/>
      </right>
      <top style="thin">
        <color theme="3"/>
      </top>
      <bottom style="hair">
        <color theme="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hair">
        <color rgb="FF073763"/>
      </right>
      <top style="hair">
        <color rgb="FF073763"/>
      </top>
      <bottom style="thin">
        <color rgb="FF073763"/>
      </bottom>
      <diagonal/>
    </border>
    <border>
      <left/>
      <right style="hair">
        <color rgb="FF073763"/>
      </right>
      <top style="hair">
        <color rgb="FF073763"/>
      </top>
      <bottom style="hair">
        <color rgb="FF073763"/>
      </bottom>
      <diagonal/>
    </border>
    <border>
      <left style="hair">
        <color rgb="FF073763"/>
      </left>
      <right/>
      <top style="thin">
        <color rgb="FF073763"/>
      </top>
      <bottom style="hair">
        <color rgb="FF073763"/>
      </bottom>
      <diagonal/>
    </border>
    <border>
      <left style="hair">
        <color rgb="FF073763"/>
      </left>
      <right style="hair">
        <color rgb="FF073763"/>
      </right>
      <top style="thin">
        <color rgb="FF073763"/>
      </top>
      <bottom style="hair">
        <color rgb="FF073763"/>
      </bottom>
      <diagonal/>
    </border>
    <border>
      <left/>
      <right style="hair">
        <color rgb="FF073763"/>
      </right>
      <top style="thin">
        <color rgb="FF073763"/>
      </top>
      <bottom style="hair">
        <color rgb="FF073763"/>
      </bottom>
      <diagonal/>
    </border>
    <border>
      <left style="hair">
        <color theme="0"/>
      </left>
      <right/>
      <top/>
      <bottom style="thin">
        <color rgb="FF073763"/>
      </bottom>
      <diagonal/>
    </border>
    <border>
      <left style="hair">
        <color theme="0"/>
      </left>
      <right style="hair">
        <color theme="0"/>
      </right>
      <top/>
      <bottom style="thin">
        <color rgb="FF073763"/>
      </bottom>
      <diagonal/>
    </border>
    <border>
      <left/>
      <right style="hair">
        <color theme="0"/>
      </right>
      <top/>
      <bottom style="thin">
        <color rgb="FF073763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7"/>
      </bottom>
      <diagonal/>
    </border>
    <border>
      <left style="medium">
        <color theme="7"/>
      </left>
      <right style="thin">
        <color theme="7"/>
      </right>
      <top style="medium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medium">
        <color theme="7"/>
      </top>
      <bottom style="thin">
        <color theme="7"/>
      </bottom>
      <diagonal/>
    </border>
    <border>
      <left style="thin">
        <color theme="7"/>
      </left>
      <right style="medium">
        <color theme="7"/>
      </right>
      <top style="medium">
        <color theme="7"/>
      </top>
      <bottom style="thin">
        <color theme="7"/>
      </bottom>
      <diagonal/>
    </border>
    <border>
      <left style="medium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medium">
        <color theme="7"/>
      </right>
      <top style="thin">
        <color theme="7"/>
      </top>
      <bottom style="thin">
        <color theme="7"/>
      </bottom>
      <diagonal/>
    </border>
    <border>
      <left style="medium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medium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ck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thin">
        <color theme="5"/>
      </bottom>
      <diagonal/>
    </border>
    <border>
      <left/>
      <right style="medium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 style="medium">
        <color theme="7" tint="0.59996337778862885"/>
      </top>
      <bottom style="thin">
        <color theme="7" tint="0.59996337778862885"/>
      </bottom>
      <diagonal/>
    </border>
    <border>
      <left style="medium">
        <color theme="5"/>
      </left>
      <right style="medium">
        <color theme="5"/>
      </right>
      <top style="thin">
        <color theme="7" tint="0.59996337778862885"/>
      </top>
      <bottom style="thin">
        <color theme="7" tint="0.59996337778862885"/>
      </bottom>
      <diagonal/>
    </border>
    <border>
      <left style="medium">
        <color theme="5"/>
      </left>
      <right style="medium">
        <color theme="5"/>
      </right>
      <top style="thin">
        <color theme="7" tint="0.5999633777886288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thin">
        <color theme="7" tint="0.59996337778862885"/>
      </bottom>
      <diagonal/>
    </border>
    <border>
      <left style="thin">
        <color indexed="9"/>
      </left>
      <right/>
      <top/>
      <bottom/>
      <diagonal/>
    </border>
    <border>
      <left style="medium">
        <color indexed="9"/>
      </left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57"/>
      </left>
      <right style="medium">
        <color indexed="57"/>
      </right>
      <top style="thin">
        <color indexed="57"/>
      </top>
      <bottom style="medium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medium">
        <color indexed="57"/>
      </bottom>
      <diagonal/>
    </border>
    <border>
      <left style="medium">
        <color indexed="57"/>
      </left>
      <right style="thin">
        <color indexed="57"/>
      </right>
      <top style="thin">
        <color indexed="57"/>
      </top>
      <bottom style="medium">
        <color indexed="57"/>
      </bottom>
      <diagonal/>
    </border>
    <border>
      <left style="thin">
        <color indexed="57"/>
      </left>
      <right style="medium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medium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medium">
        <color indexed="57"/>
      </right>
      <top style="medium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medium">
        <color indexed="57"/>
      </top>
      <bottom style="thin">
        <color indexed="57"/>
      </bottom>
      <diagonal/>
    </border>
    <border>
      <left style="medium">
        <color indexed="57"/>
      </left>
      <right style="thin">
        <color indexed="57"/>
      </right>
      <top style="medium">
        <color indexed="57"/>
      </top>
      <bottom style="thin">
        <color indexed="57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medium">
        <color theme="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thin">
        <color theme="5" tint="0.39997558519241921"/>
      </bottom>
      <diagonal/>
    </border>
    <border>
      <left style="medium">
        <color theme="7" tint="-0.249977111117893"/>
      </left>
      <right/>
      <top/>
      <bottom style="thin">
        <color theme="5" tint="0.39997558519241921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thin">
        <color theme="5" tint="0.39997558519241921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thin">
        <color theme="5" tint="0.39997558519241921"/>
      </bottom>
      <diagonal/>
    </border>
    <border>
      <left/>
      <right style="thin">
        <color theme="0"/>
      </right>
      <top/>
      <bottom style="medium">
        <color theme="7" tint="-0.249977111117893"/>
      </bottom>
      <diagonal/>
    </border>
    <border>
      <left style="medium">
        <color theme="7" tint="-0.249977111117893"/>
      </left>
      <right style="thin">
        <color theme="0"/>
      </right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thin">
        <color theme="0"/>
      </bottom>
      <diagonal/>
    </border>
    <border>
      <left style="medium">
        <color theme="7" tint="-0.249977111117893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thick">
        <color theme="0"/>
      </bottom>
      <diagonal/>
    </border>
    <border>
      <left/>
      <right style="thin">
        <color theme="0"/>
      </right>
      <top style="medium">
        <color theme="7" tint="-0.249977111117893"/>
      </top>
      <bottom style="thick">
        <color theme="0"/>
      </bottom>
      <diagonal/>
    </border>
    <border>
      <left style="medium">
        <color theme="7" tint="-0.249977111117893"/>
      </left>
      <right style="thin">
        <color theme="0"/>
      </right>
      <top style="medium">
        <color theme="7" tint="-0.249977111117893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176" fontId="6" fillId="0" borderId="0" applyFill="0" applyBorder="0" applyAlignment="0"/>
    <xf numFmtId="0" fontId="14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 applyNumberFormat="0" applyAlignment="0">
      <alignment horizontal="left"/>
    </xf>
    <xf numFmtId="38" fontId="19" fillId="16" borderId="0" applyNumberFormat="0" applyBorder="0" applyAlignment="0" applyProtection="0"/>
    <xf numFmtId="0" fontId="20" fillId="0" borderId="11" applyNumberFormat="0" applyAlignment="0" applyProtection="0">
      <alignment horizontal="left" vertical="center"/>
    </xf>
    <xf numFmtId="0" fontId="20" fillId="0" borderId="12">
      <alignment horizontal="left" vertical="center"/>
    </xf>
    <xf numFmtId="10" fontId="19" fillId="17" borderId="10" applyNumberFormat="0" applyBorder="0" applyAlignment="0" applyProtection="0"/>
    <xf numFmtId="177" fontId="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10" fontId="14" fillId="0" borderId="0" applyFont="0" applyFill="0" applyBorder="0" applyAlignment="0" applyProtection="0"/>
    <xf numFmtId="30" fontId="22" fillId="0" borderId="0" applyNumberFormat="0" applyFill="0" applyBorder="0" applyAlignment="0" applyProtection="0">
      <alignment horizontal="left"/>
    </xf>
    <xf numFmtId="0" fontId="14" fillId="18" borderId="0"/>
    <xf numFmtId="40" fontId="23" fillId="0" borderId="0" applyBorder="0">
      <alignment horizontal="right"/>
    </xf>
    <xf numFmtId="16" fontId="24" fillId="0" borderId="0" applyNumberFormat="0" applyFont="0" applyFill="0" applyBorder="0">
      <alignment horizontal="left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180" fontId="15" fillId="0" borderId="13" applyFon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8" fillId="0" borderId="0"/>
    <xf numFmtId="0" fontId="29" fillId="0" borderId="5" applyNumberFormat="0" applyFill="0" applyAlignment="0" applyProtection="0">
      <alignment vertical="center"/>
    </xf>
    <xf numFmtId="0" fontId="30" fillId="0" borderId="14" applyNumberFormat="0" applyFill="0" applyAlignment="0" applyProtection="0"/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6" fillId="0" borderId="0"/>
    <xf numFmtId="0" fontId="6" fillId="0" borderId="0"/>
    <xf numFmtId="0" fontId="15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14" fillId="0" borderId="0"/>
    <xf numFmtId="0" fontId="6" fillId="0" borderId="0"/>
    <xf numFmtId="0" fontId="16" fillId="19" borderId="0">
      <alignment horizontal="center"/>
    </xf>
    <xf numFmtId="0" fontId="34" fillId="0" borderId="15" applyNumberFormat="0" applyFont="0" applyFill="0" applyProtection="0">
      <alignment horizontal="center" vertical="center" wrapText="1"/>
    </xf>
    <xf numFmtId="0" fontId="15" fillId="5" borderId="0" applyNumberFormat="0" applyBorder="0" applyAlignment="0" applyProtection="0">
      <alignment vertical="center"/>
    </xf>
    <xf numFmtId="0" fontId="6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79" fillId="0" borderId="1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92" fillId="0" borderId="0">
      <alignment vertical="center"/>
    </xf>
    <xf numFmtId="0" fontId="27" fillId="0" borderId="0"/>
    <xf numFmtId="0" fontId="92" fillId="0" borderId="0"/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97" fillId="0" borderId="0"/>
    <xf numFmtId="0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0" fontId="98" fillId="0" borderId="0">
      <alignment horizontal="left"/>
    </xf>
    <xf numFmtId="0" fontId="99" fillId="0" borderId="92"/>
    <xf numFmtId="0" fontId="99" fillId="0" borderId="0"/>
    <xf numFmtId="0" fontId="100" fillId="35" borderId="84" applyNumberFormat="0" applyAlignment="0" applyProtection="0">
      <alignment vertical="center"/>
    </xf>
    <xf numFmtId="0" fontId="101" fillId="28" borderId="93" applyFill="0">
      <alignment horizontal="center" vertical="center"/>
    </xf>
    <xf numFmtId="0" fontId="101" fillId="28" borderId="93" applyFill="0" applyBorder="0">
      <alignment horizontal="center" vertical="center"/>
    </xf>
    <xf numFmtId="0" fontId="55" fillId="36" borderId="85" applyNumberFormat="0" applyFont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2" fillId="0" borderId="0"/>
    <xf numFmtId="41" fontId="27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2" fontId="103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3" fillId="0" borderId="0"/>
    <xf numFmtId="0" fontId="104" fillId="0" borderId="0"/>
    <xf numFmtId="0" fontId="55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55" fillId="0" borderId="0">
      <alignment vertical="center"/>
    </xf>
    <xf numFmtId="0" fontId="49" fillId="0" borderId="0">
      <alignment vertical="center"/>
    </xf>
    <xf numFmtId="0" fontId="14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41" fontId="107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6" fillId="0" borderId="0"/>
    <xf numFmtId="0" fontId="6" fillId="0" borderId="0">
      <alignment vertical="center"/>
    </xf>
    <xf numFmtId="0" fontId="120" fillId="0" borderId="1" applyNumberFormat="0" applyFill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2" fontId="4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143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9" fontId="149" fillId="0" borderId="0" applyFont="0" applyFill="0" applyBorder="0" applyAlignment="0" applyProtection="0">
      <alignment vertical="center"/>
    </xf>
    <xf numFmtId="0" fontId="6" fillId="0" borderId="0"/>
  </cellStyleXfs>
  <cellXfs count="680">
    <xf numFmtId="0" fontId="0" fillId="0" borderId="0" xfId="0">
      <alignment vertical="center"/>
    </xf>
    <xf numFmtId="0" fontId="10" fillId="0" borderId="0" xfId="2" applyFo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vertical="center"/>
    </xf>
    <xf numFmtId="0" fontId="12" fillId="14" borderId="10" xfId="2" applyFont="1" applyFill="1" applyBorder="1" applyAlignment="1">
      <alignment horizontal="center" vertical="center"/>
    </xf>
    <xf numFmtId="0" fontId="11" fillId="0" borderId="10" xfId="2" applyFont="1" applyBorder="1">
      <alignment vertical="center"/>
    </xf>
    <xf numFmtId="41" fontId="11" fillId="0" borderId="10" xfId="3" applyNumberFormat="1" applyFont="1" applyBorder="1">
      <alignment vertical="center"/>
    </xf>
    <xf numFmtId="41" fontId="11" fillId="0" borderId="10" xfId="2" applyNumberFormat="1" applyFont="1" applyBorder="1">
      <alignment vertical="center"/>
    </xf>
    <xf numFmtId="0" fontId="15" fillId="0" borderId="0" xfId="65">
      <alignment vertical="center"/>
    </xf>
    <xf numFmtId="0" fontId="15" fillId="0" borderId="0" xfId="65" applyAlignment="1"/>
    <xf numFmtId="0" fontId="15" fillId="0" borderId="16" xfId="65" applyBorder="1" applyAlignment="1">
      <alignment horizontal="center" vertical="center"/>
    </xf>
    <xf numFmtId="0" fontId="15" fillId="0" borderId="17" xfId="65" applyBorder="1" applyAlignment="1">
      <alignment horizontal="center" vertical="center"/>
    </xf>
    <xf numFmtId="0" fontId="15" fillId="0" borderId="18" xfId="65" applyBorder="1" applyAlignment="1">
      <alignment horizontal="center" vertical="center"/>
    </xf>
    <xf numFmtId="0" fontId="15" fillId="0" borderId="19" xfId="65" applyBorder="1" applyAlignment="1">
      <alignment horizontal="center" vertical="center"/>
    </xf>
    <xf numFmtId="0" fontId="15" fillId="0" borderId="20" xfId="65" applyBorder="1" applyAlignment="1">
      <alignment horizontal="center" vertical="center"/>
    </xf>
    <xf numFmtId="0" fontId="15" fillId="0" borderId="21" xfId="65" applyBorder="1" applyAlignment="1">
      <alignment horizontal="center" vertical="center"/>
    </xf>
    <xf numFmtId="41" fontId="36" fillId="0" borderId="10" xfId="50" applyFont="1" applyFill="1" applyBorder="1" applyAlignment="1">
      <alignment horizontal="center" vertical="center"/>
    </xf>
    <xf numFmtId="41" fontId="37" fillId="0" borderId="0" xfId="50" applyFont="1">
      <alignment vertical="center"/>
    </xf>
    <xf numFmtId="41" fontId="0" fillId="0" borderId="0" xfId="50" applyFont="1">
      <alignment vertical="center"/>
    </xf>
    <xf numFmtId="0" fontId="39" fillId="0" borderId="0" xfId="69" applyFont="1"/>
    <xf numFmtId="0" fontId="36" fillId="0" borderId="0" xfId="69" applyFont="1"/>
    <xf numFmtId="41" fontId="36" fillId="0" borderId="30" xfId="52" applyFont="1" applyBorder="1" applyAlignment="1">
      <alignment vertical="center"/>
    </xf>
    <xf numFmtId="0" fontId="36" fillId="0" borderId="30" xfId="69" applyFont="1" applyBorder="1" applyAlignment="1">
      <alignment vertical="center"/>
    </xf>
    <xf numFmtId="0" fontId="36" fillId="0" borderId="30" xfId="69" applyFont="1" applyBorder="1" applyAlignment="1">
      <alignment horizontal="center" vertical="center"/>
    </xf>
    <xf numFmtId="41" fontId="36" fillId="0" borderId="10" xfId="52" applyFont="1" applyBorder="1" applyAlignment="1">
      <alignment horizontal="center"/>
    </xf>
    <xf numFmtId="0" fontId="36" fillId="0" borderId="10" xfId="69" applyFont="1" applyBorder="1" applyAlignment="1">
      <alignment horizontal="left"/>
    </xf>
    <xf numFmtId="0" fontId="41" fillId="0" borderId="0" xfId="69" applyFont="1"/>
    <xf numFmtId="0" fontId="36" fillId="0" borderId="10" xfId="69" applyNumberFormat="1" applyFont="1" applyBorder="1" applyAlignment="1">
      <alignment horizontal="left"/>
    </xf>
    <xf numFmtId="0" fontId="43" fillId="0" borderId="0" xfId="69" applyFont="1" applyAlignment="1">
      <alignment horizontal="centerContinuous"/>
    </xf>
    <xf numFmtId="0" fontId="11" fillId="0" borderId="0" xfId="65" applyFont="1" applyAlignment="1">
      <alignment horizontal="center" vertical="center"/>
    </xf>
    <xf numFmtId="0" fontId="11" fillId="0" borderId="0" xfId="65" applyFont="1" applyFill="1" applyAlignment="1">
      <alignment horizontal="center" vertical="center"/>
    </xf>
    <xf numFmtId="0" fontId="44" fillId="0" borderId="0" xfId="65" applyFont="1" applyAlignment="1">
      <alignment horizontal="left" vertical="center"/>
    </xf>
    <xf numFmtId="0" fontId="10" fillId="0" borderId="0" xfId="65" applyFont="1" applyFill="1" applyBorder="1" applyAlignment="1">
      <alignment horizontal="center" vertical="center"/>
    </xf>
    <xf numFmtId="0" fontId="12" fillId="0" borderId="0" xfId="65" applyFont="1" applyFill="1" applyBorder="1" applyAlignment="1">
      <alignment horizontal="center" vertical="center"/>
    </xf>
    <xf numFmtId="0" fontId="11" fillId="0" borderId="0" xfId="65" applyFont="1" applyFill="1" applyAlignment="1">
      <alignment horizontal="left" vertical="center"/>
    </xf>
    <xf numFmtId="41" fontId="11" fillId="0" borderId="10" xfId="50" applyFont="1" applyFill="1" applyBorder="1" applyAlignment="1">
      <alignment horizontal="center" vertical="center"/>
    </xf>
    <xf numFmtId="0" fontId="45" fillId="0" borderId="10" xfId="65" applyFont="1" applyFill="1" applyBorder="1" applyAlignment="1">
      <alignment horizontal="center" vertical="center"/>
    </xf>
    <xf numFmtId="9" fontId="11" fillId="0" borderId="10" xfId="75" applyFont="1" applyFill="1" applyBorder="1" applyAlignment="1">
      <alignment horizontal="center" vertical="center"/>
    </xf>
    <xf numFmtId="0" fontId="11" fillId="0" borderId="10" xfId="65" applyFont="1" applyFill="1" applyBorder="1" applyAlignment="1">
      <alignment horizontal="center" vertical="center"/>
    </xf>
    <xf numFmtId="0" fontId="11" fillId="0" borderId="10" xfId="65" applyFont="1" applyFill="1" applyBorder="1" applyAlignment="1">
      <alignment horizontal="center" vertical="center" shrinkToFit="1"/>
    </xf>
    <xf numFmtId="0" fontId="45" fillId="0" borderId="0" xfId="65" applyFont="1">
      <alignment vertical="center"/>
    </xf>
    <xf numFmtId="0" fontId="36" fillId="0" borderId="0" xfId="2" applyFont="1">
      <alignment vertical="center"/>
    </xf>
    <xf numFmtId="0" fontId="6" fillId="0" borderId="0" xfId="2">
      <alignment vertical="center"/>
    </xf>
    <xf numFmtId="187" fontId="49" fillId="0" borderId="31" xfId="2" applyNumberFormat="1" applyFont="1" applyFill="1" applyBorder="1">
      <alignment vertical="center"/>
    </xf>
    <xf numFmtId="41" fontId="49" fillId="0" borderId="32" xfId="3" applyNumberFormat="1" applyFont="1" applyFill="1" applyBorder="1">
      <alignment vertical="center"/>
    </xf>
    <xf numFmtId="187" fontId="49" fillId="0" borderId="32" xfId="2" applyNumberFormat="1" applyFont="1" applyFill="1" applyBorder="1">
      <alignment vertical="center"/>
    </xf>
    <xf numFmtId="0" fontId="50" fillId="0" borderId="32" xfId="2" applyFont="1" applyFill="1" applyBorder="1" applyAlignment="1">
      <alignment horizontal="center" vertical="center"/>
    </xf>
    <xf numFmtId="0" fontId="50" fillId="0" borderId="10" xfId="2" applyFont="1" applyFill="1" applyBorder="1" applyAlignment="1">
      <alignment horizontal="center" vertical="center"/>
    </xf>
    <xf numFmtId="188" fontId="49" fillId="23" borderId="33" xfId="3" applyNumberFormat="1" applyFont="1" applyFill="1" applyBorder="1" applyAlignment="1">
      <alignment horizontal="right" vertical="center"/>
    </xf>
    <xf numFmtId="41" fontId="49" fillId="0" borderId="31" xfId="3" applyNumberFormat="1" applyFont="1" applyFill="1" applyBorder="1">
      <alignment vertical="center"/>
    </xf>
    <xf numFmtId="0" fontId="50" fillId="0" borderId="34" xfId="2" applyFont="1" applyFill="1" applyBorder="1" applyAlignment="1">
      <alignment horizontal="center" vertical="center"/>
    </xf>
    <xf numFmtId="0" fontId="50" fillId="0" borderId="35" xfId="2" applyFont="1" applyFill="1" applyBorder="1" applyAlignment="1">
      <alignment horizontal="center" vertical="center"/>
    </xf>
    <xf numFmtId="0" fontId="50" fillId="0" borderId="10" xfId="2" applyFont="1" applyFill="1" applyBorder="1" applyAlignment="1">
      <alignment horizontal="center" vertical="center" wrapText="1"/>
    </xf>
    <xf numFmtId="0" fontId="51" fillId="0" borderId="36" xfId="2" applyFont="1" applyFill="1" applyBorder="1" applyAlignment="1">
      <alignment vertical="center"/>
    </xf>
    <xf numFmtId="0" fontId="50" fillId="0" borderId="8" xfId="2" applyFont="1" applyFill="1" applyBorder="1" applyAlignment="1">
      <alignment horizontal="center" vertical="center"/>
    </xf>
    <xf numFmtId="0" fontId="51" fillId="0" borderId="0" xfId="2" applyFont="1" applyAlignment="1">
      <alignment horizontal="center" vertical="center"/>
    </xf>
    <xf numFmtId="0" fontId="39" fillId="0" borderId="0" xfId="2" applyFont="1" applyFill="1">
      <alignment vertical="center"/>
    </xf>
    <xf numFmtId="0" fontId="36" fillId="0" borderId="0" xfId="2" applyFont="1" applyFill="1">
      <alignment vertical="center"/>
    </xf>
    <xf numFmtId="0" fontId="53" fillId="0" borderId="0" xfId="2" applyFont="1" applyFill="1" applyBorder="1" applyAlignment="1">
      <alignment horizontal="center" vertical="center"/>
    </xf>
    <xf numFmtId="0" fontId="36" fillId="0" borderId="0" xfId="63" applyFont="1" applyAlignment="1">
      <alignment vertical="center"/>
    </xf>
    <xf numFmtId="0" fontId="36" fillId="0" borderId="0" xfId="63" applyFont="1" applyAlignment="1">
      <alignment horizontal="center" vertical="center"/>
    </xf>
    <xf numFmtId="0" fontId="41" fillId="0" borderId="0" xfId="63" applyFont="1" applyAlignment="1">
      <alignment horizontal="center" vertical="center"/>
    </xf>
    <xf numFmtId="0" fontId="54" fillId="0" borderId="0" xfId="63" applyFont="1" applyAlignment="1">
      <alignment horizontal="centerContinuous" vertical="center"/>
    </xf>
    <xf numFmtId="0" fontId="55" fillId="0" borderId="0" xfId="65" applyNumberFormat="1" applyFont="1" applyBorder="1">
      <alignment vertical="center"/>
    </xf>
    <xf numFmtId="0" fontId="6" fillId="0" borderId="0" xfId="64" applyBorder="1" applyAlignment="1">
      <alignment vertical="center"/>
    </xf>
    <xf numFmtId="0" fontId="6" fillId="0" borderId="0" xfId="64"/>
    <xf numFmtId="0" fontId="56" fillId="0" borderId="40" xfId="50" applyNumberFormat="1" applyFont="1" applyFill="1" applyBorder="1">
      <alignment vertical="center"/>
    </xf>
    <xf numFmtId="190" fontId="56" fillId="0" borderId="40" xfId="50" quotePrefix="1" applyNumberFormat="1" applyFont="1" applyFill="1" applyBorder="1" applyAlignment="1">
      <alignment horizontal="center" vertical="center"/>
    </xf>
    <xf numFmtId="0" fontId="56" fillId="0" borderId="41" xfId="50" quotePrefix="1" applyNumberFormat="1" applyFont="1" applyFill="1" applyBorder="1" applyAlignment="1">
      <alignment horizontal="center" vertical="center"/>
    </xf>
    <xf numFmtId="0" fontId="59" fillId="0" borderId="0" xfId="67" applyFont="1">
      <alignment vertical="center"/>
    </xf>
    <xf numFmtId="41" fontId="59" fillId="0" borderId="46" xfId="53" applyFont="1" applyBorder="1">
      <alignment vertical="center"/>
    </xf>
    <xf numFmtId="0" fontId="59" fillId="0" borderId="46" xfId="67" applyFont="1" applyBorder="1">
      <alignment vertical="center"/>
    </xf>
    <xf numFmtId="41" fontId="59" fillId="0" borderId="47" xfId="53" applyFont="1" applyBorder="1">
      <alignment vertical="center"/>
    </xf>
    <xf numFmtId="0" fontId="59" fillId="0" borderId="47" xfId="67" applyFont="1" applyBorder="1">
      <alignment vertical="center"/>
    </xf>
    <xf numFmtId="0" fontId="60" fillId="16" borderId="0" xfId="67" applyFont="1" applyFill="1">
      <alignment vertical="center"/>
    </xf>
    <xf numFmtId="0" fontId="55" fillId="0" borderId="0" xfId="65" applyFont="1" applyBorder="1">
      <alignment vertical="center"/>
    </xf>
    <xf numFmtId="41" fontId="55" fillId="0" borderId="0" xfId="50" applyFont="1" applyBorder="1">
      <alignment vertical="center"/>
    </xf>
    <xf numFmtId="41" fontId="55" fillId="0" borderId="0" xfId="50" applyFont="1" applyBorder="1" applyAlignment="1">
      <alignment horizontal="center" vertical="center"/>
    </xf>
    <xf numFmtId="41" fontId="55" fillId="0" borderId="52" xfId="50" applyFont="1" applyBorder="1">
      <alignment vertical="center"/>
    </xf>
    <xf numFmtId="191" fontId="55" fillId="0" borderId="10" xfId="65" applyNumberFormat="1" applyFont="1" applyBorder="1" applyAlignment="1">
      <alignment horizontal="center" vertical="center"/>
    </xf>
    <xf numFmtId="14" fontId="55" fillId="0" borderId="10" xfId="65" applyNumberFormat="1" applyFont="1" applyBorder="1" applyAlignment="1">
      <alignment horizontal="center" vertical="center"/>
    </xf>
    <xf numFmtId="192" fontId="55" fillId="0" borderId="10" xfId="65" applyNumberFormat="1" applyFont="1" applyBorder="1" applyAlignment="1">
      <alignment horizontal="right" vertical="center" indent="1"/>
    </xf>
    <xf numFmtId="20" fontId="55" fillId="0" borderId="0" xfId="65" applyNumberFormat="1" applyFont="1" applyBorder="1">
      <alignment vertical="center"/>
    </xf>
    <xf numFmtId="0" fontId="7" fillId="0" borderId="0" xfId="63" applyFont="1" applyAlignment="1">
      <alignment horizontal="center" vertical="center"/>
    </xf>
    <xf numFmtId="0" fontId="36" fillId="0" borderId="0" xfId="74" applyFont="1" applyAlignment="1">
      <alignment vertical="center"/>
    </xf>
    <xf numFmtId="0" fontId="40" fillId="0" borderId="10" xfId="74" applyFont="1" applyBorder="1" applyAlignment="1">
      <alignment horizontal="center" vertical="center"/>
    </xf>
    <xf numFmtId="0" fontId="36" fillId="0" borderId="0" xfId="64" applyFont="1" applyAlignment="1">
      <alignment vertical="center"/>
    </xf>
    <xf numFmtId="0" fontId="36" fillId="0" borderId="10" xfId="74" applyFont="1" applyBorder="1" applyAlignment="1">
      <alignment horizontal="center" vertical="center"/>
    </xf>
    <xf numFmtId="14" fontId="36" fillId="0" borderId="10" xfId="74" applyNumberFormat="1" applyFont="1" applyBorder="1" applyAlignment="1">
      <alignment horizontal="center" vertical="center"/>
    </xf>
    <xf numFmtId="41" fontId="65" fillId="0" borderId="0" xfId="57" applyNumberFormat="1" applyFont="1" applyFill="1" applyBorder="1" applyAlignment="1">
      <alignment horizontal="centerContinuous" vertical="center"/>
    </xf>
    <xf numFmtId="41" fontId="66" fillId="0" borderId="0" xfId="57" applyNumberFormat="1" applyFont="1" applyFill="1" applyBorder="1" applyAlignment="1">
      <alignment horizontal="centerContinuous" vertical="center"/>
    </xf>
    <xf numFmtId="0" fontId="67" fillId="0" borderId="0" xfId="65" applyFont="1" applyFill="1" applyBorder="1" applyAlignment="1">
      <alignment horizontal="centerContinuous" vertical="center"/>
    </xf>
    <xf numFmtId="0" fontId="67" fillId="0" borderId="0" xfId="65" applyFont="1" applyFill="1" applyBorder="1">
      <alignment vertical="center"/>
    </xf>
    <xf numFmtId="41" fontId="67" fillId="0" borderId="0" xfId="50" applyFont="1" applyFill="1" applyBorder="1">
      <alignment vertical="center"/>
    </xf>
    <xf numFmtId="41" fontId="67" fillId="0" borderId="0" xfId="50" applyFont="1" applyFill="1" applyBorder="1" applyAlignment="1">
      <alignment horizontal="center" vertical="center"/>
    </xf>
    <xf numFmtId="191" fontId="67" fillId="0" borderId="10" xfId="65" applyNumberFormat="1" applyFont="1" applyFill="1" applyBorder="1" applyAlignment="1">
      <alignment horizontal="center" vertical="center"/>
    </xf>
    <xf numFmtId="193" fontId="67" fillId="0" borderId="10" xfId="65" applyNumberFormat="1" applyFont="1" applyFill="1" applyBorder="1" applyAlignment="1">
      <alignment horizontal="right" vertical="center"/>
    </xf>
    <xf numFmtId="196" fontId="67" fillId="0" borderId="10" xfId="50" applyNumberFormat="1" applyFont="1" applyFill="1" applyBorder="1" applyAlignment="1">
      <alignment vertical="center"/>
    </xf>
    <xf numFmtId="196" fontId="67" fillId="0" borderId="10" xfId="65" applyNumberFormat="1" applyFont="1" applyFill="1" applyBorder="1">
      <alignment vertical="center"/>
    </xf>
    <xf numFmtId="20" fontId="67" fillId="0" borderId="0" xfId="65" applyNumberFormat="1" applyFont="1" applyFill="1" applyBorder="1">
      <alignment vertical="center"/>
    </xf>
    <xf numFmtId="0" fontId="15" fillId="0" borderId="0" xfId="65" applyFill="1">
      <alignment vertical="center"/>
    </xf>
    <xf numFmtId="14" fontId="70" fillId="29" borderId="10" xfId="65" applyNumberFormat="1" applyFont="1" applyFill="1" applyBorder="1" applyAlignment="1">
      <alignment horizontal="center" vertical="center" wrapText="1"/>
    </xf>
    <xf numFmtId="0" fontId="71" fillId="0" borderId="10" xfId="65" applyFont="1" applyFill="1" applyBorder="1" applyAlignment="1">
      <alignment horizontal="center" vertical="center"/>
    </xf>
    <xf numFmtId="195" fontId="71" fillId="0" borderId="10" xfId="65" applyNumberFormat="1" applyFont="1" applyFill="1" applyBorder="1" applyAlignment="1">
      <alignment vertical="center"/>
    </xf>
    <xf numFmtId="195" fontId="72" fillId="30" borderId="10" xfId="65" applyNumberFormat="1" applyFont="1" applyFill="1" applyBorder="1">
      <alignment vertical="center"/>
    </xf>
    <xf numFmtId="195" fontId="73" fillId="30" borderId="10" xfId="65" applyNumberFormat="1" applyFont="1" applyFill="1" applyBorder="1" applyAlignment="1">
      <alignment horizontal="center" vertical="center"/>
    </xf>
    <xf numFmtId="198" fontId="15" fillId="0" borderId="0" xfId="65" applyNumberFormat="1" applyFill="1">
      <alignment vertical="center"/>
    </xf>
    <xf numFmtId="195" fontId="73" fillId="0" borderId="0" xfId="65" applyNumberFormat="1" applyFont="1" applyFill="1" applyBorder="1" applyAlignment="1">
      <alignment horizontal="center" vertical="center"/>
    </xf>
    <xf numFmtId="14" fontId="15" fillId="0" borderId="0" xfId="65" applyNumberFormat="1" applyFill="1">
      <alignment vertical="center"/>
    </xf>
    <xf numFmtId="0" fontId="15" fillId="31" borderId="0" xfId="65" applyFill="1">
      <alignment vertical="center"/>
    </xf>
    <xf numFmtId="0" fontId="75" fillId="0" borderId="0" xfId="65" applyFont="1" applyAlignment="1">
      <alignment horizontal="left" vertical="center"/>
    </xf>
    <xf numFmtId="0" fontId="76" fillId="0" borderId="0" xfId="65" applyFont="1" applyAlignment="1">
      <alignment horizontal="center" vertical="center"/>
    </xf>
    <xf numFmtId="0" fontId="15" fillId="0" borderId="58" xfId="65" applyBorder="1" applyAlignment="1">
      <alignment horizontal="center" vertical="center"/>
    </xf>
    <xf numFmtId="0" fontId="15" fillId="0" borderId="59" xfId="65" applyBorder="1" applyAlignment="1">
      <alignment horizontal="center" vertical="center"/>
    </xf>
    <xf numFmtId="0" fontId="15" fillId="0" borderId="0" xfId="65" applyAlignment="1">
      <alignment horizontal="left" vertical="center"/>
    </xf>
    <xf numFmtId="0" fontId="15" fillId="0" borderId="0" xfId="65" applyAlignment="1">
      <alignment horizontal="right" vertical="center"/>
    </xf>
    <xf numFmtId="0" fontId="15" fillId="0" borderId="61" xfId="65" applyBorder="1" applyAlignment="1">
      <alignment horizontal="center" vertical="center"/>
    </xf>
    <xf numFmtId="0" fontId="15" fillId="0" borderId="62" xfId="65" applyBorder="1" applyAlignment="1">
      <alignment horizontal="center" vertical="center"/>
    </xf>
    <xf numFmtId="14" fontId="15" fillId="0" borderId="0" xfId="65" applyNumberFormat="1" applyAlignment="1">
      <alignment horizontal="left" vertical="center"/>
    </xf>
    <xf numFmtId="41" fontId="49" fillId="0" borderId="64" xfId="50" applyFont="1" applyBorder="1">
      <alignment vertical="center"/>
    </xf>
    <xf numFmtId="41" fontId="49" fillId="0" borderId="65" xfId="50" applyFont="1" applyBorder="1">
      <alignment vertical="center"/>
    </xf>
    <xf numFmtId="0" fontId="15" fillId="0" borderId="66" xfId="65" applyBorder="1" applyAlignment="1">
      <alignment horizontal="center" vertical="center"/>
    </xf>
    <xf numFmtId="0" fontId="15" fillId="0" borderId="67" xfId="65" applyBorder="1" applyAlignment="1">
      <alignment horizontal="center" vertical="center"/>
    </xf>
    <xf numFmtId="0" fontId="15" fillId="0" borderId="68" xfId="65" applyBorder="1" applyAlignment="1">
      <alignment horizontal="center" vertical="center"/>
    </xf>
    <xf numFmtId="0" fontId="15" fillId="0" borderId="69" xfId="65" applyBorder="1" applyAlignment="1">
      <alignment horizontal="center" vertical="center"/>
    </xf>
    <xf numFmtId="0" fontId="15" fillId="0" borderId="70" xfId="65" applyBorder="1" applyAlignment="1">
      <alignment horizontal="center" vertical="center"/>
    </xf>
    <xf numFmtId="0" fontId="15" fillId="0" borderId="70" xfId="65" applyBorder="1">
      <alignment vertical="center"/>
    </xf>
    <xf numFmtId="0" fontId="15" fillId="0" borderId="60" xfId="65" applyBorder="1" applyAlignment="1">
      <alignment horizontal="center" vertical="center"/>
    </xf>
    <xf numFmtId="41" fontId="15" fillId="0" borderId="62" xfId="65" applyNumberFormat="1" applyBorder="1">
      <alignment vertical="center"/>
    </xf>
    <xf numFmtId="0" fontId="15" fillId="0" borderId="61" xfId="65" applyBorder="1">
      <alignment vertical="center"/>
    </xf>
    <xf numFmtId="0" fontId="15" fillId="0" borderId="63" xfId="65" applyBorder="1" applyAlignment="1">
      <alignment horizontal="center" vertical="center"/>
    </xf>
    <xf numFmtId="0" fontId="15" fillId="0" borderId="64" xfId="65" applyBorder="1" applyAlignment="1">
      <alignment horizontal="center" vertical="center"/>
    </xf>
    <xf numFmtId="0" fontId="15" fillId="0" borderId="64" xfId="65" applyBorder="1">
      <alignment vertical="center"/>
    </xf>
    <xf numFmtId="41" fontId="15" fillId="0" borderId="65" xfId="65" applyNumberFormat="1" applyBorder="1">
      <alignment vertical="center"/>
    </xf>
    <xf numFmtId="0" fontId="15" fillId="0" borderId="71" xfId="65" applyBorder="1">
      <alignment vertical="center"/>
    </xf>
    <xf numFmtId="41" fontId="49" fillId="0" borderId="68" xfId="50" applyFont="1" applyBorder="1">
      <alignment vertical="center"/>
    </xf>
    <xf numFmtId="0" fontId="40" fillId="0" borderId="36" xfId="2" applyFont="1" applyBorder="1" applyAlignment="1">
      <alignment horizontal="center" vertical="center"/>
    </xf>
    <xf numFmtId="0" fontId="36" fillId="0" borderId="10" xfId="2" applyFont="1" applyBorder="1" applyAlignment="1">
      <alignment horizontal="center" vertical="center"/>
    </xf>
    <xf numFmtId="0" fontId="36" fillId="0" borderId="0" xfId="2" applyFont="1" applyBorder="1" applyAlignment="1">
      <alignment horizontal="center" vertical="center"/>
    </xf>
    <xf numFmtId="0" fontId="80" fillId="0" borderId="0" xfId="65" applyFont="1" applyAlignment="1">
      <alignment horizontal="center" vertical="center"/>
    </xf>
    <xf numFmtId="0" fontId="69" fillId="12" borderId="37" xfId="42" applyFont="1" applyBorder="1" applyAlignment="1">
      <alignment horizontal="center" vertical="center"/>
    </xf>
    <xf numFmtId="41" fontId="0" fillId="22" borderId="37" xfId="50" quotePrefix="1" applyFont="1" applyFill="1" applyBorder="1">
      <alignment vertical="center"/>
    </xf>
    <xf numFmtId="0" fontId="15" fillId="0" borderId="37" xfId="65" applyFont="1" applyBorder="1" applyAlignment="1">
      <alignment horizontal="center" vertical="center"/>
    </xf>
    <xf numFmtId="41" fontId="0" fillId="22" borderId="37" xfId="50" quotePrefix="1" applyFont="1" applyFill="1" applyBorder="1" applyAlignment="1">
      <alignment horizontal="center" vertical="center"/>
    </xf>
    <xf numFmtId="41" fontId="0" fillId="0" borderId="37" xfId="50" applyFont="1" applyBorder="1">
      <alignment vertical="center"/>
    </xf>
    <xf numFmtId="188" fontId="0" fillId="0" borderId="37" xfId="50" applyNumberFormat="1" applyFont="1" applyBorder="1">
      <alignment vertical="center"/>
    </xf>
    <xf numFmtId="188" fontId="0" fillId="22" borderId="37" xfId="50" quotePrefix="1" applyNumberFormat="1" applyFont="1" applyFill="1" applyBorder="1" applyAlignment="1">
      <alignment horizontal="center" vertical="center"/>
    </xf>
    <xf numFmtId="0" fontId="69" fillId="32" borderId="73" xfId="65" applyFont="1" applyFill="1" applyBorder="1" applyAlignment="1">
      <alignment horizontal="center" vertical="center"/>
    </xf>
    <xf numFmtId="0" fontId="69" fillId="32" borderId="74" xfId="65" applyFont="1" applyFill="1" applyBorder="1" applyAlignment="1">
      <alignment horizontal="center" vertical="center"/>
    </xf>
    <xf numFmtId="0" fontId="69" fillId="32" borderId="75" xfId="65" applyFont="1" applyFill="1" applyBorder="1" applyAlignment="1">
      <alignment horizontal="center" vertical="center"/>
    </xf>
    <xf numFmtId="0" fontId="15" fillId="0" borderId="76" xfId="65" applyBorder="1" applyAlignment="1">
      <alignment horizontal="center" vertical="center"/>
    </xf>
    <xf numFmtId="0" fontId="15" fillId="0" borderId="78" xfId="65" applyFill="1" applyBorder="1" applyAlignment="1">
      <alignment horizontal="center" vertical="center"/>
    </xf>
    <xf numFmtId="0" fontId="69" fillId="12" borderId="73" xfId="42" applyFont="1" applyBorder="1" applyAlignment="1">
      <alignment horizontal="center" vertical="center"/>
    </xf>
    <xf numFmtId="0" fontId="69" fillId="12" borderId="75" xfId="42" applyFont="1" applyBorder="1" applyAlignment="1">
      <alignment horizontal="center" vertical="center"/>
    </xf>
    <xf numFmtId="41" fontId="0" fillId="0" borderId="77" xfId="50" applyFont="1" applyBorder="1">
      <alignment vertical="center"/>
    </xf>
    <xf numFmtId="0" fontId="15" fillId="0" borderId="78" xfId="65" applyBorder="1" applyAlignment="1">
      <alignment horizontal="center" vertical="center"/>
    </xf>
    <xf numFmtId="41" fontId="0" fillId="0" borderId="79" xfId="50" applyFont="1" applyBorder="1">
      <alignment vertical="center"/>
    </xf>
    <xf numFmtId="0" fontId="50" fillId="0" borderId="0" xfId="65" applyFont="1">
      <alignment vertical="center"/>
    </xf>
    <xf numFmtId="0" fontId="6" fillId="0" borderId="0" xfId="70"/>
    <xf numFmtId="0" fontId="81" fillId="0" borderId="36" xfId="70" applyFont="1" applyBorder="1" applyAlignment="1">
      <alignment horizontal="center"/>
    </xf>
    <xf numFmtId="0" fontId="83" fillId="0" borderId="10" xfId="70" applyFont="1" applyBorder="1" applyAlignment="1">
      <alignment horizontal="center" vertical="center"/>
    </xf>
    <xf numFmtId="0" fontId="83" fillId="0" borderId="10" xfId="70" applyFont="1" applyBorder="1" applyAlignment="1">
      <alignment vertical="center"/>
    </xf>
    <xf numFmtId="0" fontId="83" fillId="0" borderId="10" xfId="70" applyFont="1" applyBorder="1" applyAlignment="1">
      <alignment horizontal="center" vertical="center" shrinkToFit="1"/>
    </xf>
    <xf numFmtId="0" fontId="83" fillId="0" borderId="10" xfId="70" applyFont="1" applyBorder="1" applyAlignment="1">
      <alignment horizontal="distributed" vertical="center"/>
    </xf>
    <xf numFmtId="3" fontId="83" fillId="0" borderId="10" xfId="70" applyNumberFormat="1" applyFont="1" applyBorder="1" applyAlignment="1">
      <alignment vertical="center"/>
    </xf>
    <xf numFmtId="0" fontId="83" fillId="0" borderId="10" xfId="70" applyFont="1" applyBorder="1" applyAlignment="1">
      <alignment vertical="center" shrinkToFit="1"/>
    </xf>
    <xf numFmtId="0" fontId="6" fillId="0" borderId="0" xfId="70" applyAlignment="1">
      <alignment horizontal="center"/>
    </xf>
    <xf numFmtId="41" fontId="0" fillId="0" borderId="0" xfId="50" applyFont="1" applyAlignment="1">
      <alignment horizontal="center" vertical="center"/>
    </xf>
    <xf numFmtId="0" fontId="15" fillId="0" borderId="0" xfId="65" applyAlignment="1">
      <alignment horizontal="center" vertical="center"/>
    </xf>
    <xf numFmtId="0" fontId="59" fillId="0" borderId="83" xfId="67" applyFont="1" applyBorder="1">
      <alignment vertical="center"/>
    </xf>
    <xf numFmtId="41" fontId="59" fillId="0" borderId="83" xfId="53" applyFont="1" applyBorder="1">
      <alignment vertical="center"/>
    </xf>
    <xf numFmtId="0" fontId="36" fillId="0" borderId="10" xfId="50" applyNumberFormat="1" applyFont="1" applyFill="1" applyBorder="1" applyAlignment="1">
      <alignment horizontal="center" vertical="center"/>
    </xf>
    <xf numFmtId="0" fontId="87" fillId="0" borderId="0" xfId="63" applyFont="1" applyAlignment="1">
      <alignment horizontal="center" vertical="center"/>
    </xf>
    <xf numFmtId="0" fontId="88" fillId="0" borderId="0" xfId="63" applyFont="1" applyAlignment="1">
      <alignment horizontal="center" vertical="center"/>
    </xf>
    <xf numFmtId="0" fontId="89" fillId="0" borderId="0" xfId="63" applyFont="1" applyAlignment="1">
      <alignment horizontal="center" vertical="center"/>
    </xf>
    <xf numFmtId="0" fontId="6" fillId="0" borderId="0" xfId="63"/>
    <xf numFmtId="0" fontId="6" fillId="0" borderId="0" xfId="63" quotePrefix="1"/>
    <xf numFmtId="0" fontId="0" fillId="0" borderId="86" xfId="0" applyFont="1" applyBorder="1">
      <alignment vertical="center"/>
    </xf>
    <xf numFmtId="0" fontId="0" fillId="0" borderId="87" xfId="0" applyFont="1" applyBorder="1">
      <alignment vertical="center"/>
    </xf>
    <xf numFmtId="0" fontId="0" fillId="0" borderId="88" xfId="0" applyFont="1" applyBorder="1">
      <alignment vertical="center"/>
    </xf>
    <xf numFmtId="0" fontId="91" fillId="14" borderId="89" xfId="0" applyFont="1" applyFill="1" applyBorder="1">
      <alignment vertical="center"/>
    </xf>
    <xf numFmtId="0" fontId="91" fillId="14" borderId="90" xfId="0" applyFont="1" applyFill="1" applyBorder="1">
      <alignment vertical="center"/>
    </xf>
    <xf numFmtId="0" fontId="91" fillId="14" borderId="91" xfId="0" applyFont="1" applyFill="1" applyBorder="1">
      <alignment vertical="center"/>
    </xf>
    <xf numFmtId="0" fontId="0" fillId="37" borderId="89" xfId="0" applyFont="1" applyFill="1" applyBorder="1">
      <alignment vertical="center"/>
    </xf>
    <xf numFmtId="0" fontId="0" fillId="37" borderId="90" xfId="0" applyFont="1" applyFill="1" applyBorder="1">
      <alignment vertical="center"/>
    </xf>
    <xf numFmtId="0" fontId="0" fillId="37" borderId="91" xfId="0" applyFont="1" applyFill="1" applyBorder="1">
      <alignment vertical="center"/>
    </xf>
    <xf numFmtId="0" fontId="0" fillId="0" borderId="89" xfId="0" applyFont="1" applyBorder="1">
      <alignment vertical="center"/>
    </xf>
    <xf numFmtId="0" fontId="0" fillId="0" borderId="90" xfId="0" applyFont="1" applyBorder="1">
      <alignment vertical="center"/>
    </xf>
    <xf numFmtId="0" fontId="0" fillId="0" borderId="91" xfId="0" applyFont="1" applyBorder="1">
      <alignment vertical="center"/>
    </xf>
    <xf numFmtId="0" fontId="4" fillId="0" borderId="0" xfId="83">
      <alignment vertical="center"/>
    </xf>
    <xf numFmtId="0" fontId="49" fillId="0" borderId="0" xfId="83" applyFont="1">
      <alignment vertical="center"/>
    </xf>
    <xf numFmtId="0" fontId="36" fillId="0" borderId="0" xfId="83" applyFont="1" applyFill="1">
      <alignment vertical="center"/>
    </xf>
    <xf numFmtId="41" fontId="36" fillId="0" borderId="10" xfId="84" applyFont="1" applyBorder="1" applyAlignment="1">
      <alignment vertical="center"/>
    </xf>
    <xf numFmtId="0" fontId="36" fillId="0" borderId="10" xfId="85" applyFont="1" applyBorder="1" applyAlignment="1">
      <alignment horizontal="center" vertical="center"/>
    </xf>
    <xf numFmtId="0" fontId="39" fillId="0" borderId="0" xfId="83" applyFont="1" applyFill="1">
      <alignment vertical="center"/>
    </xf>
    <xf numFmtId="0" fontId="94" fillId="0" borderId="0" xfId="83" applyFont="1" applyAlignment="1">
      <alignment horizontal="centerContinuous" vertical="center"/>
    </xf>
    <xf numFmtId="0" fontId="34" fillId="0" borderId="0" xfId="115" applyFont="1">
      <alignment vertical="center"/>
    </xf>
    <xf numFmtId="0" fontId="34" fillId="0" borderId="0" xfId="115" applyNumberFormat="1" applyFont="1">
      <alignment vertical="center"/>
    </xf>
    <xf numFmtId="0" fontId="6" fillId="0" borderId="0" xfId="115" applyNumberFormat="1">
      <alignment vertical="center"/>
    </xf>
    <xf numFmtId="0" fontId="6" fillId="0" borderId="0" xfId="115">
      <alignment vertical="center"/>
    </xf>
    <xf numFmtId="0" fontId="34" fillId="0" borderId="10" xfId="115" applyNumberFormat="1" applyFont="1" applyBorder="1" applyAlignment="1">
      <alignment horizontal="center" vertical="center"/>
    </xf>
    <xf numFmtId="0" fontId="34" fillId="0" borderId="10" xfId="115" applyFont="1" applyBorder="1" applyAlignment="1">
      <alignment horizontal="center" vertical="center"/>
    </xf>
    <xf numFmtId="41" fontId="34" fillId="0" borderId="10" xfId="107" applyFont="1" applyBorder="1" applyAlignment="1">
      <alignment horizontal="center" vertical="center"/>
    </xf>
    <xf numFmtId="14" fontId="34" fillId="0" borderId="10" xfId="115" applyNumberFormat="1" applyFont="1" applyBorder="1" applyAlignment="1">
      <alignment horizontal="center" vertical="center"/>
    </xf>
    <xf numFmtId="0" fontId="34" fillId="0" borderId="10" xfId="115" applyFont="1" applyBorder="1">
      <alignment vertical="center"/>
    </xf>
    <xf numFmtId="0" fontId="4" fillId="0" borderId="0" xfId="113">
      <alignment vertical="center"/>
    </xf>
    <xf numFmtId="0" fontId="36" fillId="0" borderId="0" xfId="113" applyFont="1" applyAlignment="1">
      <alignment vertical="center"/>
    </xf>
    <xf numFmtId="41" fontId="36" fillId="0" borderId="10" xfId="84" applyFont="1" applyBorder="1" applyAlignment="1">
      <alignment horizontal="center" vertical="center"/>
    </xf>
    <xf numFmtId="199" fontId="36" fillId="0" borderId="10" xfId="113" applyNumberFormat="1" applyFont="1" applyBorder="1" applyAlignment="1">
      <alignment horizontal="center" vertical="center"/>
    </xf>
    <xf numFmtId="0" fontId="36" fillId="0" borderId="10" xfId="113" applyFont="1" applyBorder="1" applyAlignment="1">
      <alignment horizontal="center" vertical="center"/>
    </xf>
    <xf numFmtId="0" fontId="36" fillId="0" borderId="0" xfId="113" applyFont="1">
      <alignment vertical="center"/>
    </xf>
    <xf numFmtId="0" fontId="25" fillId="39" borderId="29" xfId="39" applyFill="1" applyBorder="1" applyAlignment="1">
      <alignment horizontal="center"/>
    </xf>
    <xf numFmtId="0" fontId="38" fillId="39" borderId="28" xfId="39" applyFont="1" applyFill="1" applyBorder="1" applyAlignment="1">
      <alignment horizontal="center"/>
    </xf>
    <xf numFmtId="0" fontId="38" fillId="39" borderId="27" xfId="39" applyFont="1" applyFill="1" applyBorder="1" applyAlignment="1">
      <alignment horizontal="center"/>
    </xf>
    <xf numFmtId="0" fontId="25" fillId="39" borderId="25" xfId="39" applyFill="1" applyBorder="1" applyAlignment="1"/>
    <xf numFmtId="0" fontId="38" fillId="39" borderId="25" xfId="39" applyFont="1" applyFill="1" applyBorder="1" applyAlignment="1"/>
    <xf numFmtId="0" fontId="38" fillId="39" borderId="26" xfId="39" applyFont="1" applyFill="1" applyBorder="1" applyAlignment="1"/>
    <xf numFmtId="0" fontId="38" fillId="39" borderId="24" xfId="39" applyFont="1" applyFill="1" applyBorder="1" applyAlignment="1"/>
    <xf numFmtId="0" fontId="36" fillId="40" borderId="10" xfId="50" applyNumberFormat="1" applyFont="1" applyFill="1" applyBorder="1" applyAlignment="1">
      <alignment horizontal="center" vertical="center"/>
    </xf>
    <xf numFmtId="0" fontId="108" fillId="0" borderId="0" xfId="1" applyFont="1" applyAlignment="1"/>
    <xf numFmtId="0" fontId="42" fillId="39" borderId="30" xfId="44" applyNumberFormat="1" applyFont="1" applyFill="1" applyBorder="1" applyAlignment="1" applyProtection="1">
      <alignment horizontal="center" vertical="top" wrapText="1"/>
    </xf>
    <xf numFmtId="0" fontId="40" fillId="39" borderId="10" xfId="69" applyFont="1" applyFill="1" applyBorder="1" applyAlignment="1">
      <alignment horizontal="center"/>
    </xf>
    <xf numFmtId="0" fontId="12" fillId="41" borderId="94" xfId="65" applyFont="1" applyFill="1" applyBorder="1" applyAlignment="1">
      <alignment horizontal="center" vertical="center"/>
    </xf>
    <xf numFmtId="0" fontId="10" fillId="0" borderId="94" xfId="65" applyFont="1" applyBorder="1" applyAlignment="1">
      <alignment horizontal="center" vertical="center"/>
    </xf>
    <xf numFmtId="0" fontId="11" fillId="0" borderId="94" xfId="65" applyNumberFormat="1" applyFont="1" applyBorder="1" applyAlignment="1">
      <alignment horizontal="center" vertical="center"/>
    </xf>
    <xf numFmtId="184" fontId="11" fillId="0" borderId="94" xfId="65" applyNumberFormat="1" applyFont="1" applyFill="1" applyBorder="1" applyAlignment="1">
      <alignment horizontal="right" vertical="center"/>
    </xf>
    <xf numFmtId="0" fontId="12" fillId="42" borderId="94" xfId="65" applyFont="1" applyFill="1" applyBorder="1" applyAlignment="1">
      <alignment horizontal="center" vertical="center"/>
    </xf>
    <xf numFmtId="185" fontId="11" fillId="0" borderId="94" xfId="65" applyNumberFormat="1" applyFont="1" applyBorder="1" applyAlignment="1">
      <alignment horizontal="center" vertical="center"/>
    </xf>
    <xf numFmtId="0" fontId="12" fillId="43" borderId="30" xfId="65" applyFont="1" applyFill="1" applyBorder="1" applyAlignment="1">
      <alignment horizontal="center" vertical="center"/>
    </xf>
    <xf numFmtId="0" fontId="10" fillId="0" borderId="30" xfId="65" applyFont="1" applyFill="1" applyBorder="1" applyAlignment="1">
      <alignment horizontal="center" vertical="center"/>
    </xf>
    <xf numFmtId="0" fontId="11" fillId="0" borderId="30" xfId="65" applyFont="1" applyFill="1" applyBorder="1" applyAlignment="1">
      <alignment horizontal="center" vertical="center"/>
    </xf>
    <xf numFmtId="0" fontId="69" fillId="39" borderId="10" xfId="85" applyFont="1" applyFill="1" applyBorder="1" applyAlignment="1">
      <alignment horizontal="center" vertical="center"/>
    </xf>
    <xf numFmtId="0" fontId="40" fillId="39" borderId="10" xfId="113" applyFont="1" applyFill="1" applyBorder="1" applyAlignment="1">
      <alignment horizontal="center" vertical="center"/>
    </xf>
    <xf numFmtId="0" fontId="16" fillId="44" borderId="7" xfId="9" applyFill="1" applyBorder="1" applyAlignment="1">
      <alignment horizontal="center" vertical="center"/>
    </xf>
    <xf numFmtId="0" fontId="16" fillId="44" borderId="12" xfId="9" applyFill="1" applyBorder="1" applyAlignment="1">
      <alignment horizontal="center" vertical="center"/>
    </xf>
    <xf numFmtId="0" fontId="16" fillId="44" borderId="8" xfId="9" applyFill="1" applyBorder="1" applyAlignment="1">
      <alignment horizontal="center" vertical="center"/>
    </xf>
    <xf numFmtId="41" fontId="64" fillId="45" borderId="10" xfId="50" applyFont="1" applyFill="1" applyBorder="1" applyAlignment="1">
      <alignment horizontal="center" vertical="center"/>
    </xf>
    <xf numFmtId="41" fontId="55" fillId="39" borderId="51" xfId="50" applyFont="1" applyFill="1" applyBorder="1">
      <alignment vertical="center"/>
    </xf>
    <xf numFmtId="0" fontId="40" fillId="39" borderId="10" xfId="74" applyFont="1" applyFill="1" applyBorder="1" applyAlignment="1">
      <alignment horizontal="center" vertical="center"/>
    </xf>
    <xf numFmtId="0" fontId="36" fillId="40" borderId="10" xfId="74" applyNumberFormat="1" applyFont="1" applyFill="1" applyBorder="1" applyAlignment="1">
      <alignment horizontal="center" vertical="center"/>
    </xf>
    <xf numFmtId="14" fontId="36" fillId="40" borderId="10" xfId="74" applyNumberFormat="1" applyFont="1" applyFill="1" applyBorder="1" applyAlignment="1">
      <alignment horizontal="center" vertical="center"/>
    </xf>
    <xf numFmtId="41" fontId="68" fillId="39" borderId="10" xfId="50" applyFont="1" applyFill="1" applyBorder="1" applyAlignment="1">
      <alignment horizontal="center" vertical="center"/>
    </xf>
    <xf numFmtId="14" fontId="70" fillId="39" borderId="10" xfId="65" applyNumberFormat="1" applyFont="1" applyFill="1" applyBorder="1" applyAlignment="1">
      <alignment horizontal="center" vertical="center" wrapText="1"/>
    </xf>
    <xf numFmtId="0" fontId="69" fillId="39" borderId="55" xfId="65" applyFont="1" applyFill="1" applyBorder="1" applyAlignment="1">
      <alignment horizontal="centerContinuous" vertical="center"/>
    </xf>
    <xf numFmtId="197" fontId="15" fillId="0" borderId="30" xfId="65" applyNumberFormat="1" applyFill="1" applyBorder="1" applyAlignment="1">
      <alignment horizontal="center" vertical="center"/>
    </xf>
    <xf numFmtId="0" fontId="69" fillId="39" borderId="54" xfId="65" applyFont="1" applyFill="1" applyBorder="1" applyAlignment="1">
      <alignment horizontal="centerContinuous" vertical="center"/>
    </xf>
    <xf numFmtId="0" fontId="25" fillId="39" borderId="10" xfId="42" applyFill="1" applyBorder="1">
      <alignment vertical="center"/>
    </xf>
    <xf numFmtId="0" fontId="15" fillId="39" borderId="57" xfId="65" applyFill="1" applyBorder="1" applyAlignment="1">
      <alignment horizontal="center" vertical="center"/>
    </xf>
    <xf numFmtId="0" fontId="15" fillId="39" borderId="60" xfId="65" applyFill="1" applyBorder="1" applyAlignment="1">
      <alignment horizontal="center" vertical="center"/>
    </xf>
    <xf numFmtId="0" fontId="15" fillId="39" borderId="63" xfId="65" applyFill="1" applyBorder="1" applyAlignment="1">
      <alignment horizontal="center" vertical="center"/>
    </xf>
    <xf numFmtId="0" fontId="15" fillId="39" borderId="58" xfId="65" applyFill="1" applyBorder="1" applyAlignment="1">
      <alignment horizontal="center" vertical="center"/>
    </xf>
    <xf numFmtId="0" fontId="15" fillId="39" borderId="59" xfId="65" applyFill="1" applyBorder="1" applyAlignment="1">
      <alignment horizontal="center" vertical="center"/>
    </xf>
    <xf numFmtId="0" fontId="78" fillId="39" borderId="10" xfId="2" applyFont="1" applyFill="1" applyBorder="1" applyAlignment="1">
      <alignment horizontal="center" vertical="center"/>
    </xf>
    <xf numFmtId="0" fontId="36" fillId="40" borderId="10" xfId="2" applyFont="1" applyFill="1" applyBorder="1" applyAlignment="1">
      <alignment horizontal="center" vertical="center"/>
    </xf>
    <xf numFmtId="184" fontId="36" fillId="46" borderId="10" xfId="2" applyNumberFormat="1" applyFont="1" applyFill="1" applyBorder="1" applyAlignment="1">
      <alignment horizontal="center" vertical="center"/>
    </xf>
    <xf numFmtId="189" fontId="36" fillId="46" borderId="10" xfId="2" applyNumberFormat="1" applyFont="1" applyFill="1" applyBorder="1" applyAlignment="1">
      <alignment horizontal="center" vertical="center"/>
    </xf>
    <xf numFmtId="0" fontId="36" fillId="39" borderId="10" xfId="2" applyFont="1" applyFill="1" applyBorder="1" applyAlignment="1">
      <alignment horizontal="center" vertical="center"/>
    </xf>
    <xf numFmtId="0" fontId="39" fillId="47" borderId="0" xfId="69" applyFont="1" applyFill="1"/>
    <xf numFmtId="0" fontId="36" fillId="47" borderId="0" xfId="69" applyFont="1" applyFill="1"/>
    <xf numFmtId="0" fontId="15" fillId="0" borderId="0" xfId="65" applyBorder="1" applyAlignment="1">
      <alignment horizontal="center" vertical="center"/>
    </xf>
    <xf numFmtId="0" fontId="15" fillId="47" borderId="0" xfId="65" applyFill="1">
      <alignment vertical="center"/>
    </xf>
    <xf numFmtId="0" fontId="11" fillId="47" borderId="0" xfId="65" applyFont="1" applyFill="1" applyAlignment="1">
      <alignment horizontal="center" vertical="center"/>
    </xf>
    <xf numFmtId="41" fontId="58" fillId="48" borderId="45" xfId="50" applyNumberFormat="1" applyFont="1" applyFill="1" applyBorder="1" applyAlignment="1">
      <alignment horizontal="center" vertical="center"/>
    </xf>
    <xf numFmtId="41" fontId="58" fillId="48" borderId="44" xfId="50" applyNumberFormat="1" applyFont="1" applyFill="1" applyBorder="1" applyAlignment="1">
      <alignment horizontal="center" vertical="center"/>
    </xf>
    <xf numFmtId="41" fontId="58" fillId="48" borderId="43" xfId="50" applyNumberFormat="1" applyFont="1" applyFill="1" applyBorder="1" applyAlignment="1">
      <alignment horizontal="center" vertical="center"/>
    </xf>
    <xf numFmtId="0" fontId="58" fillId="49" borderId="43" xfId="50" applyNumberFormat="1" applyFont="1" applyFill="1" applyBorder="1" applyAlignment="1">
      <alignment horizontal="center" vertical="center"/>
    </xf>
    <xf numFmtId="41" fontId="67" fillId="0" borderId="42" xfId="50" applyNumberFormat="1" applyFont="1" applyFill="1" applyBorder="1" applyAlignment="1">
      <alignment horizontal="center" vertical="center"/>
    </xf>
    <xf numFmtId="41" fontId="67" fillId="0" borderId="39" xfId="50" applyNumberFormat="1" applyFont="1" applyFill="1" applyBorder="1" applyAlignment="1">
      <alignment horizontal="center" vertical="center"/>
    </xf>
    <xf numFmtId="41" fontId="67" fillId="0" borderId="38" xfId="50" applyNumberFormat="1" applyFont="1" applyFill="1" applyBorder="1" applyAlignment="1">
      <alignment horizontal="center" vertical="center"/>
    </xf>
    <xf numFmtId="0" fontId="105" fillId="39" borderId="10" xfId="115" applyFont="1" applyFill="1" applyBorder="1" applyAlignment="1">
      <alignment horizontal="center" vertical="center"/>
    </xf>
    <xf numFmtId="0" fontId="105" fillId="39" borderId="10" xfId="115" applyNumberFormat="1" applyFont="1" applyFill="1" applyBorder="1" applyAlignment="1">
      <alignment horizontal="center" vertical="center"/>
    </xf>
    <xf numFmtId="41" fontId="0" fillId="0" borderId="97" xfId="50" applyFont="1" applyBorder="1" applyAlignment="1">
      <alignment horizontal="center" vertical="center"/>
    </xf>
    <xf numFmtId="14" fontId="0" fillId="0" borderId="98" xfId="50" applyNumberFormat="1" applyFont="1" applyBorder="1" applyAlignment="1">
      <alignment horizontal="center" vertical="center"/>
    </xf>
    <xf numFmtId="41" fontId="0" fillId="0" borderId="99" xfId="50" applyFont="1" applyBorder="1" applyAlignment="1">
      <alignment horizontal="center" vertical="center"/>
    </xf>
    <xf numFmtId="41" fontId="0" fillId="0" borderId="100" xfId="50" applyFont="1" applyBorder="1" applyAlignment="1">
      <alignment horizontal="center" vertical="center"/>
    </xf>
    <xf numFmtId="41" fontId="0" fillId="0" borderId="101" xfId="50" applyFont="1" applyBorder="1" applyAlignment="1">
      <alignment horizontal="center" vertical="center"/>
    </xf>
    <xf numFmtId="42" fontId="0" fillId="0" borderId="102" xfId="79" applyFont="1" applyBorder="1" applyAlignment="1">
      <alignment horizontal="center" vertical="center"/>
    </xf>
    <xf numFmtId="41" fontId="0" fillId="0" borderId="103" xfId="50" applyFont="1" applyBorder="1" applyAlignment="1">
      <alignment horizontal="center" vertical="center"/>
    </xf>
    <xf numFmtId="41" fontId="0" fillId="0" borderId="104" xfId="50" applyFont="1" applyBorder="1" applyAlignment="1">
      <alignment horizontal="center" vertical="center"/>
    </xf>
    <xf numFmtId="41" fontId="0" fillId="0" borderId="105" xfId="50" applyFont="1" applyBorder="1" applyAlignment="1">
      <alignment horizontal="center" vertical="center"/>
    </xf>
    <xf numFmtId="41" fontId="0" fillId="0" borderId="106" xfId="50" applyFont="1" applyBorder="1" applyAlignment="1">
      <alignment horizontal="center" vertical="center"/>
    </xf>
    <xf numFmtId="41" fontId="0" fillId="0" borderId="107" xfId="50" applyFont="1" applyBorder="1" applyAlignment="1">
      <alignment horizontal="center" vertical="center"/>
    </xf>
    <xf numFmtId="41" fontId="0" fillId="0" borderId="108" xfId="50" applyFont="1" applyBorder="1" applyAlignment="1">
      <alignment horizontal="center" vertical="center"/>
    </xf>
    <xf numFmtId="41" fontId="0" fillId="0" borderId="109" xfId="50" applyFont="1" applyBorder="1" applyAlignment="1">
      <alignment horizontal="center" vertical="center"/>
    </xf>
    <xf numFmtId="41" fontId="0" fillId="0" borderId="110" xfId="50" applyFont="1" applyBorder="1" applyAlignment="1">
      <alignment horizontal="center" vertical="center"/>
    </xf>
    <xf numFmtId="41" fontId="0" fillId="0" borderId="111" xfId="50" applyFont="1" applyBorder="1" applyAlignment="1">
      <alignment horizontal="center" vertical="center"/>
    </xf>
    <xf numFmtId="0" fontId="0" fillId="37" borderId="90" xfId="0" applyFont="1" applyFill="1" applyBorder="1" applyAlignment="1">
      <alignment horizontal="center" vertical="center"/>
    </xf>
    <xf numFmtId="0" fontId="0" fillId="0" borderId="90" xfId="0" applyFont="1" applyBorder="1" applyAlignment="1">
      <alignment horizontal="center" vertical="center"/>
    </xf>
    <xf numFmtId="41" fontId="0" fillId="37" borderId="90" xfId="121" applyFont="1" applyFill="1" applyBorder="1">
      <alignment vertical="center"/>
    </xf>
    <xf numFmtId="41" fontId="0" fillId="0" borderId="90" xfId="121" applyFont="1" applyBorder="1">
      <alignment vertical="center"/>
    </xf>
    <xf numFmtId="41" fontId="36" fillId="0" borderId="96" xfId="50" applyNumberFormat="1" applyFont="1" applyBorder="1" applyAlignment="1">
      <alignment horizontal="center" vertical="center"/>
    </xf>
    <xf numFmtId="41" fontId="36" fillId="0" borderId="112" xfId="50" applyNumberFormat="1" applyFont="1" applyBorder="1" applyAlignment="1">
      <alignment horizontal="center" vertical="center"/>
    </xf>
    <xf numFmtId="41" fontId="36" fillId="0" borderId="113" xfId="50" applyNumberFormat="1" applyFont="1" applyBorder="1" applyAlignment="1">
      <alignment horizontal="center" vertical="center"/>
    </xf>
    <xf numFmtId="41" fontId="36" fillId="0" borderId="114" xfId="50" applyNumberFormat="1" applyFont="1" applyBorder="1" applyAlignment="1">
      <alignment horizontal="center" vertical="center"/>
    </xf>
    <xf numFmtId="0" fontId="15" fillId="39" borderId="115" xfId="65" applyFill="1" applyBorder="1" applyAlignment="1">
      <alignment horizontal="center" vertical="center"/>
    </xf>
    <xf numFmtId="41" fontId="0" fillId="0" borderId="116" xfId="50" applyFont="1" applyFill="1" applyBorder="1" applyAlignment="1">
      <alignment horizontal="center" vertical="center"/>
    </xf>
    <xf numFmtId="0" fontId="15" fillId="0" borderId="117" xfId="65" applyFill="1" applyBorder="1" applyAlignment="1">
      <alignment horizontal="center" vertical="center"/>
    </xf>
    <xf numFmtId="0" fontId="15" fillId="0" borderId="118" xfId="65" applyFill="1" applyBorder="1" applyAlignment="1">
      <alignment horizontal="center" vertical="center"/>
    </xf>
    <xf numFmtId="41" fontId="0" fillId="0" borderId="117" xfId="50" applyFont="1" applyFill="1" applyBorder="1" applyAlignment="1">
      <alignment horizontal="center" vertical="center"/>
    </xf>
    <xf numFmtId="41" fontId="0" fillId="0" borderId="118" xfId="50" applyFont="1" applyFill="1" applyBorder="1" applyAlignment="1">
      <alignment horizontal="center" vertical="center"/>
    </xf>
    <xf numFmtId="0" fontId="15" fillId="0" borderId="116" xfId="65" applyFill="1" applyBorder="1" applyAlignment="1">
      <alignment horizontal="center" vertical="center"/>
    </xf>
    <xf numFmtId="0" fontId="15" fillId="0" borderId="119" xfId="65" applyFill="1" applyBorder="1" applyAlignment="1">
      <alignment horizontal="center" vertical="center"/>
    </xf>
    <xf numFmtId="0" fontId="82" fillId="50" borderId="10" xfId="70" applyFont="1" applyFill="1" applyBorder="1" applyAlignment="1">
      <alignment horizontal="center" vertical="center"/>
    </xf>
    <xf numFmtId="0" fontId="50" fillId="43" borderId="32" xfId="2" applyFont="1" applyFill="1" applyBorder="1" applyAlignment="1">
      <alignment horizontal="center" vertical="center" wrapText="1"/>
    </xf>
    <xf numFmtId="0" fontId="50" fillId="43" borderId="32" xfId="2" applyFont="1" applyFill="1" applyBorder="1" applyAlignment="1">
      <alignment horizontal="center" vertical="center"/>
    </xf>
    <xf numFmtId="0" fontId="50" fillId="43" borderId="31" xfId="2" applyFont="1" applyFill="1" applyBorder="1" applyAlignment="1">
      <alignment horizontal="center" vertical="center"/>
    </xf>
    <xf numFmtId="0" fontId="50" fillId="43" borderId="10" xfId="2" applyFont="1" applyFill="1" applyBorder="1" applyAlignment="1">
      <alignment horizontal="center" vertical="center"/>
    </xf>
    <xf numFmtId="41" fontId="49" fillId="0" borderId="10" xfId="3" applyNumberFormat="1" applyFont="1" applyFill="1" applyBorder="1">
      <alignment vertical="center"/>
    </xf>
    <xf numFmtId="187" fontId="49" fillId="0" borderId="10" xfId="2" applyNumberFormat="1" applyFont="1" applyFill="1" applyBorder="1">
      <alignment vertical="center"/>
    </xf>
    <xf numFmtId="0" fontId="52" fillId="41" borderId="30" xfId="2" applyFont="1" applyFill="1" applyBorder="1" applyAlignment="1">
      <alignment horizontal="center" vertical="center"/>
    </xf>
    <xf numFmtId="0" fontId="52" fillId="41" borderId="30" xfId="2" applyNumberFormat="1" applyFont="1" applyFill="1" applyBorder="1" applyAlignment="1">
      <alignment horizontal="center" vertical="center" shrinkToFit="1"/>
    </xf>
    <xf numFmtId="0" fontId="49" fillId="0" borderId="30" xfId="2" applyFont="1" applyFill="1" applyBorder="1" applyAlignment="1">
      <alignment horizontal="center" vertical="center"/>
    </xf>
    <xf numFmtId="0" fontId="49" fillId="0" borderId="30" xfId="2" applyFont="1" applyFill="1" applyBorder="1" applyAlignment="1">
      <alignment horizontal="distributed" vertical="center" indent="1"/>
    </xf>
    <xf numFmtId="189" fontId="49" fillId="20" borderId="30" xfId="2" applyNumberFormat="1" applyFont="1" applyFill="1" applyBorder="1" applyAlignment="1">
      <alignment horizontal="center" vertical="center"/>
    </xf>
    <xf numFmtId="0" fontId="12" fillId="42" borderId="30" xfId="63" applyFont="1" applyFill="1" applyBorder="1" applyAlignment="1">
      <alignment horizontal="center" vertical="center"/>
    </xf>
    <xf numFmtId="0" fontId="12" fillId="42" borderId="30" xfId="63" applyFont="1" applyFill="1" applyBorder="1" applyAlignment="1">
      <alignment horizontal="center" vertical="center" shrinkToFit="1"/>
    </xf>
    <xf numFmtId="0" fontId="49" fillId="0" borderId="30" xfId="63" applyFont="1" applyBorder="1" applyAlignment="1">
      <alignment horizontal="center" vertical="center"/>
    </xf>
    <xf numFmtId="41" fontId="49" fillId="0" borderId="30" xfId="47" applyNumberFormat="1" applyFont="1" applyBorder="1" applyAlignment="1">
      <alignment horizontal="center" vertical="center"/>
    </xf>
    <xf numFmtId="0" fontId="49" fillId="0" borderId="30" xfId="63" applyFont="1" applyFill="1" applyBorder="1" applyAlignment="1">
      <alignment horizontal="center" vertical="center"/>
    </xf>
    <xf numFmtId="41" fontId="49" fillId="0" borderId="30" xfId="47" applyNumberFormat="1" applyFont="1" applyFill="1" applyBorder="1" applyAlignment="1">
      <alignment horizontal="center" vertical="center"/>
    </xf>
    <xf numFmtId="0" fontId="15" fillId="40" borderId="4" xfId="73" applyNumberFormat="1" applyFill="1" applyBorder="1" applyAlignment="1"/>
    <xf numFmtId="0" fontId="113" fillId="26" borderId="49" xfId="67" applyFont="1" applyFill="1" applyBorder="1" applyAlignment="1">
      <alignment horizontal="distributed" vertical="center" indent="1"/>
    </xf>
    <xf numFmtId="0" fontId="113" fillId="26" borderId="48" xfId="67" applyFont="1" applyFill="1" applyBorder="1" applyAlignment="1">
      <alignment horizontal="distributed" vertical="center" indent="1"/>
    </xf>
    <xf numFmtId="0" fontId="49" fillId="0" borderId="0" xfId="122">
      <alignment vertical="center"/>
    </xf>
    <xf numFmtId="0" fontId="114" fillId="0" borderId="122" xfId="123" applyFont="1" applyFill="1" applyBorder="1" applyAlignment="1">
      <alignment horizontal="center" vertical="center"/>
    </xf>
    <xf numFmtId="200" fontId="60" fillId="0" borderId="122" xfId="123" applyNumberFormat="1" applyFont="1" applyFill="1" applyBorder="1" applyAlignment="1">
      <alignment vertical="center"/>
    </xf>
    <xf numFmtId="0" fontId="71" fillId="0" borderId="122" xfId="123" applyFont="1" applyFill="1" applyBorder="1" applyAlignment="1">
      <alignment horizontal="center" vertical="center"/>
    </xf>
    <xf numFmtId="0" fontId="115" fillId="51" borderId="122" xfId="123" applyFont="1" applyFill="1" applyBorder="1" applyAlignment="1">
      <alignment horizontal="center" vertical="center"/>
    </xf>
    <xf numFmtId="0" fontId="6" fillId="0" borderId="0" xfId="124">
      <alignment vertical="center"/>
    </xf>
    <xf numFmtId="185" fontId="49" fillId="0" borderId="123" xfId="122" applyNumberFormat="1" applyFont="1" applyBorder="1" applyAlignment="1">
      <alignment horizontal="center" vertical="center"/>
    </xf>
    <xf numFmtId="0" fontId="49" fillId="0" borderId="123" xfId="122" applyFont="1" applyBorder="1" applyAlignment="1">
      <alignment horizontal="center" vertical="center"/>
    </xf>
    <xf numFmtId="0" fontId="49" fillId="0" borderId="124" xfId="122" applyFont="1" applyBorder="1" applyAlignment="1">
      <alignment horizontal="center" vertical="center"/>
    </xf>
    <xf numFmtId="185" fontId="49" fillId="0" borderId="124" xfId="122" applyNumberFormat="1" applyFont="1" applyBorder="1" applyAlignment="1">
      <alignment horizontal="center" vertical="center"/>
    </xf>
    <xf numFmtId="0" fontId="115" fillId="52" borderId="125" xfId="122" applyFont="1" applyFill="1" applyBorder="1" applyAlignment="1">
      <alignment horizontal="center" vertical="center"/>
    </xf>
    <xf numFmtId="0" fontId="115" fillId="52" borderId="124" xfId="122" applyFont="1" applyFill="1" applyBorder="1" applyAlignment="1">
      <alignment horizontal="center" vertical="center"/>
    </xf>
    <xf numFmtId="0" fontId="60" fillId="0" borderId="0" xfId="122" applyFont="1">
      <alignment vertical="center"/>
    </xf>
    <xf numFmtId="41" fontId="60" fillId="0" borderId="127" xfId="126" applyFont="1" applyBorder="1" applyAlignment="1"/>
    <xf numFmtId="0" fontId="60" fillId="0" borderId="128" xfId="122" applyFont="1" applyBorder="1" applyAlignment="1">
      <alignment horizontal="center"/>
    </xf>
    <xf numFmtId="14" fontId="60" fillId="0" borderId="129" xfId="122" applyNumberFormat="1" applyFont="1" applyBorder="1" applyAlignment="1">
      <alignment horizontal="center"/>
    </xf>
    <xf numFmtId="41" fontId="60" fillId="0" borderId="130" xfId="126" applyFont="1" applyBorder="1" applyAlignment="1"/>
    <xf numFmtId="0" fontId="60" fillId="0" borderId="131" xfId="122" applyFont="1" applyBorder="1" applyAlignment="1">
      <alignment horizontal="center"/>
    </xf>
    <xf numFmtId="14" fontId="60" fillId="0" borderId="132" xfId="122" applyNumberFormat="1" applyFont="1" applyBorder="1" applyAlignment="1">
      <alignment horizontal="center"/>
    </xf>
    <xf numFmtId="0" fontId="60" fillId="0" borderId="131" xfId="122" applyFont="1" applyFill="1" applyBorder="1" applyAlignment="1">
      <alignment horizontal="center"/>
    </xf>
    <xf numFmtId="41" fontId="60" fillId="0" borderId="130" xfId="126" applyFont="1" applyBorder="1" applyAlignment="1">
      <alignment horizontal="center"/>
    </xf>
    <xf numFmtId="0" fontId="60" fillId="28" borderId="131" xfId="126" quotePrefix="1" applyNumberFormat="1" applyFont="1" applyFill="1" applyBorder="1" applyAlignment="1">
      <alignment horizontal="center" vertical="center"/>
    </xf>
    <xf numFmtId="0" fontId="125" fillId="53" borderId="131" xfId="122" applyFont="1" applyFill="1" applyBorder="1" applyAlignment="1">
      <alignment horizontal="center"/>
    </xf>
    <xf numFmtId="0" fontId="125" fillId="53" borderId="133" xfId="122" applyFont="1" applyFill="1" applyBorder="1" applyAlignment="1">
      <alignment horizontal="center"/>
    </xf>
    <xf numFmtId="0" fontId="125" fillId="53" borderId="134" xfId="122" applyFont="1" applyFill="1" applyBorder="1" applyAlignment="1">
      <alignment horizontal="center"/>
    </xf>
    <xf numFmtId="0" fontId="125" fillId="53" borderId="135" xfId="122" applyFont="1" applyFill="1" applyBorder="1" applyAlignment="1">
      <alignment horizontal="center"/>
    </xf>
    <xf numFmtId="0" fontId="61" fillId="0" borderId="0" xfId="122" applyFont="1" applyBorder="1" applyAlignment="1">
      <alignment horizontal="center"/>
    </xf>
    <xf numFmtId="0" fontId="60" fillId="0" borderId="0" xfId="122" applyFont="1" applyBorder="1" applyAlignment="1">
      <alignment horizontal="center"/>
    </xf>
    <xf numFmtId="0" fontId="60" fillId="0" borderId="0" xfId="122" applyFont="1" applyAlignment="1"/>
    <xf numFmtId="0" fontId="128" fillId="0" borderId="0" xfId="122" applyFont="1">
      <alignment vertical="center"/>
    </xf>
    <xf numFmtId="0" fontId="128" fillId="54" borderId="0" xfId="122" applyFont="1" applyFill="1" applyBorder="1" applyAlignment="1">
      <alignment horizontal="center" vertical="center"/>
    </xf>
    <xf numFmtId="0" fontId="128" fillId="54" borderId="136" xfId="122" applyFont="1" applyFill="1" applyBorder="1" applyAlignment="1">
      <alignment horizontal="center" vertical="center"/>
    </xf>
    <xf numFmtId="0" fontId="39" fillId="54" borderId="136" xfId="122" applyFont="1" applyFill="1" applyBorder="1" applyAlignment="1">
      <alignment horizontal="center" vertical="center"/>
    </xf>
    <xf numFmtId="0" fontId="128" fillId="55" borderId="137" xfId="122" applyFont="1" applyFill="1" applyBorder="1" applyAlignment="1">
      <alignment horizontal="center" vertical="center"/>
    </xf>
    <xf numFmtId="0" fontId="128" fillId="55" borderId="138" xfId="122" applyFont="1" applyFill="1" applyBorder="1" applyAlignment="1">
      <alignment horizontal="center" vertical="center"/>
    </xf>
    <xf numFmtId="0" fontId="39" fillId="55" borderId="138" xfId="122" applyFont="1" applyFill="1" applyBorder="1" applyAlignment="1">
      <alignment horizontal="center" vertical="center"/>
    </xf>
    <xf numFmtId="0" fontId="128" fillId="54" borderId="137" xfId="122" applyFont="1" applyFill="1" applyBorder="1" applyAlignment="1">
      <alignment horizontal="center" vertical="center"/>
    </xf>
    <xf numFmtId="0" fontId="128" fillId="54" borderId="138" xfId="122" applyFont="1" applyFill="1" applyBorder="1" applyAlignment="1">
      <alignment horizontal="center" vertical="center"/>
    </xf>
    <xf numFmtId="0" fontId="39" fillId="54" borderId="138" xfId="122" applyFont="1" applyFill="1" applyBorder="1" applyAlignment="1">
      <alignment horizontal="center" vertical="center"/>
    </xf>
    <xf numFmtId="0" fontId="49" fillId="0" borderId="10" xfId="122" applyBorder="1">
      <alignment vertical="center"/>
    </xf>
    <xf numFmtId="201" fontId="128" fillId="0" borderId="10" xfId="122" applyNumberFormat="1" applyFont="1" applyBorder="1" applyAlignment="1">
      <alignment horizontal="right" vertical="center"/>
    </xf>
    <xf numFmtId="0" fontId="128" fillId="56" borderId="10" xfId="122" applyFont="1" applyFill="1" applyBorder="1">
      <alignment vertical="center"/>
    </xf>
    <xf numFmtId="201" fontId="128" fillId="56" borderId="10" xfId="122" applyNumberFormat="1" applyFont="1" applyFill="1" applyBorder="1" applyAlignment="1">
      <alignment horizontal="right" vertical="center"/>
    </xf>
    <xf numFmtId="0" fontId="128" fillId="0" borderId="10" xfId="122" applyFont="1" applyBorder="1">
      <alignment vertical="center"/>
    </xf>
    <xf numFmtId="0" fontId="129" fillId="57" borderId="139" xfId="122" applyFont="1" applyFill="1" applyBorder="1" applyAlignment="1">
      <alignment horizontal="center" vertical="center"/>
    </xf>
    <xf numFmtId="0" fontId="129" fillId="57" borderId="140" xfId="122" applyFont="1" applyFill="1" applyBorder="1" applyAlignment="1">
      <alignment horizontal="center" vertical="center"/>
    </xf>
    <xf numFmtId="41" fontId="131" fillId="58" borderId="141" xfId="126" applyNumberFormat="1" applyFont="1" applyFill="1" applyBorder="1">
      <alignment vertical="center"/>
    </xf>
    <xf numFmtId="41" fontId="131" fillId="58" borderId="142" xfId="126" applyNumberFormat="1" applyFont="1" applyFill="1" applyBorder="1">
      <alignment vertical="center"/>
    </xf>
    <xf numFmtId="0" fontId="128" fillId="58" borderId="142" xfId="122" applyFont="1" applyFill="1" applyBorder="1" applyAlignment="1">
      <alignment horizontal="center" vertical="center"/>
    </xf>
    <xf numFmtId="0" fontId="49" fillId="0" borderId="0" xfId="122" applyBorder="1">
      <alignment vertical="center"/>
    </xf>
    <xf numFmtId="0" fontId="128" fillId="0" borderId="0" xfId="122" applyFont="1" applyBorder="1">
      <alignment vertical="center"/>
    </xf>
    <xf numFmtId="41" fontId="131" fillId="0" borderId="141" xfId="126" applyNumberFormat="1" applyFont="1" applyFill="1" applyBorder="1">
      <alignment vertical="center"/>
    </xf>
    <xf numFmtId="41" fontId="131" fillId="0" borderId="142" xfId="126" applyNumberFormat="1" applyFont="1" applyFill="1" applyBorder="1">
      <alignment vertical="center"/>
    </xf>
    <xf numFmtId="0" fontId="128" fillId="0" borderId="142" xfId="122" applyFont="1" applyFill="1" applyBorder="1" applyAlignment="1">
      <alignment horizontal="center" vertical="center"/>
    </xf>
    <xf numFmtId="0" fontId="128" fillId="0" borderId="0" xfId="122" applyFont="1" applyFill="1" applyBorder="1">
      <alignment vertical="center"/>
    </xf>
    <xf numFmtId="201" fontId="128" fillId="0" borderId="0" xfId="122" applyNumberFormat="1" applyFont="1" applyFill="1" applyBorder="1" applyAlignment="1">
      <alignment horizontal="right" vertical="center"/>
    </xf>
    <xf numFmtId="41" fontId="131" fillId="58" borderId="142" xfId="126" applyNumberFormat="1" applyFont="1" applyFill="1" applyBorder="1" applyAlignment="1">
      <alignment horizontal="center" vertical="center"/>
    </xf>
    <xf numFmtId="42" fontId="128" fillId="60" borderId="32" xfId="127" applyFont="1" applyFill="1" applyBorder="1" applyAlignment="1">
      <alignment horizontal="center" vertical="center"/>
    </xf>
    <xf numFmtId="201" fontId="128" fillId="60" borderId="32" xfId="122" applyNumberFormat="1" applyFont="1" applyFill="1" applyBorder="1" applyAlignment="1">
      <alignment horizontal="center" vertical="center"/>
    </xf>
    <xf numFmtId="42" fontId="128" fillId="59" borderId="32" xfId="127" applyFont="1" applyFill="1" applyBorder="1" applyAlignment="1">
      <alignment horizontal="center" vertical="center"/>
    </xf>
    <xf numFmtId="201" fontId="128" fillId="59" borderId="32" xfId="122" applyNumberFormat="1" applyFont="1" applyFill="1" applyBorder="1" applyAlignment="1">
      <alignment horizontal="center" vertical="center"/>
    </xf>
    <xf numFmtId="41" fontId="132" fillId="61" borderId="143" xfId="126" applyNumberFormat="1" applyFont="1" applyFill="1" applyBorder="1" applyAlignment="1">
      <alignment horizontal="center" vertical="center"/>
    </xf>
    <xf numFmtId="41" fontId="132" fillId="61" borderId="144" xfId="126" applyNumberFormat="1" applyFont="1" applyFill="1" applyBorder="1" applyAlignment="1">
      <alignment horizontal="center" vertical="center"/>
    </xf>
    <xf numFmtId="41" fontId="133" fillId="0" borderId="0" xfId="126" applyFont="1">
      <alignment vertical="center"/>
    </xf>
    <xf numFmtId="41" fontId="133" fillId="62" borderId="145" xfId="126" applyNumberFormat="1" applyFont="1" applyFill="1" applyBorder="1">
      <alignment vertical="center"/>
    </xf>
    <xf numFmtId="0" fontId="134" fillId="62" borderId="145" xfId="122" applyFont="1" applyFill="1" applyBorder="1" applyAlignment="1">
      <alignment horizontal="center" vertical="center"/>
    </xf>
    <xf numFmtId="41" fontId="133" fillId="0" borderId="0" xfId="126" applyNumberFormat="1" applyFont="1" applyFill="1" applyBorder="1">
      <alignment vertical="center"/>
    </xf>
    <xf numFmtId="0" fontId="134" fillId="0" borderId="0" xfId="122" applyFont="1" applyFill="1" applyBorder="1" applyAlignment="1">
      <alignment horizontal="center" vertical="center"/>
    </xf>
    <xf numFmtId="41" fontId="133" fillId="62" borderId="0" xfId="126" applyNumberFormat="1" applyFont="1" applyFill="1" applyBorder="1">
      <alignment vertical="center"/>
    </xf>
    <xf numFmtId="0" fontId="134" fillId="62" borderId="0" xfId="122" applyFont="1" applyFill="1" applyBorder="1" applyAlignment="1">
      <alignment horizontal="center" vertical="center"/>
    </xf>
    <xf numFmtId="41" fontId="135" fillId="14" borderId="146" xfId="126" applyNumberFormat="1" applyFont="1" applyFill="1" applyBorder="1" applyAlignment="1">
      <alignment horizontal="center" vertical="center"/>
    </xf>
    <xf numFmtId="41" fontId="136" fillId="0" borderId="147" xfId="126" applyFont="1" applyFill="1" applyBorder="1">
      <alignment vertical="center"/>
    </xf>
    <xf numFmtId="41" fontId="135" fillId="14" borderId="148" xfId="126" applyNumberFormat="1" applyFont="1" applyFill="1" applyBorder="1" applyAlignment="1">
      <alignment horizontal="center" vertical="center"/>
    </xf>
    <xf numFmtId="41" fontId="136" fillId="0" borderId="149" xfId="126" applyFont="1" applyFill="1" applyBorder="1">
      <alignment vertical="center"/>
    </xf>
    <xf numFmtId="41" fontId="135" fillId="14" borderId="150" xfId="126" applyNumberFormat="1" applyFont="1" applyFill="1" applyBorder="1" applyAlignment="1">
      <alignment horizontal="center" vertical="center"/>
    </xf>
    <xf numFmtId="41" fontId="136" fillId="0" borderId="93" xfId="126" applyFont="1" applyFill="1" applyBorder="1">
      <alignment vertical="center"/>
    </xf>
    <xf numFmtId="41" fontId="135" fillId="14" borderId="151" xfId="126" applyNumberFormat="1" applyFont="1" applyFill="1" applyBorder="1" applyAlignment="1">
      <alignment horizontal="center" vertical="center"/>
    </xf>
    <xf numFmtId="14" fontId="133" fillId="0" borderId="0" xfId="126" applyNumberFormat="1" applyFont="1">
      <alignment vertical="center"/>
    </xf>
    <xf numFmtId="41" fontId="133" fillId="0" borderId="0" xfId="126" applyFont="1" applyAlignment="1">
      <alignment horizontal="center" vertical="center"/>
    </xf>
    <xf numFmtId="0" fontId="133" fillId="0" borderId="0" xfId="122" applyFont="1">
      <alignment vertical="center"/>
    </xf>
    <xf numFmtId="0" fontId="133" fillId="0" borderId="0" xfId="122" applyFont="1" applyAlignment="1">
      <alignment horizontal="center" vertical="center"/>
    </xf>
    <xf numFmtId="0" fontId="133" fillId="0" borderId="0" xfId="122" applyNumberFormat="1" applyFont="1" applyBorder="1">
      <alignment vertical="center"/>
    </xf>
    <xf numFmtId="0" fontId="133" fillId="0" borderId="0" xfId="122" applyNumberFormat="1" applyFont="1" applyBorder="1" applyAlignment="1">
      <alignment horizontal="center" vertical="center"/>
    </xf>
    <xf numFmtId="41" fontId="134" fillId="62" borderId="153" xfId="126" applyNumberFormat="1" applyFont="1" applyFill="1" applyBorder="1" applyAlignment="1">
      <alignment vertical="center"/>
    </xf>
    <xf numFmtId="41" fontId="134" fillId="62" borderId="153" xfId="126" applyNumberFormat="1" applyFont="1" applyFill="1" applyBorder="1" applyAlignment="1">
      <alignment horizontal="center" vertical="center"/>
    </xf>
    <xf numFmtId="41" fontId="134" fillId="62" borderId="147" xfId="126" applyNumberFormat="1" applyFont="1" applyFill="1" applyBorder="1" applyAlignment="1">
      <alignment horizontal="center" vertical="center"/>
    </xf>
    <xf numFmtId="41" fontId="134" fillId="0" borderId="8" xfId="126" applyNumberFormat="1" applyFont="1" applyFill="1" applyBorder="1" applyAlignment="1">
      <alignment vertical="center"/>
    </xf>
    <xf numFmtId="41" fontId="134" fillId="0" borderId="8" xfId="126" applyNumberFormat="1" applyFont="1" applyFill="1" applyBorder="1" applyAlignment="1">
      <alignment horizontal="center" vertical="center"/>
    </xf>
    <xf numFmtId="41" fontId="134" fillId="0" borderId="149" xfId="126" applyNumberFormat="1" applyFont="1" applyFill="1" applyBorder="1" applyAlignment="1">
      <alignment horizontal="center" vertical="center"/>
    </xf>
    <xf numFmtId="42" fontId="138" fillId="62" borderId="148" xfId="126" applyNumberFormat="1" applyFont="1" applyFill="1" applyBorder="1" applyAlignment="1">
      <alignment horizontal="center" vertical="center"/>
    </xf>
    <xf numFmtId="0" fontId="138" fillId="62" borderId="7" xfId="126" applyNumberFormat="1" applyFont="1" applyFill="1" applyBorder="1" applyAlignment="1">
      <alignment horizontal="center" vertical="center"/>
    </xf>
    <xf numFmtId="0" fontId="138" fillId="62" borderId="10" xfId="126" applyNumberFormat="1" applyFont="1" applyFill="1" applyBorder="1" applyAlignment="1">
      <alignment horizontal="center" vertical="center"/>
    </xf>
    <xf numFmtId="41" fontId="138" fillId="62" borderId="10" xfId="126" applyNumberFormat="1" applyFont="1" applyFill="1" applyBorder="1" applyAlignment="1">
      <alignment horizontal="center" vertical="center"/>
    </xf>
    <xf numFmtId="41" fontId="134" fillId="62" borderId="8" xfId="126" applyNumberFormat="1" applyFont="1" applyFill="1" applyBorder="1" applyAlignment="1">
      <alignment vertical="center"/>
    </xf>
    <xf numFmtId="41" fontId="134" fillId="62" borderId="8" xfId="126" applyNumberFormat="1" applyFont="1" applyFill="1" applyBorder="1" applyAlignment="1">
      <alignment horizontal="center" vertical="center"/>
    </xf>
    <xf numFmtId="41" fontId="134" fillId="62" borderId="149" xfId="126" applyNumberFormat="1" applyFont="1" applyFill="1" applyBorder="1" applyAlignment="1">
      <alignment horizontal="center" vertical="center"/>
    </xf>
    <xf numFmtId="0" fontId="139" fillId="63" borderId="150" xfId="126" applyNumberFormat="1" applyFont="1" applyFill="1" applyBorder="1" applyAlignment="1">
      <alignment horizontal="center" vertical="center"/>
    </xf>
    <xf numFmtId="0" fontId="139" fillId="63" borderId="154" xfId="126" applyNumberFormat="1" applyFont="1" applyFill="1" applyBorder="1" applyAlignment="1">
      <alignment horizontal="center" vertical="center"/>
    </xf>
    <xf numFmtId="0" fontId="139" fillId="63" borderId="155" xfId="126" applyNumberFormat="1" applyFont="1" applyFill="1" applyBorder="1" applyAlignment="1">
      <alignment horizontal="center" vertical="center"/>
    </xf>
    <xf numFmtId="41" fontId="139" fillId="63" borderId="155" xfId="126" applyNumberFormat="1" applyFont="1" applyFill="1" applyBorder="1" applyAlignment="1">
      <alignment horizontal="center" vertical="center"/>
    </xf>
    <xf numFmtId="41" fontId="139" fillId="63" borderId="156" xfId="126" applyNumberFormat="1" applyFont="1" applyFill="1" applyBorder="1" applyAlignment="1">
      <alignment horizontal="center" vertical="center"/>
    </xf>
    <xf numFmtId="41" fontId="139" fillId="63" borderId="93" xfId="126" applyNumberFormat="1" applyFont="1" applyFill="1" applyBorder="1" applyAlignment="1">
      <alignment horizontal="center" vertical="center"/>
    </xf>
    <xf numFmtId="41" fontId="134" fillId="62" borderId="152" xfId="126" applyNumberFormat="1" applyFont="1" applyFill="1" applyBorder="1" applyAlignment="1">
      <alignment vertical="center"/>
    </xf>
    <xf numFmtId="41" fontId="134" fillId="62" borderId="152" xfId="126" applyNumberFormat="1" applyFont="1" applyFill="1" applyBorder="1" applyAlignment="1">
      <alignment horizontal="center" vertical="center"/>
    </xf>
    <xf numFmtId="0" fontId="134" fillId="62" borderId="152" xfId="126" applyNumberFormat="1" applyFont="1" applyFill="1" applyBorder="1" applyAlignment="1">
      <alignment horizontal="center" vertical="center"/>
    </xf>
    <xf numFmtId="41" fontId="134" fillId="0" borderId="10" xfId="126" applyNumberFormat="1" applyFont="1" applyFill="1" applyBorder="1" applyAlignment="1">
      <alignment vertical="center"/>
    </xf>
    <xf numFmtId="41" fontId="134" fillId="0" borderId="10" xfId="126" applyNumberFormat="1" applyFont="1" applyFill="1" applyBorder="1" applyAlignment="1">
      <alignment horizontal="center" vertical="center"/>
    </xf>
    <xf numFmtId="0" fontId="134" fillId="0" borderId="10" xfId="126" applyNumberFormat="1" applyFont="1" applyFill="1" applyBorder="1" applyAlignment="1">
      <alignment horizontal="center" vertical="center"/>
    </xf>
    <xf numFmtId="41" fontId="134" fillId="62" borderId="10" xfId="126" applyNumberFormat="1" applyFont="1" applyFill="1" applyBorder="1" applyAlignment="1">
      <alignment vertical="center"/>
    </xf>
    <xf numFmtId="41" fontId="134" fillId="62" borderId="10" xfId="126" applyNumberFormat="1" applyFont="1" applyFill="1" applyBorder="1" applyAlignment="1">
      <alignment horizontal="center" vertical="center"/>
    </xf>
    <xf numFmtId="0" fontId="134" fillId="62" borderId="10" xfId="126" applyNumberFormat="1" applyFont="1" applyFill="1" applyBorder="1" applyAlignment="1">
      <alignment horizontal="center" vertical="center"/>
    </xf>
    <xf numFmtId="0" fontId="139" fillId="64" borderId="150" xfId="126" applyNumberFormat="1" applyFont="1" applyFill="1" applyBorder="1" applyAlignment="1">
      <alignment horizontal="center" vertical="center"/>
    </xf>
    <xf numFmtId="41" fontId="139" fillId="64" borderId="155" xfId="126" applyNumberFormat="1" applyFont="1" applyFill="1" applyBorder="1" applyAlignment="1">
      <alignment horizontal="center" vertical="center"/>
    </xf>
    <xf numFmtId="0" fontId="139" fillId="64" borderId="155" xfId="126" applyNumberFormat="1" applyFont="1" applyFill="1" applyBorder="1" applyAlignment="1">
      <alignment horizontal="center" vertical="center"/>
    </xf>
    <xf numFmtId="41" fontId="139" fillId="64" borderId="93" xfId="126" applyNumberFormat="1" applyFont="1" applyFill="1" applyBorder="1" applyAlignment="1">
      <alignment horizontal="center" vertical="center"/>
    </xf>
    <xf numFmtId="41" fontId="141" fillId="65" borderId="157" xfId="122" applyNumberFormat="1" applyFont="1" applyFill="1" applyBorder="1" applyAlignment="1"/>
    <xf numFmtId="41" fontId="141" fillId="0" borderId="157" xfId="122" applyNumberFormat="1" applyFont="1" applyFill="1" applyBorder="1" applyAlignment="1"/>
    <xf numFmtId="41" fontId="141" fillId="0" borderId="157" xfId="126" applyFont="1" applyFill="1" applyBorder="1" applyAlignment="1"/>
    <xf numFmtId="0" fontId="141" fillId="0" borderId="157" xfId="122" applyFont="1" applyFill="1" applyBorder="1" applyAlignment="1">
      <alignment horizontal="center"/>
    </xf>
    <xf numFmtId="0" fontId="125" fillId="66" borderId="157" xfId="122" applyFont="1" applyFill="1" applyBorder="1" applyAlignment="1">
      <alignment horizontal="center" vertical="center"/>
    </xf>
    <xf numFmtId="0" fontId="60" fillId="0" borderId="0" xfId="122" applyFont="1" applyAlignment="1">
      <alignment horizontal="left"/>
    </xf>
    <xf numFmtId="0" fontId="60" fillId="0" borderId="0" xfId="122" applyFont="1" applyAlignment="1">
      <alignment horizontal="right"/>
    </xf>
    <xf numFmtId="0" fontId="49" fillId="0" borderId="0" xfId="122" applyFont="1">
      <alignment vertical="center"/>
    </xf>
    <xf numFmtId="0" fontId="39" fillId="0" borderId="0" xfId="130" quotePrefix="1" applyFont="1" applyBorder="1" applyAlignment="1">
      <alignment horizontal="left" vertical="center"/>
    </xf>
    <xf numFmtId="0" fontId="36" fillId="0" borderId="0" xfId="130" applyFont="1" applyBorder="1">
      <alignment vertical="center"/>
    </xf>
    <xf numFmtId="0" fontId="36" fillId="0" borderId="157" xfId="130" applyFont="1" applyBorder="1" applyAlignment="1">
      <alignment horizontal="center" vertical="center"/>
    </xf>
    <xf numFmtId="0" fontId="39" fillId="0" borderId="0" xfId="130" applyFont="1">
      <alignment vertical="center"/>
    </xf>
    <xf numFmtId="0" fontId="36" fillId="68" borderId="157" xfId="130" applyFont="1" applyFill="1" applyBorder="1" applyAlignment="1">
      <alignment horizontal="center" vertical="center"/>
    </xf>
    <xf numFmtId="0" fontId="49" fillId="68" borderId="157" xfId="130" applyFont="1" applyFill="1" applyBorder="1" applyAlignment="1">
      <alignment horizontal="center" vertical="center"/>
    </xf>
    <xf numFmtId="0" fontId="50" fillId="0" borderId="0" xfId="122" applyFont="1">
      <alignment vertical="center"/>
    </xf>
    <xf numFmtId="0" fontId="39" fillId="0" borderId="0" xfId="131" applyFont="1"/>
    <xf numFmtId="41" fontId="39" fillId="0" borderId="158" xfId="126" applyFont="1" applyBorder="1" applyAlignment="1">
      <alignment vertical="center"/>
    </xf>
    <xf numFmtId="41" fontId="39" fillId="0" borderId="159" xfId="126" applyFont="1" applyBorder="1" applyAlignment="1">
      <alignment vertical="center"/>
    </xf>
    <xf numFmtId="0" fontId="39" fillId="0" borderId="159" xfId="131" applyFont="1" applyBorder="1" applyAlignment="1">
      <alignment horizontal="center" vertical="center"/>
    </xf>
    <xf numFmtId="0" fontId="39" fillId="0" borderId="160" xfId="131" applyFont="1" applyBorder="1" applyAlignment="1">
      <alignment horizontal="center" vertical="center"/>
    </xf>
    <xf numFmtId="41" fontId="39" fillId="0" borderId="161" xfId="126" applyFont="1" applyBorder="1" applyAlignment="1">
      <alignment vertical="center"/>
    </xf>
    <xf numFmtId="41" fontId="39" fillId="0" borderId="10" xfId="126" applyFont="1" applyBorder="1" applyAlignment="1">
      <alignment vertical="center"/>
    </xf>
    <xf numFmtId="0" fontId="39" fillId="0" borderId="10" xfId="131" applyFont="1" applyBorder="1" applyAlignment="1">
      <alignment horizontal="center" vertical="center"/>
    </xf>
    <xf numFmtId="0" fontId="39" fillId="0" borderId="162" xfId="131" applyFont="1" applyBorder="1" applyAlignment="1">
      <alignment horizontal="center" vertical="center"/>
    </xf>
    <xf numFmtId="0" fontId="36" fillId="0" borderId="0" xfId="130" applyFont="1">
      <alignment vertical="center"/>
    </xf>
    <xf numFmtId="0" fontId="39" fillId="0" borderId="158" xfId="131" applyFont="1" applyBorder="1"/>
    <xf numFmtId="0" fontId="53" fillId="65" borderId="160" xfId="131" applyFont="1" applyFill="1" applyBorder="1" applyAlignment="1">
      <alignment horizontal="center" vertical="center"/>
    </xf>
    <xf numFmtId="0" fontId="39" fillId="0" borderId="161" xfId="131" applyFont="1" applyBorder="1" applyAlignment="1">
      <alignment horizontal="center" vertical="center"/>
    </xf>
    <xf numFmtId="0" fontId="53" fillId="65" borderId="162" xfId="131" applyFont="1" applyFill="1" applyBorder="1" applyAlignment="1">
      <alignment horizontal="center" vertical="center"/>
    </xf>
    <xf numFmtId="0" fontId="39" fillId="0" borderId="163" xfId="131" applyFont="1" applyBorder="1" applyAlignment="1">
      <alignment horizontal="center" vertical="center"/>
    </xf>
    <xf numFmtId="0" fontId="53" fillId="65" borderId="164" xfId="131" applyFont="1" applyFill="1" applyBorder="1" applyAlignment="1">
      <alignment horizontal="center" vertical="center"/>
    </xf>
    <xf numFmtId="41" fontId="39" fillId="0" borderId="165" xfId="126" applyFont="1" applyBorder="1" applyAlignment="1">
      <alignment vertical="center"/>
    </xf>
    <xf numFmtId="41" fontId="39" fillId="0" borderId="9" xfId="126" applyFont="1" applyBorder="1" applyAlignment="1">
      <alignment vertical="center"/>
    </xf>
    <xf numFmtId="0" fontId="39" fillId="0" borderId="9" xfId="131" applyFont="1" applyBorder="1" applyAlignment="1">
      <alignment horizontal="center" vertical="center"/>
    </xf>
    <xf numFmtId="0" fontId="39" fillId="0" borderId="166" xfId="131" applyFont="1" applyBorder="1" applyAlignment="1">
      <alignment horizontal="center" vertical="center"/>
    </xf>
    <xf numFmtId="0" fontId="53" fillId="65" borderId="167" xfId="131" applyFont="1" applyFill="1" applyBorder="1" applyAlignment="1">
      <alignment horizontal="center" vertical="center"/>
    </xf>
    <xf numFmtId="0" fontId="53" fillId="65" borderId="168" xfId="131" applyFont="1" applyFill="1" applyBorder="1" applyAlignment="1">
      <alignment horizontal="center" vertical="center"/>
    </xf>
    <xf numFmtId="0" fontId="53" fillId="65" borderId="169" xfId="131" applyFont="1" applyFill="1" applyBorder="1" applyAlignment="1">
      <alignment horizontal="center" vertical="center"/>
    </xf>
    <xf numFmtId="0" fontId="145" fillId="0" borderId="0" xfId="122" applyFont="1">
      <alignment vertical="center"/>
    </xf>
    <xf numFmtId="0" fontId="134" fillId="0" borderId="170" xfId="122" applyFont="1" applyFill="1" applyBorder="1" applyAlignment="1">
      <alignment horizontal="center" vertical="center"/>
    </xf>
    <xf numFmtId="41" fontId="134" fillId="69" borderId="170" xfId="126" applyFont="1" applyFill="1" applyBorder="1">
      <alignment vertical="center"/>
    </xf>
    <xf numFmtId="0" fontId="134" fillId="70" borderId="170" xfId="122" applyFont="1" applyFill="1" applyBorder="1" applyAlignment="1">
      <alignment horizontal="center" vertical="center"/>
    </xf>
    <xf numFmtId="41" fontId="134" fillId="71" borderId="0" xfId="126" applyNumberFormat="1" applyFont="1" applyFill="1" applyBorder="1" applyAlignment="1">
      <alignment vertical="center"/>
    </xf>
    <xf numFmtId="41" fontId="134" fillId="71" borderId="136" xfId="126" applyNumberFormat="1" applyFont="1" applyFill="1" applyBorder="1" applyAlignment="1">
      <alignment vertical="center"/>
    </xf>
    <xf numFmtId="0" fontId="135" fillId="72" borderId="170" xfId="122" applyFont="1" applyFill="1" applyBorder="1" applyAlignment="1">
      <alignment horizontal="center" vertical="center"/>
    </xf>
    <xf numFmtId="0" fontId="69" fillId="73" borderId="172" xfId="122" applyFont="1" applyFill="1" applyBorder="1" applyAlignment="1">
      <alignment horizontal="distributed" vertical="center" indent="1"/>
    </xf>
    <xf numFmtId="0" fontId="69" fillId="74" borderId="174" xfId="122" applyFont="1" applyFill="1" applyBorder="1" applyAlignment="1">
      <alignment horizontal="distributed" vertical="center" indent="1"/>
    </xf>
    <xf numFmtId="0" fontId="49" fillId="0" borderId="173" xfId="122" applyFont="1" applyBorder="1" applyAlignment="1">
      <alignment horizontal="center" vertical="center"/>
    </xf>
    <xf numFmtId="0" fontId="69" fillId="73" borderId="174" xfId="122" applyFont="1" applyFill="1" applyBorder="1" applyAlignment="1">
      <alignment horizontal="distributed" vertical="center" indent="1"/>
    </xf>
    <xf numFmtId="190" fontId="49" fillId="37" borderId="173" xfId="122" applyNumberFormat="1" applyFont="1" applyFill="1" applyBorder="1" applyAlignment="1">
      <alignment horizontal="center" vertical="center"/>
    </xf>
    <xf numFmtId="0" fontId="49" fillId="37" borderId="175" xfId="122" applyFont="1" applyFill="1" applyBorder="1" applyAlignment="1">
      <alignment horizontal="center" vertical="center"/>
    </xf>
    <xf numFmtId="0" fontId="69" fillId="74" borderId="176" xfId="122" applyFont="1" applyFill="1" applyBorder="1" applyAlignment="1">
      <alignment horizontal="distributed" vertical="center" indent="1"/>
    </xf>
    <xf numFmtId="0" fontId="134" fillId="71" borderId="171" xfId="122" applyFont="1" applyFill="1" applyBorder="1" applyAlignment="1">
      <alignment horizontal="center" vertical="center"/>
    </xf>
    <xf numFmtId="0" fontId="134" fillId="71" borderId="177" xfId="122" applyFont="1" applyFill="1" applyBorder="1" applyAlignment="1">
      <alignment horizontal="center" vertical="center"/>
    </xf>
    <xf numFmtId="190" fontId="134" fillId="71" borderId="177" xfId="122" applyNumberFormat="1" applyFont="1" applyFill="1" applyBorder="1" applyAlignment="1">
      <alignment horizontal="center" vertical="center"/>
    </xf>
    <xf numFmtId="0" fontId="134" fillId="71" borderId="178" xfId="122" applyFont="1" applyFill="1" applyBorder="1" applyAlignment="1">
      <alignment horizontal="center" vertical="center"/>
    </xf>
    <xf numFmtId="0" fontId="134" fillId="58" borderId="179" xfId="122" applyFont="1" applyFill="1" applyBorder="1" applyAlignment="1">
      <alignment horizontal="center" vertical="center"/>
    </xf>
    <xf numFmtId="0" fontId="134" fillId="58" borderId="138" xfId="122" applyFont="1" applyFill="1" applyBorder="1" applyAlignment="1">
      <alignment horizontal="center" vertical="center"/>
    </xf>
    <xf numFmtId="190" fontId="134" fillId="58" borderId="138" xfId="122" applyNumberFormat="1" applyFont="1" applyFill="1" applyBorder="1" applyAlignment="1">
      <alignment horizontal="center" vertical="center"/>
    </xf>
    <xf numFmtId="0" fontId="134" fillId="58" borderId="180" xfId="122" applyFont="1" applyFill="1" applyBorder="1" applyAlignment="1">
      <alignment horizontal="center" vertical="center"/>
    </xf>
    <xf numFmtId="0" fontId="134" fillId="71" borderId="179" xfId="122" applyFont="1" applyFill="1" applyBorder="1" applyAlignment="1">
      <alignment horizontal="center" vertical="center"/>
    </xf>
    <xf numFmtId="0" fontId="134" fillId="71" borderId="138" xfId="122" applyFont="1" applyFill="1" applyBorder="1" applyAlignment="1">
      <alignment horizontal="center" vertical="center"/>
    </xf>
    <xf numFmtId="190" fontId="134" fillId="71" borderId="138" xfId="122" applyNumberFormat="1" applyFont="1" applyFill="1" applyBorder="1" applyAlignment="1">
      <alignment horizontal="center" vertical="center"/>
    </xf>
    <xf numFmtId="0" fontId="134" fillId="71" borderId="180" xfId="122" applyFont="1" applyFill="1" applyBorder="1" applyAlignment="1">
      <alignment horizontal="center" vertical="center"/>
    </xf>
    <xf numFmtId="0" fontId="140" fillId="61" borderId="181" xfId="122" applyFont="1" applyFill="1" applyBorder="1" applyAlignment="1">
      <alignment horizontal="center" vertical="center"/>
    </xf>
    <xf numFmtId="0" fontId="140" fillId="61" borderId="182" xfId="122" applyFont="1" applyFill="1" applyBorder="1" applyAlignment="1">
      <alignment horizontal="center" vertical="center"/>
    </xf>
    <xf numFmtId="0" fontId="140" fillId="61" borderId="183" xfId="122" applyFont="1" applyFill="1" applyBorder="1" applyAlignment="1">
      <alignment horizontal="center" vertical="center"/>
    </xf>
    <xf numFmtId="0" fontId="49" fillId="0" borderId="10" xfId="122" applyFont="1" applyBorder="1">
      <alignment vertical="center"/>
    </xf>
    <xf numFmtId="0" fontId="36" fillId="0" borderId="10" xfId="122" applyFont="1" applyBorder="1" applyAlignment="1">
      <alignment horizontal="center" vertical="center"/>
    </xf>
    <xf numFmtId="14" fontId="36" fillId="0" borderId="10" xfId="122" applyNumberFormat="1" applyFont="1" applyBorder="1" applyAlignment="1">
      <alignment horizontal="center" vertical="center"/>
    </xf>
    <xf numFmtId="0" fontId="40" fillId="27" borderId="10" xfId="122" applyFont="1" applyFill="1" applyBorder="1" applyAlignment="1">
      <alignment horizontal="center" vertical="center"/>
    </xf>
    <xf numFmtId="0" fontId="50" fillId="56" borderId="10" xfId="122" applyFont="1" applyFill="1" applyBorder="1" applyAlignment="1">
      <alignment horizontal="center" vertical="center"/>
    </xf>
    <xf numFmtId="14" fontId="67" fillId="0" borderId="10" xfId="65" applyNumberFormat="1" applyFont="1" applyFill="1" applyBorder="1" applyAlignment="1">
      <alignment horizontal="center" vertical="center"/>
    </xf>
    <xf numFmtId="0" fontId="50" fillId="0" borderId="184" xfId="2" applyFont="1" applyFill="1" applyBorder="1" applyAlignment="1">
      <alignment horizontal="center" vertical="center"/>
    </xf>
    <xf numFmtId="203" fontId="135" fillId="61" borderId="140" xfId="122" applyNumberFormat="1" applyFont="1" applyFill="1" applyBorder="1" applyAlignment="1">
      <alignment horizontal="center" vertical="center"/>
    </xf>
    <xf numFmtId="0" fontId="91" fillId="14" borderId="90" xfId="0" applyFont="1" applyFill="1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63" applyAlignment="1">
      <alignment horizontal="center"/>
    </xf>
    <xf numFmtId="0" fontId="3" fillId="0" borderId="0" xfId="132">
      <alignment vertical="center"/>
    </xf>
    <xf numFmtId="0" fontId="50" fillId="76" borderId="186" xfId="132" applyFont="1" applyFill="1" applyBorder="1" applyAlignment="1">
      <alignment horizontal="center" vertical="center"/>
    </xf>
    <xf numFmtId="14" fontId="3" fillId="0" borderId="9" xfId="132" applyNumberFormat="1" applyBorder="1">
      <alignment vertical="center"/>
    </xf>
    <xf numFmtId="14" fontId="3" fillId="0" borderId="9" xfId="132" applyNumberFormat="1" applyBorder="1" applyAlignment="1">
      <alignment horizontal="center" vertical="center"/>
    </xf>
    <xf numFmtId="41" fontId="0" fillId="0" borderId="9" xfId="133" applyFont="1" applyBorder="1">
      <alignment vertical="center"/>
    </xf>
    <xf numFmtId="0" fontId="3" fillId="0" borderId="9" xfId="132" applyBorder="1">
      <alignment vertical="center"/>
    </xf>
    <xf numFmtId="41" fontId="0" fillId="0" borderId="10" xfId="133" applyFont="1" applyBorder="1">
      <alignment vertical="center"/>
    </xf>
    <xf numFmtId="14" fontId="3" fillId="0" borderId="10" xfId="132" applyNumberFormat="1" applyBorder="1">
      <alignment vertical="center"/>
    </xf>
    <xf numFmtId="14" fontId="3" fillId="0" borderId="10" xfId="132" applyNumberFormat="1" applyBorder="1" applyAlignment="1">
      <alignment horizontal="center" vertical="center"/>
    </xf>
    <xf numFmtId="0" fontId="3" fillId="0" borderId="10" xfId="132" applyBorder="1">
      <alignment vertical="center"/>
    </xf>
    <xf numFmtId="14" fontId="3" fillId="0" borderId="0" xfId="132" applyNumberFormat="1">
      <alignment vertical="center"/>
    </xf>
    <xf numFmtId="0" fontId="49" fillId="0" borderId="0" xfId="134" applyFont="1">
      <alignment vertical="center"/>
    </xf>
    <xf numFmtId="0" fontId="149" fillId="0" borderId="0" xfId="134">
      <alignment vertical="center"/>
    </xf>
    <xf numFmtId="0" fontId="152" fillId="78" borderId="186" xfId="134" applyFont="1" applyFill="1" applyBorder="1" applyAlignment="1">
      <alignment horizontal="center" vertical="center"/>
    </xf>
    <xf numFmtId="0" fontId="152" fillId="78" borderId="187" xfId="134" applyFont="1" applyFill="1" applyBorder="1" applyAlignment="1">
      <alignment horizontal="center" vertical="center"/>
    </xf>
    <xf numFmtId="49" fontId="149" fillId="0" borderId="9" xfId="134" applyNumberFormat="1" applyBorder="1" applyAlignment="1">
      <alignment horizontal="center" vertical="center"/>
    </xf>
    <xf numFmtId="0" fontId="149" fillId="0" borderId="185" xfId="134" applyBorder="1" applyAlignment="1">
      <alignment horizontal="center" vertical="center"/>
    </xf>
    <xf numFmtId="41" fontId="0" fillId="0" borderId="185" xfId="135" applyFont="1" applyBorder="1">
      <alignment vertical="center"/>
    </xf>
    <xf numFmtId="10" fontId="0" fillId="0" borderId="185" xfId="136" applyNumberFormat="1" applyFont="1" applyBorder="1">
      <alignment vertical="center"/>
    </xf>
    <xf numFmtId="204" fontId="149" fillId="0" borderId="185" xfId="133" applyNumberFormat="1" applyFont="1" applyBorder="1" applyAlignment="1">
      <alignment horizontal="center" vertical="center"/>
    </xf>
    <xf numFmtId="0" fontId="149" fillId="0" borderId="185" xfId="134" applyBorder="1">
      <alignment vertical="center"/>
    </xf>
    <xf numFmtId="0" fontId="50" fillId="76" borderId="186" xfId="134" applyFont="1" applyFill="1" applyBorder="1" applyAlignment="1">
      <alignment horizontal="center" vertical="center"/>
    </xf>
    <xf numFmtId="0" fontId="49" fillId="0" borderId="9" xfId="134" applyFont="1" applyBorder="1" applyAlignment="1">
      <alignment horizontal="center" vertical="center"/>
    </xf>
    <xf numFmtId="0" fontId="49" fillId="0" borderId="9" xfId="134" applyFont="1" applyBorder="1">
      <alignment vertical="center"/>
    </xf>
    <xf numFmtId="0" fontId="49" fillId="0" borderId="10" xfId="134" applyFont="1" applyBorder="1" applyAlignment="1">
      <alignment horizontal="center" vertical="center"/>
    </xf>
    <xf numFmtId="0" fontId="49" fillId="0" borderId="10" xfId="134" applyFont="1" applyBorder="1">
      <alignment vertical="center"/>
    </xf>
    <xf numFmtId="0" fontId="0" fillId="0" borderId="0" xfId="137" applyFont="1"/>
    <xf numFmtId="0" fontId="0" fillId="0" borderId="146" xfId="137" applyFont="1" applyBorder="1" applyAlignment="1">
      <alignment horizontal="center" vertical="center"/>
    </xf>
    <xf numFmtId="0" fontId="0" fillId="0" borderId="152" xfId="137" applyFont="1" applyBorder="1" applyAlignment="1">
      <alignment horizontal="center" vertical="center"/>
    </xf>
    <xf numFmtId="0" fontId="157" fillId="0" borderId="147" xfId="137" applyFont="1" applyBorder="1" applyAlignment="1">
      <alignment horizontal="center" vertical="center"/>
    </xf>
    <xf numFmtId="0" fontId="0" fillId="0" borderId="148" xfId="137" applyFont="1" applyBorder="1" applyAlignment="1">
      <alignment horizontal="center" vertical="center"/>
    </xf>
    <xf numFmtId="0" fontId="0" fillId="0" borderId="10" xfId="137" applyFont="1" applyBorder="1" applyAlignment="1">
      <alignment horizontal="center" vertical="center"/>
    </xf>
    <xf numFmtId="0" fontId="157" fillId="0" borderId="149" xfId="137" applyFont="1" applyBorder="1" applyAlignment="1">
      <alignment horizontal="center" vertical="center"/>
    </xf>
    <xf numFmtId="0" fontId="0" fillId="0" borderId="52" xfId="137" applyFont="1" applyBorder="1" applyAlignment="1">
      <alignment horizontal="left" vertical="center"/>
    </xf>
    <xf numFmtId="0" fontId="0" fillId="0" borderId="53" xfId="137" applyFont="1" applyBorder="1" applyAlignment="1">
      <alignment horizontal="left" vertical="center"/>
    </xf>
    <xf numFmtId="0" fontId="0" fillId="0" borderId="51" xfId="137" applyFont="1" applyBorder="1" applyAlignment="1">
      <alignment horizontal="left" vertical="center"/>
    </xf>
    <xf numFmtId="0" fontId="157" fillId="0" borderId="150" xfId="137" applyFont="1" applyBorder="1" applyAlignment="1">
      <alignment horizontal="center" vertical="center"/>
    </xf>
    <xf numFmtId="0" fontId="157" fillId="0" borderId="155" xfId="137" applyFont="1" applyBorder="1" applyAlignment="1">
      <alignment horizontal="center" vertical="center"/>
    </xf>
    <xf numFmtId="0" fontId="157" fillId="0" borderId="93" xfId="137" applyFont="1" applyBorder="1" applyAlignment="1">
      <alignment horizontal="center" vertical="center"/>
    </xf>
    <xf numFmtId="0" fontId="158" fillId="0" borderId="0" xfId="137" applyFont="1" applyAlignment="1">
      <alignment vertical="center"/>
    </xf>
    <xf numFmtId="0" fontId="157" fillId="0" borderId="0" xfId="137" applyFont="1" applyAlignment="1">
      <alignment vertical="center"/>
    </xf>
    <xf numFmtId="0" fontId="0" fillId="0" borderId="0" xfId="137" applyFont="1" applyAlignment="1">
      <alignment vertical="center"/>
    </xf>
    <xf numFmtId="0" fontId="0" fillId="0" borderId="0" xfId="137" applyFont="1" applyAlignment="1">
      <alignment horizontal="left" vertical="center"/>
    </xf>
    <xf numFmtId="0" fontId="0" fillId="0" borderId="52" xfId="137" applyFont="1" applyBorder="1" applyAlignment="1">
      <alignment horizontal="center" vertical="center"/>
    </xf>
    <xf numFmtId="0" fontId="157" fillId="27" borderId="51" xfId="137" applyFont="1" applyFill="1" applyBorder="1" applyAlignment="1">
      <alignment horizontal="center" vertical="center"/>
    </xf>
    <xf numFmtId="0" fontId="0" fillId="0" borderId="0" xfId="137" applyFont="1" applyAlignment="1">
      <alignment horizontal="center" vertical="center"/>
    </xf>
    <xf numFmtId="0" fontId="0" fillId="0" borderId="188" xfId="137" applyFont="1" applyBorder="1" applyAlignment="1">
      <alignment horizontal="center" vertical="center"/>
    </xf>
    <xf numFmtId="0" fontId="0" fillId="0" borderId="189" xfId="137" applyFont="1" applyBorder="1" applyAlignment="1">
      <alignment horizontal="center" vertical="center"/>
    </xf>
    <xf numFmtId="0" fontId="0" fillId="0" borderId="190" xfId="137" applyFont="1" applyBorder="1" applyAlignment="1">
      <alignment horizontal="center" vertical="center"/>
    </xf>
    <xf numFmtId="41" fontId="0" fillId="0" borderId="146" xfId="128" applyFont="1" applyBorder="1" applyAlignment="1">
      <alignment horizontal="center" vertical="center"/>
    </xf>
    <xf numFmtId="0" fontId="0" fillId="0" borderId="147" xfId="137" applyFont="1" applyBorder="1" applyAlignment="1">
      <alignment horizontal="center" vertical="center"/>
    </xf>
    <xf numFmtId="0" fontId="157" fillId="28" borderId="150" xfId="137" applyFont="1" applyFill="1" applyBorder="1" applyAlignment="1">
      <alignment horizontal="center" vertical="center"/>
    </xf>
    <xf numFmtId="0" fontId="157" fillId="28" borderId="155" xfId="137" applyFont="1" applyFill="1" applyBorder="1" applyAlignment="1">
      <alignment horizontal="center" vertical="center"/>
    </xf>
    <xf numFmtId="0" fontId="157" fillId="28" borderId="93" xfId="137" applyFont="1" applyFill="1" applyBorder="1" applyAlignment="1">
      <alignment horizontal="center" vertical="center"/>
    </xf>
    <xf numFmtId="41" fontId="0" fillId="27" borderId="146" xfId="128" applyFont="1" applyFill="1" applyBorder="1" applyAlignment="1">
      <alignment horizontal="center" vertical="center"/>
    </xf>
    <xf numFmtId="41" fontId="0" fillId="0" borderId="152" xfId="128" applyFont="1" applyBorder="1" applyAlignment="1">
      <alignment horizontal="center" vertical="center"/>
    </xf>
    <xf numFmtId="0" fontId="157" fillId="79" borderId="147" xfId="137" applyFont="1" applyFill="1" applyBorder="1" applyAlignment="1">
      <alignment horizontal="center" vertical="center"/>
    </xf>
    <xf numFmtId="41" fontId="0" fillId="0" borderId="148" xfId="128" applyFont="1" applyBorder="1" applyAlignment="1">
      <alignment horizontal="center" vertical="center"/>
    </xf>
    <xf numFmtId="41" fontId="0" fillId="27" borderId="10" xfId="128" applyFont="1" applyFill="1" applyBorder="1" applyAlignment="1">
      <alignment horizontal="center" vertical="center"/>
    </xf>
    <xf numFmtId="41" fontId="0" fillId="0" borderId="10" xfId="128" applyFont="1" applyBorder="1" applyAlignment="1">
      <alignment horizontal="center" vertical="center"/>
    </xf>
    <xf numFmtId="0" fontId="157" fillId="79" borderId="149" xfId="137" applyFont="1" applyFill="1" applyBorder="1" applyAlignment="1">
      <alignment horizontal="center" vertical="center"/>
    </xf>
    <xf numFmtId="0" fontId="157" fillId="79" borderId="150" xfId="137" applyFont="1" applyFill="1" applyBorder="1" applyAlignment="1">
      <alignment horizontal="center" vertical="center"/>
    </xf>
    <xf numFmtId="0" fontId="157" fillId="79" borderId="155" xfId="137" applyFont="1" applyFill="1" applyBorder="1" applyAlignment="1">
      <alignment horizontal="center" vertical="center"/>
    </xf>
    <xf numFmtId="0" fontId="157" fillId="79" borderId="93" xfId="137" applyFont="1" applyFill="1" applyBorder="1" applyAlignment="1">
      <alignment horizontal="center" vertical="center"/>
    </xf>
    <xf numFmtId="0" fontId="157" fillId="0" borderId="0" xfId="137" applyFont="1" applyAlignment="1">
      <alignment horizontal="center" vertical="center"/>
    </xf>
    <xf numFmtId="0" fontId="106" fillId="0" borderId="0" xfId="115" applyFont="1" applyAlignment="1">
      <alignment horizontal="center" vertical="center"/>
    </xf>
    <xf numFmtId="0" fontId="2" fillId="0" borderId="0" xfId="65" applyFont="1" applyAlignment="1"/>
    <xf numFmtId="41" fontId="49" fillId="40" borderId="30" xfId="121" applyFont="1" applyFill="1" applyBorder="1" applyAlignment="1">
      <alignment horizontal="right" vertical="center"/>
    </xf>
    <xf numFmtId="41" fontId="49" fillId="40" borderId="30" xfId="121" applyFont="1" applyFill="1" applyBorder="1" applyAlignment="1">
      <alignment horizontal="center" vertical="center"/>
    </xf>
    <xf numFmtId="41" fontId="0" fillId="37" borderId="90" xfId="121" applyFont="1" applyFill="1" applyBorder="1" applyAlignment="1">
      <alignment horizontal="center" vertical="center"/>
    </xf>
    <xf numFmtId="0" fontId="2" fillId="0" borderId="0" xfId="132" applyFont="1">
      <alignment vertical="center"/>
    </xf>
    <xf numFmtId="0" fontId="127" fillId="0" borderId="0" xfId="122" applyFont="1" applyBorder="1" applyAlignment="1">
      <alignment horizontal="center" vertical="center"/>
    </xf>
    <xf numFmtId="0" fontId="130" fillId="0" borderId="0" xfId="122" applyFont="1" applyAlignment="1">
      <alignment horizontal="center" vertical="center"/>
    </xf>
    <xf numFmtId="41" fontId="36" fillId="0" borderId="6" xfId="50" applyFont="1" applyFill="1" applyBorder="1" applyAlignment="1">
      <alignment horizontal="center" vertical="center"/>
    </xf>
    <xf numFmtId="41" fontId="36" fillId="0" borderId="9" xfId="50" applyFont="1" applyFill="1" applyBorder="1" applyAlignment="1">
      <alignment horizontal="center" vertical="center"/>
    </xf>
    <xf numFmtId="183" fontId="36" fillId="0" borderId="6" xfId="50" applyNumberFormat="1" applyFont="1" applyFill="1" applyBorder="1" applyAlignment="1">
      <alignment horizontal="center" vertical="center"/>
    </xf>
    <xf numFmtId="183" fontId="36" fillId="0" borderId="9" xfId="50" applyNumberFormat="1" applyFont="1" applyFill="1" applyBorder="1" applyAlignment="1">
      <alignment horizontal="center" vertical="center"/>
    </xf>
    <xf numFmtId="41" fontId="36" fillId="0" borderId="23" xfId="50" applyFont="1" applyFill="1" applyBorder="1" applyAlignment="1">
      <alignment horizontal="left" vertical="center" wrapText="1"/>
    </xf>
    <xf numFmtId="41" fontId="36" fillId="0" borderId="22" xfId="50" applyFont="1" applyFill="1" applyBorder="1" applyAlignment="1">
      <alignment horizontal="left" vertical="center" wrapText="1"/>
    </xf>
    <xf numFmtId="42" fontId="128" fillId="59" borderId="10" xfId="127" applyFont="1" applyFill="1" applyBorder="1" applyAlignment="1">
      <alignment horizontal="center" vertical="center"/>
    </xf>
    <xf numFmtId="41" fontId="137" fillId="0" borderId="0" xfId="126" applyFont="1" applyAlignment="1">
      <alignment horizontal="center" vertical="center"/>
    </xf>
    <xf numFmtId="0" fontId="48" fillId="0" borderId="0" xfId="65" applyFont="1" applyAlignment="1">
      <alignment horizontal="center" vertical="center"/>
    </xf>
    <xf numFmtId="0" fontId="47" fillId="39" borderId="7" xfId="65" applyFont="1" applyFill="1" applyBorder="1" applyAlignment="1">
      <alignment horizontal="center" vertical="center"/>
    </xf>
    <xf numFmtId="0" fontId="47" fillId="39" borderId="8" xfId="65" applyFont="1" applyFill="1" applyBorder="1" applyAlignment="1">
      <alignment horizontal="center" vertical="center"/>
    </xf>
    <xf numFmtId="186" fontId="46" fillId="0" borderId="7" xfId="65" applyNumberFormat="1" applyFont="1" applyBorder="1" applyAlignment="1">
      <alignment horizontal="right" vertical="center"/>
    </xf>
    <xf numFmtId="186" fontId="46" fillId="0" borderId="8" xfId="65" applyNumberFormat="1" applyFont="1" applyBorder="1" applyAlignment="1">
      <alignment horizontal="right" vertical="center"/>
    </xf>
    <xf numFmtId="0" fontId="142" fillId="67" borderId="0" xfId="122" applyFont="1" applyFill="1" applyAlignment="1">
      <alignment horizontal="center" vertical="center"/>
    </xf>
    <xf numFmtId="202" fontId="60" fillId="0" borderId="0" xfId="122" applyNumberFormat="1" applyFont="1" applyAlignment="1">
      <alignment horizontal="left"/>
    </xf>
    <xf numFmtId="0" fontId="7" fillId="0" borderId="0" xfId="2" applyFont="1" applyAlignment="1">
      <alignment horizontal="center" vertical="center"/>
    </xf>
    <xf numFmtId="0" fontId="12" fillId="14" borderId="6" xfId="2" applyFont="1" applyFill="1" applyBorder="1" applyAlignment="1">
      <alignment horizontal="center" vertical="center"/>
    </xf>
    <xf numFmtId="0" fontId="12" fillId="14" borderId="9" xfId="2" applyFont="1" applyFill="1" applyBorder="1" applyAlignment="1">
      <alignment horizontal="center" vertical="center"/>
    </xf>
    <xf numFmtId="0" fontId="12" fillId="14" borderId="7" xfId="2" applyFont="1" applyFill="1" applyBorder="1" applyAlignment="1">
      <alignment horizontal="center" vertical="center"/>
    </xf>
    <xf numFmtId="0" fontId="12" fillId="14" borderId="8" xfId="2" applyFont="1" applyFill="1" applyBorder="1" applyAlignment="1">
      <alignment horizontal="center" vertical="center"/>
    </xf>
    <xf numFmtId="0" fontId="51" fillId="0" borderId="0" xfId="2" applyFont="1" applyAlignment="1">
      <alignment horizontal="center" vertical="center"/>
    </xf>
    <xf numFmtId="0" fontId="119" fillId="0" borderId="0" xfId="124" applyFont="1" applyAlignment="1">
      <alignment horizontal="center" vertical="center"/>
    </xf>
    <xf numFmtId="0" fontId="121" fillId="0" borderId="126" xfId="125" applyFont="1" applyBorder="1" applyAlignment="1">
      <alignment horizontal="center" vertical="center"/>
    </xf>
    <xf numFmtId="0" fontId="86" fillId="0" borderId="0" xfId="63" applyFont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147" fillId="0" borderId="0" xfId="122" applyFont="1" applyAlignment="1">
      <alignment horizontal="distributed" vertical="center" indent="17"/>
    </xf>
    <xf numFmtId="0" fontId="53" fillId="0" borderId="0" xfId="131" applyFont="1" applyBorder="1" applyAlignment="1">
      <alignment horizontal="center" vertical="center"/>
    </xf>
    <xf numFmtId="0" fontId="146" fillId="0" borderId="0" xfId="122" applyFont="1" applyFill="1" applyBorder="1" applyAlignment="1">
      <alignment horizontal="center" vertical="center"/>
    </xf>
    <xf numFmtId="0" fontId="137" fillId="0" borderId="0" xfId="122" applyFont="1" applyAlignment="1">
      <alignment horizontal="center" vertical="center"/>
    </xf>
    <xf numFmtId="0" fontId="74" fillId="0" borderId="0" xfId="65" applyFont="1" applyAlignment="1">
      <alignment horizontal="center" vertical="center"/>
    </xf>
    <xf numFmtId="0" fontId="15" fillId="0" borderId="71" xfId="65" applyBorder="1" applyAlignment="1">
      <alignment horizontal="center" vertical="center"/>
    </xf>
    <xf numFmtId="0" fontId="15" fillId="0" borderId="66" xfId="65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36" fillId="39" borderId="10" xfId="2" applyFont="1" applyFill="1" applyBorder="1" applyAlignment="1">
      <alignment horizontal="center" vertical="center"/>
    </xf>
    <xf numFmtId="0" fontId="148" fillId="75" borderId="0" xfId="132" applyFont="1" applyFill="1" applyAlignment="1">
      <alignment horizontal="center" vertical="center"/>
    </xf>
    <xf numFmtId="0" fontId="150" fillId="77" borderId="0" xfId="134" applyFont="1" applyFill="1" applyAlignment="1">
      <alignment horizontal="center" vertical="center"/>
    </xf>
    <xf numFmtId="0" fontId="109" fillId="0" borderId="95" xfId="57" applyNumberFormat="1" applyFont="1" applyFill="1" applyBorder="1" applyAlignment="1">
      <alignment horizontal="center" vertical="center"/>
    </xf>
    <xf numFmtId="0" fontId="110" fillId="0" borderId="95" xfId="57" applyNumberFormat="1" applyFont="1" applyFill="1" applyBorder="1" applyAlignment="1">
      <alignment horizontal="center" vertical="center"/>
    </xf>
    <xf numFmtId="0" fontId="106" fillId="0" borderId="0" xfId="115" applyFont="1" applyAlignment="1">
      <alignment horizontal="center" vertical="center"/>
    </xf>
    <xf numFmtId="0" fontId="43" fillId="0" borderId="0" xfId="113" applyFont="1" applyAlignment="1">
      <alignment horizontal="center" vertical="center"/>
    </xf>
    <xf numFmtId="0" fontId="36" fillId="39" borderId="6" xfId="113" applyFont="1" applyFill="1" applyBorder="1" applyAlignment="1">
      <alignment horizontal="center" vertical="center"/>
    </xf>
    <xf numFmtId="0" fontId="36" fillId="39" borderId="9" xfId="113" applyFont="1" applyFill="1" applyBorder="1" applyAlignment="1">
      <alignment horizontal="center" vertical="center"/>
    </xf>
    <xf numFmtId="0" fontId="40" fillId="39" borderId="7" xfId="113" applyFont="1" applyFill="1" applyBorder="1" applyAlignment="1">
      <alignment horizontal="center" vertical="center"/>
    </xf>
    <xf numFmtId="0" fontId="40" fillId="39" borderId="8" xfId="113" applyFont="1" applyFill="1" applyBorder="1" applyAlignment="1">
      <alignment horizontal="center" vertical="center"/>
    </xf>
    <xf numFmtId="41" fontId="62" fillId="0" borderId="0" xfId="57" applyNumberFormat="1" applyFont="1" applyFill="1" applyBorder="1" applyAlignment="1">
      <alignment horizontal="center" vertical="center"/>
    </xf>
    <xf numFmtId="41" fontId="63" fillId="0" borderId="0" xfId="57" applyNumberFormat="1" applyFont="1" applyFill="1" applyBorder="1" applyAlignment="1">
      <alignment horizontal="center" vertical="center"/>
    </xf>
    <xf numFmtId="41" fontId="55" fillId="39" borderId="51" xfId="50" applyFont="1" applyFill="1" applyBorder="1" applyAlignment="1">
      <alignment horizontal="center" vertical="center"/>
    </xf>
    <xf numFmtId="41" fontId="55" fillId="39" borderId="53" xfId="50" applyFont="1" applyFill="1" applyBorder="1" applyAlignment="1">
      <alignment horizontal="center" vertical="center"/>
    </xf>
    <xf numFmtId="0" fontId="7" fillId="0" borderId="0" xfId="63" applyFont="1" applyAlignment="1">
      <alignment horizontal="center" vertical="center"/>
    </xf>
    <xf numFmtId="0" fontId="70" fillId="39" borderId="56" xfId="65" applyFont="1" applyFill="1" applyBorder="1" applyAlignment="1">
      <alignment horizontal="center" vertical="center"/>
    </xf>
    <xf numFmtId="0" fontId="70" fillId="39" borderId="9" xfId="65" applyFont="1" applyFill="1" applyBorder="1" applyAlignment="1">
      <alignment horizontal="center" vertical="center"/>
    </xf>
    <xf numFmtId="14" fontId="70" fillId="39" borderId="56" xfId="65" applyNumberFormat="1" applyFont="1" applyFill="1" applyBorder="1" applyAlignment="1">
      <alignment horizontal="center" vertical="center"/>
    </xf>
    <xf numFmtId="14" fontId="70" fillId="39" borderId="9" xfId="65" applyNumberFormat="1" applyFont="1" applyFill="1" applyBorder="1" applyAlignment="1">
      <alignment horizontal="center" vertical="center"/>
    </xf>
    <xf numFmtId="14" fontId="70" fillId="39" borderId="56" xfId="65" applyNumberFormat="1" applyFont="1" applyFill="1" applyBorder="1" applyAlignment="1">
      <alignment horizontal="center" vertical="center" wrapText="1"/>
    </xf>
    <xf numFmtId="14" fontId="70" fillId="39" borderId="9" xfId="65" applyNumberFormat="1" applyFont="1" applyFill="1" applyBorder="1" applyAlignment="1">
      <alignment horizontal="center" vertical="center" wrapText="1"/>
    </xf>
    <xf numFmtId="0" fontId="148" fillId="75" borderId="0" xfId="134" applyFont="1" applyFill="1" applyAlignment="1">
      <alignment horizontal="center" vertical="center"/>
    </xf>
    <xf numFmtId="0" fontId="111" fillId="28" borderId="50" xfId="67" applyFont="1" applyFill="1" applyBorder="1" applyAlignment="1">
      <alignment horizontal="center" vertical="center"/>
    </xf>
    <xf numFmtId="0" fontId="112" fillId="24" borderId="49" xfId="67" applyFont="1" applyFill="1" applyBorder="1" applyAlignment="1">
      <alignment horizontal="center" vertical="center" wrapText="1"/>
    </xf>
    <xf numFmtId="0" fontId="112" fillId="24" borderId="49" xfId="67" applyFont="1" applyFill="1" applyBorder="1" applyAlignment="1">
      <alignment horizontal="center" vertical="center"/>
    </xf>
    <xf numFmtId="0" fontId="112" fillId="24" borderId="48" xfId="67" applyFont="1" applyFill="1" applyBorder="1" applyAlignment="1">
      <alignment horizontal="center" vertical="center"/>
    </xf>
    <xf numFmtId="0" fontId="61" fillId="27" borderId="121" xfId="67" applyFont="1" applyFill="1" applyBorder="1" applyAlignment="1">
      <alignment horizontal="center" vertical="center"/>
    </xf>
    <xf numFmtId="0" fontId="61" fillId="27" borderId="0" xfId="67" applyFont="1" applyFill="1" applyBorder="1" applyAlignment="1">
      <alignment horizontal="center" vertical="center"/>
    </xf>
    <xf numFmtId="0" fontId="80" fillId="0" borderId="0" xfId="65" applyFont="1" applyAlignment="1">
      <alignment horizontal="center" vertical="center"/>
    </xf>
    <xf numFmtId="0" fontId="40" fillId="0" borderId="72" xfId="42" applyFont="1" applyFill="1" applyBorder="1" applyAlignment="1">
      <alignment horizontal="center" vertical="center"/>
    </xf>
    <xf numFmtId="0" fontId="45" fillId="0" borderId="0" xfId="65" applyFont="1" applyAlignment="1">
      <alignment horizontal="center" vertical="center"/>
    </xf>
    <xf numFmtId="41" fontId="0" fillId="21" borderId="80" xfId="50" applyFont="1" applyFill="1" applyBorder="1" applyAlignment="1">
      <alignment horizontal="center" vertical="center"/>
    </xf>
    <xf numFmtId="41" fontId="0" fillId="21" borderId="81" xfId="50" applyFont="1" applyFill="1" applyBorder="1" applyAlignment="1">
      <alignment horizontal="center" vertical="center"/>
    </xf>
    <xf numFmtId="41" fontId="0" fillId="21" borderId="82" xfId="50" applyFont="1" applyFill="1" applyBorder="1" applyAlignment="1">
      <alignment horizontal="center" vertical="center"/>
    </xf>
    <xf numFmtId="0" fontId="134" fillId="62" borderId="148" xfId="126" applyNumberFormat="1" applyFont="1" applyFill="1" applyBorder="1" applyAlignment="1">
      <alignment horizontal="left" vertical="center"/>
    </xf>
    <xf numFmtId="0" fontId="134" fillId="0" borderId="148" xfId="126" applyNumberFormat="1" applyFont="1" applyFill="1" applyBorder="1" applyAlignment="1">
      <alignment horizontal="left" vertical="center"/>
    </xf>
    <xf numFmtId="0" fontId="134" fillId="62" borderId="146" xfId="126" applyNumberFormat="1" applyFont="1" applyFill="1" applyBorder="1" applyAlignment="1">
      <alignment horizontal="left" vertical="center"/>
    </xf>
    <xf numFmtId="0" fontId="105" fillId="39" borderId="0" xfId="115" applyNumberFormat="1" applyFont="1" applyFill="1" applyBorder="1" applyAlignment="1">
      <alignment horizontal="center" vertical="center"/>
    </xf>
    <xf numFmtId="14" fontId="34" fillId="0" borderId="0" xfId="115" applyNumberFormat="1" applyFont="1" applyBorder="1" applyAlignment="1">
      <alignment horizontal="center" vertical="center"/>
    </xf>
    <xf numFmtId="0" fontId="55" fillId="0" borderId="10" xfId="65" applyNumberFormat="1" applyFont="1" applyBorder="1" applyAlignment="1">
      <alignment horizontal="center" vertical="center"/>
    </xf>
    <xf numFmtId="0" fontId="55" fillId="0" borderId="10" xfId="65" applyNumberFormat="1" applyFont="1" applyBorder="1" applyAlignment="1">
      <alignment horizontal="right" vertical="center" indent="1"/>
    </xf>
    <xf numFmtId="0" fontId="55" fillId="0" borderId="10" xfId="65" applyNumberFormat="1" applyFont="1" applyBorder="1" applyAlignment="1">
      <alignment horizontal="right" vertical="center"/>
    </xf>
    <xf numFmtId="0" fontId="55" fillId="0" borderId="10" xfId="50" applyNumberFormat="1" applyFont="1" applyBorder="1" applyAlignment="1">
      <alignment vertical="center"/>
    </xf>
    <xf numFmtId="14" fontId="49" fillId="0" borderId="10" xfId="122" applyNumberFormat="1" applyBorder="1">
      <alignment vertical="center"/>
    </xf>
    <xf numFmtId="22" fontId="49" fillId="0" borderId="10" xfId="122" applyNumberFormat="1" applyBorder="1">
      <alignment vertical="center"/>
    </xf>
    <xf numFmtId="207" fontId="67" fillId="0" borderId="10" xfId="50" applyNumberFormat="1" applyFont="1" applyFill="1" applyBorder="1" applyAlignment="1">
      <alignment vertical="center"/>
    </xf>
    <xf numFmtId="41" fontId="59" fillId="25" borderId="120" xfId="53" applyFont="1" applyFill="1" applyBorder="1" applyAlignment="1">
      <alignment vertical="center"/>
    </xf>
    <xf numFmtId="41" fontId="59" fillId="25" borderId="0" xfId="53" applyFont="1" applyFill="1" applyBorder="1" applyAlignment="1">
      <alignment vertical="center"/>
    </xf>
    <xf numFmtId="0" fontId="59" fillId="25" borderId="120" xfId="67" applyFont="1" applyFill="1" applyBorder="1" applyAlignment="1">
      <alignment horizontal="right" vertical="center"/>
    </xf>
    <xf numFmtId="0" fontId="59" fillId="25" borderId="0" xfId="67" applyFont="1" applyFill="1" applyBorder="1" applyAlignment="1">
      <alignment horizontal="right" vertical="center"/>
    </xf>
    <xf numFmtId="209" fontId="59" fillId="25" borderId="120" xfId="67" applyNumberFormat="1" applyFont="1" applyFill="1" applyBorder="1" applyAlignment="1">
      <alignment horizontal="right" vertical="center"/>
    </xf>
    <xf numFmtId="209" fontId="59" fillId="25" borderId="0" xfId="67" applyNumberFormat="1" applyFont="1" applyFill="1" applyBorder="1" applyAlignment="1">
      <alignment horizontal="right" vertical="center"/>
    </xf>
    <xf numFmtId="0" fontId="1" fillId="0" borderId="0" xfId="65" applyFont="1">
      <alignment vertical="center"/>
    </xf>
    <xf numFmtId="41" fontId="15" fillId="22" borderId="37" xfId="65" applyNumberFormat="1" applyFill="1" applyBorder="1">
      <alignment vertical="center"/>
    </xf>
    <xf numFmtId="188" fontId="15" fillId="22" borderId="37" xfId="65" applyNumberFormat="1" applyFill="1" applyBorder="1">
      <alignment vertical="center"/>
    </xf>
    <xf numFmtId="41" fontId="15" fillId="22" borderId="37" xfId="121" applyFont="1" applyFill="1" applyBorder="1" applyAlignment="1">
      <alignment horizontal="center" vertical="center"/>
    </xf>
  </cellXfs>
  <cellStyles count="138">
    <cellStyle name=" " xfId="87"/>
    <cellStyle name="??&amp;O?&amp;H?_x0008_??_x0007__x0001__x0001_" xfId="4"/>
    <cellStyle name="19990216" xfId="5"/>
    <cellStyle name="20% - 강조색1 2" xfId="73"/>
    <cellStyle name="20% - 강조색3 2" xfId="6"/>
    <cellStyle name="20% - 강조색4 2" xfId="88"/>
    <cellStyle name="20% - 강조색6 2" xfId="80"/>
    <cellStyle name="40% - 강조색2 2" xfId="7"/>
    <cellStyle name="40% - 강조색3 2" xfId="8"/>
    <cellStyle name="40% - 강조색4 2" xfId="89"/>
    <cellStyle name="60% - 강조색1 2" xfId="9"/>
    <cellStyle name="60% - 강조색3 2" xfId="78"/>
    <cellStyle name="Calc Currency (0)" xfId="10"/>
    <cellStyle name="category" xfId="90"/>
    <cellStyle name="Comma [0]" xfId="91"/>
    <cellStyle name="Comma_ SG&amp;A Bridge " xfId="11"/>
    <cellStyle name="Copied" xfId="12"/>
    <cellStyle name="Currency [0]" xfId="92"/>
    <cellStyle name="Currency_ SG&amp;A Bridge " xfId="13"/>
    <cellStyle name="Dezimal [0]_Compiling Utility Macros" xfId="14"/>
    <cellStyle name="Dezimal_Compiling Utility Macros" xfId="15"/>
    <cellStyle name="Entered" xfId="16"/>
    <cellStyle name="Grey" xfId="17"/>
    <cellStyle name="HEADER" xfId="93"/>
    <cellStyle name="Header1" xfId="18"/>
    <cellStyle name="Header2" xfId="19"/>
    <cellStyle name="Input [yellow]" xfId="20"/>
    <cellStyle name="Model" xfId="94"/>
    <cellStyle name="Normal - Style1" xfId="21"/>
    <cellStyle name="Normal - Style2" xfId="22"/>
    <cellStyle name="Normal - Style3" xfId="23"/>
    <cellStyle name="Normal - Style4" xfId="24"/>
    <cellStyle name="Normal - Style5" xfId="25"/>
    <cellStyle name="Normal - Style6" xfId="26"/>
    <cellStyle name="Normal - Style7" xfId="27"/>
    <cellStyle name="Normal - Style8" xfId="28"/>
    <cellStyle name="Normal_ SG&amp;A Bridge " xfId="29"/>
    <cellStyle name="Percent [2]" xfId="30"/>
    <cellStyle name="RevList" xfId="31"/>
    <cellStyle name="Standard_Anpassen der Amortisation" xfId="32"/>
    <cellStyle name="subhead" xfId="95"/>
    <cellStyle name="Subtotal" xfId="33"/>
    <cellStyle name="update" xfId="34"/>
    <cellStyle name="W?rung [0]_Compiling Utility Macros" xfId="35"/>
    <cellStyle name="W?rung_Compiling Utility Macros" xfId="36"/>
    <cellStyle name="Währung [0]_Compiling Utility Macros" xfId="37"/>
    <cellStyle name="Währung_Compiling Utility Macros" xfId="38"/>
    <cellStyle name="강조색1 2" xfId="39"/>
    <cellStyle name="강조색1 3" xfId="81"/>
    <cellStyle name="강조색2 2" xfId="40"/>
    <cellStyle name="강조색3 2" xfId="41"/>
    <cellStyle name="강조색4 2" xfId="42"/>
    <cellStyle name="강조색5 2" xfId="77"/>
    <cellStyle name="계산 2" xfId="96"/>
    <cellStyle name="금액에원표시" xfId="43"/>
    <cellStyle name="나쁨 2" xfId="44"/>
    <cellStyle name="내스타일" xfId="97"/>
    <cellStyle name="내스타일2" xfId="98"/>
    <cellStyle name="메모 2" xfId="99"/>
    <cellStyle name="백분율 2" xfId="45"/>
    <cellStyle name="백분율 2 2" xfId="100"/>
    <cellStyle name="백분율 2 3" xfId="120"/>
    <cellStyle name="백분율 2 4" xfId="136"/>
    <cellStyle name="백분율 3" xfId="75"/>
    <cellStyle name="백분율 4" xfId="101"/>
    <cellStyle name="백분율 5" xfId="102"/>
    <cellStyle name="보통 2" xfId="82"/>
    <cellStyle name="뷭?_?긚??_1" xfId="103"/>
    <cellStyle name="쉼표 [0]" xfId="121" builtinId="6"/>
    <cellStyle name="쉼표 [0] 10" xfId="128"/>
    <cellStyle name="쉼표 [0] 2" xfId="3"/>
    <cellStyle name="쉼표 [0] 2 2" xfId="46"/>
    <cellStyle name="쉼표 [0] 2 2 2" xfId="47"/>
    <cellStyle name="쉼표 [0] 2 3" xfId="48"/>
    <cellStyle name="쉼표 [0] 2 4" xfId="104"/>
    <cellStyle name="쉼표 [0] 2 5" xfId="135"/>
    <cellStyle name="쉼표 [0] 3" xfId="49"/>
    <cellStyle name="쉼표 [0] 3 2" xfId="50"/>
    <cellStyle name="쉼표 [0] 3 3" xfId="105"/>
    <cellStyle name="쉼표 [0] 3 4" xfId="106"/>
    <cellStyle name="쉼표 [0] 3 5" xfId="126"/>
    <cellStyle name="쉼표 [0] 4" xfId="51"/>
    <cellStyle name="쉼표 [0] 4 2" xfId="107"/>
    <cellStyle name="쉼표 [0] 5" xfId="52"/>
    <cellStyle name="쉼표 [0] 5 2" xfId="53"/>
    <cellStyle name="쉼표 [0] 6" xfId="84"/>
    <cellStyle name="쉼표 [0] 7" xfId="108"/>
    <cellStyle name="쉼표 [0] 8" xfId="133"/>
    <cellStyle name="스타일 1" xfId="54"/>
    <cellStyle name="연결된 셀 2" xfId="55"/>
    <cellStyle name="요약 2" xfId="56"/>
    <cellStyle name="제목" xfId="1" builtinId="15"/>
    <cellStyle name="제목 1 2" xfId="76"/>
    <cellStyle name="제목 1 2 2" xfId="125"/>
    <cellStyle name="제목 2 2" xfId="57"/>
    <cellStyle name="제목 3 2" xfId="58"/>
    <cellStyle name="좋음 2" xfId="59"/>
    <cellStyle name="콤마 [0]_0N-HANDLING" xfId="60"/>
    <cellStyle name="콤마_0N-HANDLING" xfId="61"/>
    <cellStyle name="통화 [0] 2" xfId="62"/>
    <cellStyle name="통화 [0] 2 2" xfId="109"/>
    <cellStyle name="통화 [0] 2 3" xfId="127"/>
    <cellStyle name="통화 [0] 3" xfId="79"/>
    <cellStyle name="표준" xfId="0" builtinId="0"/>
    <cellStyle name="표준 10" xfId="110"/>
    <cellStyle name="표준 11" xfId="111"/>
    <cellStyle name="표준 12" xfId="112"/>
    <cellStyle name="표준 13" xfId="129"/>
    <cellStyle name="표준 14" xfId="132"/>
    <cellStyle name="표준 2" xfId="2"/>
    <cellStyle name="표준 2 2" xfId="63"/>
    <cellStyle name="표준 2 3" xfId="113"/>
    <cellStyle name="표준 2 4" xfId="134"/>
    <cellStyle name="표준 3" xfId="64"/>
    <cellStyle name="표준 3 2" xfId="65"/>
    <cellStyle name="표준 3 3" xfId="114"/>
    <cellStyle name="표준 3 4" xfId="115"/>
    <cellStyle name="표준 3 5" xfId="122"/>
    <cellStyle name="표준 4" xfId="66"/>
    <cellStyle name="표준 4 2" xfId="67"/>
    <cellStyle name="표준 4 3" xfId="116"/>
    <cellStyle name="표준 5" xfId="68"/>
    <cellStyle name="표준 5 2" xfId="86"/>
    <cellStyle name="표준 6" xfId="69"/>
    <cellStyle name="표준 7" xfId="83"/>
    <cellStyle name="표준 8" xfId="117"/>
    <cellStyle name="표준 9" xfId="118"/>
    <cellStyle name="표준_5장_함수" xfId="124"/>
    <cellStyle name="標準_Data_Format_for_HORIBA" xfId="119"/>
    <cellStyle name="표준_Excel_005" xfId="74"/>
    <cellStyle name="표준_Sheet1" xfId="85"/>
    <cellStyle name="표준_엑셀사례중급예제1" xfId="123"/>
    <cellStyle name="표준_제2차 구입도서 주문목록" xfId="70"/>
    <cellStyle name="표준_중급함수" xfId="131"/>
    <cellStyle name="표준_찾기,참조" xfId="137"/>
    <cellStyle name="표준_함수expert예제파일2" xfId="130"/>
    <cellStyle name="항목서식" xfId="71"/>
    <cellStyle name="회색테두리" xfId="72"/>
  </cellStyles>
  <dxfs count="6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externalLink" Target="externalLinks/externalLink1.xml"/><Relationship Id="rId47" Type="http://schemas.openxmlformats.org/officeDocument/2006/relationships/externalLink" Target="externalLinks/externalLink6.xml"/><Relationship Id="rId63" Type="http://schemas.openxmlformats.org/officeDocument/2006/relationships/externalLink" Target="externalLinks/externalLink22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4.xml"/><Relationship Id="rId53" Type="http://schemas.openxmlformats.org/officeDocument/2006/relationships/externalLink" Target="externalLinks/externalLink12.xml"/><Relationship Id="rId58" Type="http://schemas.openxmlformats.org/officeDocument/2006/relationships/externalLink" Target="externalLinks/externalLink17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2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Relationship Id="rId48" Type="http://schemas.openxmlformats.org/officeDocument/2006/relationships/externalLink" Target="externalLinks/externalLink7.xml"/><Relationship Id="rId56" Type="http://schemas.openxmlformats.org/officeDocument/2006/relationships/externalLink" Target="externalLinks/externalLink15.xml"/><Relationship Id="rId64" Type="http://schemas.openxmlformats.org/officeDocument/2006/relationships/externalLink" Target="externalLinks/externalLink23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5.xml"/><Relationship Id="rId59" Type="http://schemas.openxmlformats.org/officeDocument/2006/relationships/externalLink" Target="externalLinks/externalLink18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13.xml"/><Relationship Id="rId62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8.xml"/><Relationship Id="rId57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3.xml"/><Relationship Id="rId52" Type="http://schemas.openxmlformats.org/officeDocument/2006/relationships/externalLink" Target="externalLinks/externalLink11.xml"/><Relationship Id="rId60" Type="http://schemas.openxmlformats.org/officeDocument/2006/relationships/externalLink" Target="externalLinks/externalLink19.xml"/><Relationship Id="rId65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externalLink" Target="externalLinks/externalLink9.xml"/><Relationship Id="rId55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9</xdr:row>
      <xdr:rowOff>47625</xdr:rowOff>
    </xdr:from>
    <xdr:to>
      <xdr:col>13</xdr:col>
      <xdr:colOff>200025</xdr:colOff>
      <xdr:row>18</xdr:row>
      <xdr:rowOff>66675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7591425" y="2114550"/>
          <a:ext cx="2800350" cy="190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ROUND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지정한 자릿수로 반올림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= ROUND(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반올림할 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자릿수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ROUNDUP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지정한 자릿수로 올림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= ROUNDUP(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올림할 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자릿수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ROUNDDOWN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지정한 자릿수로 내림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= ROUNDDOWN(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내림할 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자릿수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0</xdr:rowOff>
    </xdr:from>
    <xdr:to>
      <xdr:col>17</xdr:col>
      <xdr:colOff>247650</xdr:colOff>
      <xdr:row>23</xdr:row>
      <xdr:rowOff>57150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 noChangeArrowheads="1"/>
        </xdr:cNvSpPr>
      </xdr:nvSpPr>
      <xdr:spPr bwMode="auto">
        <a:xfrm>
          <a:off x="8915400" y="2305050"/>
          <a:ext cx="2990850" cy="2781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IF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조건식을 평가하여  평가값이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TRUE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이면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True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일때 값을 표시하고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FALSE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이면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False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일 때의 값을 표시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.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 = IF(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조건식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,True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일때값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,False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일때값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AND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모든 조건 만족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= AND(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1,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2, …)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OR 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 중 하나라도 만족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= OR(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1,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조건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2, …)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비교기호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: &gt;=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이상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&lt;=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이하 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 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&gt; 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초과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&lt; 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미만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           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&lt;&gt; NOT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49822</xdr:colOff>
      <xdr:row>22</xdr:row>
      <xdr:rowOff>114300</xdr:rowOff>
    </xdr:from>
    <xdr:ext cx="5255603" cy="628650"/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SpPr/>
      </xdr:nvSpPr>
      <xdr:spPr>
        <a:xfrm>
          <a:off x="6193447" y="5191125"/>
          <a:ext cx="5255603" cy="6286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altLang="ko-KR" sz="2400" b="1" cap="none" spc="0" baseline="0">
              <a:ln w="31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INDIRECT(</a:t>
          </a:r>
          <a:r>
            <a:rPr lang="ko-KR" altLang="en-US" sz="2400" b="1" cap="none" spc="0" baseline="0">
              <a:ln w="31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셀주소</a:t>
          </a:r>
          <a:r>
            <a:rPr lang="en-US" altLang="ko-KR" sz="2400" b="1" cap="none" spc="0" baseline="0">
              <a:ln w="31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): </a:t>
          </a:r>
          <a:r>
            <a:rPr lang="ko-KR" altLang="en-US" sz="1600" b="1" cap="none" spc="0" baseline="0">
              <a:ln w="3175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셀주소 값으로 반환</a:t>
          </a:r>
          <a:endParaRPr lang="en-US" altLang="ko-KR" sz="1600" b="1" cap="none" spc="0" baseline="0">
            <a:ln w="3175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tx2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85725</xdr:rowOff>
    </xdr:from>
    <xdr:to>
      <xdr:col>5</xdr:col>
      <xdr:colOff>457200</xdr:colOff>
      <xdr:row>1</xdr:row>
      <xdr:rowOff>85725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038EADB-D1C7-4ECB-BB23-25407BDB0238}"/>
            </a:ext>
          </a:extLst>
        </xdr:cNvPr>
        <xdr:cNvSpPr>
          <a:spLocks noChangeShapeType="1"/>
        </xdr:cNvSpPr>
      </xdr:nvSpPr>
      <xdr:spPr bwMode="auto">
        <a:xfrm>
          <a:off x="1276350" y="295275"/>
          <a:ext cx="2609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0</xdr:col>
      <xdr:colOff>638175</xdr:colOff>
      <xdr:row>2</xdr:row>
      <xdr:rowOff>104775</xdr:rowOff>
    </xdr:from>
    <xdr:to>
      <xdr:col>0</xdr:col>
      <xdr:colOff>638175</xdr:colOff>
      <xdr:row>7</xdr:row>
      <xdr:rowOff>200025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4111B98-61FD-4C6A-AA7B-CB9B1B1A4949}"/>
            </a:ext>
          </a:extLst>
        </xdr:cNvPr>
        <xdr:cNvSpPr>
          <a:spLocks noChangeShapeType="1"/>
        </xdr:cNvSpPr>
      </xdr:nvSpPr>
      <xdr:spPr bwMode="auto">
        <a:xfrm>
          <a:off x="638175" y="523875"/>
          <a:ext cx="0" cy="1143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&#44397;&#51228;\My%20Documents\&#47928;&#51228;&#48156;&#49373;&#47928;&#49436;\05&#45380;&#45236;&#48512;&#48512;&#51201;&#54633;\UNITEL~1\DOWN\CPK\Cp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&#48148;&#53461;%20&#54868;&#47732;\DATA\&#54952;&#49457;\&#50641;&#49472;&#51473;&#44553;\&#51473;&#44553;&#51088;&#47308;\&#53080;&#53944;&#47204;\&#54032;&#47588;&#49892;&#5120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BUDGETS\CCP&amp;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48156;&#51089;&#50629;&#46308;\SamSung\20050516_&#46356;&#48260;&#44536;\Test_0505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44256;&#44553;&#50696;&#51228;\&#49892;&#47924;&#44256;&#44553;&#50696;&#51228;\&#51649;&#50896;&#44553;&#50668;&#54788;&#548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&#44608;&#44221;&#51088;\Desktop\&#50641;&#49472;2010%20&#50896;&#44256;\&#50896;&#44256;&#51089;&#49457;&#51204;%20&#51088;&#47308;\&#51088;&#47308;\&#44553;&#50668;&#47749;&#49464;&#49436;-&#50756;&#47308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a\LOCALS~1\Temp\excel_Practical.zip&#50640;%20&#45824;&#54620;%20&#51076;&#49884;%20&#46356;&#47113;&#53552;&#47532;%201\&#50641;&#49472;&#49892;&#47924;&#54876;&#50857;%20&#44053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younsr\&#48148;&#53461;%20&#54868;&#47732;\111\&#54876;&#50857;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/Desktop/1.&#50641;&#49472;&#49892;&#47924;/&#52509;&#51221;&#47532;%20&#54869;&#51064;&#54617;&#4984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user\&#48148;&#53461;%20&#54868;&#47732;\&#48376;&#47928;&#50696;&#51228;\8&#51109;\&#44553;&#50668;&#47749;&#49464;&#49436;_&#51221;&#47148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younsr\&#48148;&#53461;%20&#54868;&#47732;\111\222\eigetu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ster\&#48148;&#53461;%20&#54868;&#47732;\&#44368;&#51116;&#44060;&#54200;&#44288;&#47144;(200409)\&#49324;&#47168;&#47196;%20&#48176;&#50864;&#45716;%20&#50641;&#49472;&#49892;&#47924;\&#49892;&#49845;&#50696;&#51228;\&#48176;&#50676;&#54632;&#4968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51473;&#44553;&#50696;&#51228;\excel1\3&#51068;&#52264;&#49688;&#50629;-&#54617;&#4937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44256;&#44553;&#50696;&#51228;\3&#51068;&#52264;&#49688;&#50629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queena\&#48148;&#53461;%20&#54868;&#47732;\&#50641;&#49472;\&#50641;&#49472;&#51473;&#44553;&#50696;&#51228;\excel1\&#51473;&#44553;&#50696;&#51228;_6&#44368;&#4988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0980;&#51221;\6,000&#50896;&#49884;&#47532;&#51592;(&#50689;&#51652;)\&#49440;&#49373;&#45784;\Part2\CA%20&#48512;&#49436;%20&#51312;&#51649;_&#50756;&#49457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oonJung/Downloads/1&#51109;%20&#50641;&#49472;%20&#44592;&#48376;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ff-Line%20&#44288;&#47144;\&#44053;&#51032;&#51088;&#47308;\&#50629;&#52404;\&#44053;&#51340;&#48324;\Office%20&#44288;&#47144;\Excel%202000%20Step-Up\Chapter05\&#44368;&#51116;&#50808;\&#54632;&#49688;&#51333;&#54633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ducation\MS%20Excel\ver.2003\example\&#49892;&#47924;&#50696;&#51228;&#47196;%20&#44592;&#45733;&#51061;&#55176;&#44592;\_Complete\&#50756;&#49457;-&#44204;&#51201;&#4943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0980;&#51221;\&#49436;&#50872;&#44368;&#50977;&#50672;&#49688;&#50896;\&#49772;&#50868;&#50641;&#49472;\&#50641;&#49472;&#51088;&#47308;\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k"/>
      <sheetName val="DATA(cpk)"/>
      <sheetName val="ppk"/>
      <sheetName val="DATA(ppk)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획대비분석"/>
      <sheetName val="전년대비분석"/>
      <sheetName val="1997계획"/>
      <sheetName val="1997실적"/>
      <sheetName val="1996실적"/>
    </sheetNames>
    <sheetDataSet>
      <sheetData sheetId="0" refreshError="1"/>
      <sheetData sheetId="1" refreshError="1"/>
      <sheetData sheetId="2">
        <row r="5">
          <cell r="D5">
            <v>1200</v>
          </cell>
          <cell r="E5">
            <v>1340</v>
          </cell>
          <cell r="F5">
            <v>1370</v>
          </cell>
          <cell r="G5">
            <v>1500</v>
          </cell>
          <cell r="H5">
            <v>1540</v>
          </cell>
          <cell r="I5">
            <v>1610</v>
          </cell>
          <cell r="J5">
            <v>1690</v>
          </cell>
          <cell r="K5">
            <v>1690</v>
          </cell>
          <cell r="L5">
            <v>1780</v>
          </cell>
          <cell r="M5">
            <v>1900</v>
          </cell>
          <cell r="N5">
            <v>1940</v>
          </cell>
          <cell r="O5">
            <v>2060</v>
          </cell>
        </row>
        <row r="6">
          <cell r="D6">
            <v>1900</v>
          </cell>
          <cell r="E6">
            <v>1930</v>
          </cell>
          <cell r="F6">
            <v>2040</v>
          </cell>
          <cell r="G6">
            <v>2040</v>
          </cell>
          <cell r="H6">
            <v>2140</v>
          </cell>
          <cell r="I6">
            <v>2190</v>
          </cell>
          <cell r="J6">
            <v>2330</v>
          </cell>
          <cell r="K6">
            <v>2350</v>
          </cell>
          <cell r="L6">
            <v>2350</v>
          </cell>
          <cell r="M6">
            <v>2440</v>
          </cell>
          <cell r="N6">
            <v>2530</v>
          </cell>
          <cell r="O6">
            <v>2660</v>
          </cell>
        </row>
        <row r="7">
          <cell r="D7">
            <v>1010</v>
          </cell>
          <cell r="E7">
            <v>1020</v>
          </cell>
          <cell r="F7">
            <v>1030</v>
          </cell>
          <cell r="G7">
            <v>1160</v>
          </cell>
          <cell r="H7">
            <v>1170</v>
          </cell>
          <cell r="I7">
            <v>1210</v>
          </cell>
          <cell r="J7">
            <v>1320</v>
          </cell>
          <cell r="K7">
            <v>1350</v>
          </cell>
          <cell r="L7">
            <v>1440</v>
          </cell>
          <cell r="M7">
            <v>1530</v>
          </cell>
          <cell r="N7">
            <v>1610</v>
          </cell>
          <cell r="O7">
            <v>1710</v>
          </cell>
        </row>
        <row r="8">
          <cell r="D8">
            <v>780</v>
          </cell>
          <cell r="E8">
            <v>870</v>
          </cell>
          <cell r="F8">
            <v>920</v>
          </cell>
          <cell r="G8">
            <v>960</v>
          </cell>
          <cell r="H8">
            <v>1000</v>
          </cell>
          <cell r="I8">
            <v>1090</v>
          </cell>
          <cell r="J8">
            <v>1180</v>
          </cell>
          <cell r="K8">
            <v>1260</v>
          </cell>
          <cell r="L8">
            <v>1400</v>
          </cell>
          <cell r="M8">
            <v>1530</v>
          </cell>
          <cell r="N8">
            <v>1620</v>
          </cell>
          <cell r="O8">
            <v>1700</v>
          </cell>
        </row>
        <row r="9">
          <cell r="D9">
            <v>1670</v>
          </cell>
          <cell r="E9">
            <v>1730</v>
          </cell>
          <cell r="F9">
            <v>1780</v>
          </cell>
          <cell r="G9">
            <v>1780</v>
          </cell>
          <cell r="H9">
            <v>1870</v>
          </cell>
          <cell r="I9">
            <v>1890</v>
          </cell>
          <cell r="J9">
            <v>2020</v>
          </cell>
          <cell r="K9">
            <v>2160</v>
          </cell>
          <cell r="L9">
            <v>2280</v>
          </cell>
          <cell r="M9">
            <v>2410</v>
          </cell>
          <cell r="N9">
            <v>2410</v>
          </cell>
          <cell r="O9">
            <v>2550</v>
          </cell>
        </row>
        <row r="10">
          <cell r="D10">
            <v>900</v>
          </cell>
          <cell r="E10">
            <v>990</v>
          </cell>
          <cell r="F10">
            <v>1030</v>
          </cell>
          <cell r="G10">
            <v>1050</v>
          </cell>
          <cell r="H10">
            <v>1150</v>
          </cell>
          <cell r="I10">
            <v>1290</v>
          </cell>
          <cell r="J10">
            <v>1300</v>
          </cell>
          <cell r="K10">
            <v>1340</v>
          </cell>
          <cell r="L10">
            <v>1410</v>
          </cell>
          <cell r="M10">
            <v>1520</v>
          </cell>
          <cell r="N10">
            <v>1600</v>
          </cell>
          <cell r="O10">
            <v>1600</v>
          </cell>
        </row>
        <row r="11">
          <cell r="D11">
            <v>1300</v>
          </cell>
          <cell r="E11">
            <v>1320</v>
          </cell>
          <cell r="F11">
            <v>1400</v>
          </cell>
          <cell r="G11">
            <v>1500</v>
          </cell>
          <cell r="H11">
            <v>1640</v>
          </cell>
          <cell r="I11">
            <v>1760</v>
          </cell>
          <cell r="J11">
            <v>1830</v>
          </cell>
          <cell r="K11">
            <v>1830</v>
          </cell>
          <cell r="L11">
            <v>1840</v>
          </cell>
          <cell r="M11">
            <v>1980</v>
          </cell>
          <cell r="N11">
            <v>2040</v>
          </cell>
          <cell r="O11">
            <v>2130</v>
          </cell>
        </row>
        <row r="12">
          <cell r="D12">
            <v>5670</v>
          </cell>
          <cell r="E12">
            <v>5730</v>
          </cell>
          <cell r="F12">
            <v>5790</v>
          </cell>
          <cell r="G12">
            <v>5830</v>
          </cell>
          <cell r="H12">
            <v>5860</v>
          </cell>
          <cell r="I12">
            <v>5880</v>
          </cell>
          <cell r="J12">
            <v>6010</v>
          </cell>
          <cell r="K12">
            <v>6130</v>
          </cell>
          <cell r="L12">
            <v>6190</v>
          </cell>
          <cell r="M12">
            <v>6230</v>
          </cell>
          <cell r="N12">
            <v>6300</v>
          </cell>
          <cell r="O12">
            <v>6350</v>
          </cell>
        </row>
        <row r="13">
          <cell r="D13">
            <v>4370</v>
          </cell>
          <cell r="E13">
            <v>4480</v>
          </cell>
          <cell r="F13">
            <v>4530</v>
          </cell>
          <cell r="G13">
            <v>4640</v>
          </cell>
          <cell r="H13">
            <v>4650</v>
          </cell>
          <cell r="I13">
            <v>4690</v>
          </cell>
          <cell r="J13">
            <v>4710</v>
          </cell>
          <cell r="K13">
            <v>4710</v>
          </cell>
          <cell r="L13">
            <v>4810</v>
          </cell>
          <cell r="M13">
            <v>4850</v>
          </cell>
          <cell r="N13">
            <v>4890</v>
          </cell>
          <cell r="O13">
            <v>4930</v>
          </cell>
        </row>
        <row r="14">
          <cell r="D14">
            <v>7830</v>
          </cell>
          <cell r="E14">
            <v>7900</v>
          </cell>
          <cell r="F14">
            <v>7910</v>
          </cell>
          <cell r="G14">
            <v>8010</v>
          </cell>
          <cell r="H14">
            <v>8060</v>
          </cell>
          <cell r="I14">
            <v>8110</v>
          </cell>
          <cell r="J14">
            <v>8130</v>
          </cell>
          <cell r="K14">
            <v>8270</v>
          </cell>
          <cell r="L14">
            <v>8290</v>
          </cell>
          <cell r="M14">
            <v>8320</v>
          </cell>
          <cell r="N14">
            <v>8340</v>
          </cell>
          <cell r="O14">
            <v>8370</v>
          </cell>
        </row>
      </sheetData>
      <sheetData sheetId="3">
        <row r="5">
          <cell r="D5">
            <v>1250</v>
          </cell>
          <cell r="E5">
            <v>1330</v>
          </cell>
          <cell r="F5">
            <v>1360</v>
          </cell>
          <cell r="G5">
            <v>1490</v>
          </cell>
          <cell r="H5">
            <v>1600</v>
          </cell>
          <cell r="I5">
            <v>1640</v>
          </cell>
          <cell r="J5">
            <v>1770</v>
          </cell>
          <cell r="K5">
            <v>1910</v>
          </cell>
          <cell r="L5">
            <v>2030</v>
          </cell>
          <cell r="M5">
            <v>2090</v>
          </cell>
          <cell r="N5">
            <v>2150</v>
          </cell>
          <cell r="O5">
            <v>2170</v>
          </cell>
        </row>
        <row r="6">
          <cell r="D6">
            <v>1850</v>
          </cell>
          <cell r="E6">
            <v>1970</v>
          </cell>
          <cell r="F6">
            <v>2090</v>
          </cell>
          <cell r="G6">
            <v>2220</v>
          </cell>
          <cell r="H6">
            <v>2250</v>
          </cell>
          <cell r="I6">
            <v>2280</v>
          </cell>
          <cell r="J6">
            <v>2300</v>
          </cell>
          <cell r="K6">
            <v>2370</v>
          </cell>
          <cell r="L6">
            <v>2450</v>
          </cell>
          <cell r="M6">
            <v>2580</v>
          </cell>
          <cell r="N6">
            <v>2630</v>
          </cell>
          <cell r="O6">
            <v>2730</v>
          </cell>
        </row>
        <row r="7">
          <cell r="D7">
            <v>1000</v>
          </cell>
          <cell r="E7">
            <v>1130</v>
          </cell>
          <cell r="F7">
            <v>1200</v>
          </cell>
          <cell r="G7">
            <v>1210</v>
          </cell>
          <cell r="H7">
            <v>1280</v>
          </cell>
          <cell r="I7">
            <v>1310</v>
          </cell>
          <cell r="J7">
            <v>1330</v>
          </cell>
          <cell r="K7">
            <v>1390</v>
          </cell>
          <cell r="L7">
            <v>1470</v>
          </cell>
          <cell r="M7">
            <v>1470</v>
          </cell>
          <cell r="N7">
            <v>1490</v>
          </cell>
          <cell r="O7">
            <v>1630</v>
          </cell>
        </row>
        <row r="8">
          <cell r="D8">
            <v>800</v>
          </cell>
          <cell r="E8">
            <v>930</v>
          </cell>
          <cell r="F8">
            <v>1010</v>
          </cell>
          <cell r="G8">
            <v>1030</v>
          </cell>
          <cell r="H8">
            <v>1160</v>
          </cell>
          <cell r="I8">
            <v>1280</v>
          </cell>
          <cell r="J8">
            <v>1420</v>
          </cell>
          <cell r="K8">
            <v>1510</v>
          </cell>
          <cell r="L8">
            <v>1620</v>
          </cell>
          <cell r="M8">
            <v>1700</v>
          </cell>
          <cell r="N8">
            <v>1840</v>
          </cell>
          <cell r="O8">
            <v>1910</v>
          </cell>
        </row>
        <row r="9">
          <cell r="D9">
            <v>1700</v>
          </cell>
          <cell r="E9">
            <v>1750</v>
          </cell>
          <cell r="F9">
            <v>1800</v>
          </cell>
          <cell r="G9">
            <v>1820</v>
          </cell>
          <cell r="H9">
            <v>1860</v>
          </cell>
          <cell r="I9">
            <v>1860</v>
          </cell>
          <cell r="J9">
            <v>1980</v>
          </cell>
          <cell r="K9">
            <v>2000</v>
          </cell>
          <cell r="L9">
            <v>2130</v>
          </cell>
          <cell r="M9">
            <v>2260</v>
          </cell>
          <cell r="N9">
            <v>2400</v>
          </cell>
          <cell r="O9">
            <v>2540</v>
          </cell>
        </row>
        <row r="10">
          <cell r="D10">
            <v>850</v>
          </cell>
          <cell r="E10">
            <v>870</v>
          </cell>
          <cell r="F10">
            <v>980</v>
          </cell>
          <cell r="G10">
            <v>1000</v>
          </cell>
          <cell r="H10">
            <v>1040</v>
          </cell>
          <cell r="I10">
            <v>1150</v>
          </cell>
          <cell r="J10">
            <v>1190</v>
          </cell>
          <cell r="K10">
            <v>1210</v>
          </cell>
          <cell r="L10">
            <v>1330</v>
          </cell>
          <cell r="M10">
            <v>1380</v>
          </cell>
          <cell r="N10">
            <v>1490</v>
          </cell>
          <cell r="O10">
            <v>1510</v>
          </cell>
        </row>
        <row r="11">
          <cell r="D11">
            <v>1500</v>
          </cell>
          <cell r="E11">
            <v>1640</v>
          </cell>
          <cell r="F11">
            <v>1670</v>
          </cell>
          <cell r="G11">
            <v>1800</v>
          </cell>
          <cell r="H11">
            <v>1920</v>
          </cell>
          <cell r="I11">
            <v>1990</v>
          </cell>
          <cell r="J11">
            <v>2030</v>
          </cell>
          <cell r="K11">
            <v>2120</v>
          </cell>
          <cell r="L11">
            <v>2250</v>
          </cell>
          <cell r="M11">
            <v>2340</v>
          </cell>
          <cell r="N11">
            <v>2390</v>
          </cell>
          <cell r="O11">
            <v>2410</v>
          </cell>
        </row>
        <row r="12">
          <cell r="D12">
            <v>5600</v>
          </cell>
          <cell r="E12">
            <v>5680</v>
          </cell>
          <cell r="F12">
            <v>5730</v>
          </cell>
          <cell r="G12">
            <v>5730</v>
          </cell>
          <cell r="H12">
            <v>5750</v>
          </cell>
          <cell r="I12">
            <v>5790</v>
          </cell>
          <cell r="J12">
            <v>5860</v>
          </cell>
          <cell r="K12">
            <v>5880</v>
          </cell>
          <cell r="L12">
            <v>5990</v>
          </cell>
          <cell r="M12">
            <v>6090</v>
          </cell>
          <cell r="N12">
            <v>6200</v>
          </cell>
          <cell r="O12">
            <v>6200</v>
          </cell>
        </row>
        <row r="13">
          <cell r="D13">
            <v>4300</v>
          </cell>
          <cell r="E13">
            <v>4420</v>
          </cell>
          <cell r="F13">
            <v>4560</v>
          </cell>
          <cell r="G13">
            <v>4570</v>
          </cell>
          <cell r="H13">
            <v>4670</v>
          </cell>
          <cell r="I13">
            <v>4690</v>
          </cell>
          <cell r="J13">
            <v>4820</v>
          </cell>
          <cell r="K13">
            <v>4870</v>
          </cell>
          <cell r="L13">
            <v>5010</v>
          </cell>
          <cell r="M13">
            <v>5080</v>
          </cell>
          <cell r="N13">
            <v>5220</v>
          </cell>
          <cell r="O13">
            <v>5310</v>
          </cell>
        </row>
        <row r="14">
          <cell r="D14">
            <v>7000</v>
          </cell>
          <cell r="E14">
            <v>7140</v>
          </cell>
          <cell r="F14">
            <v>7280</v>
          </cell>
          <cell r="G14">
            <v>7300</v>
          </cell>
          <cell r="H14">
            <v>7320</v>
          </cell>
          <cell r="I14">
            <v>7420</v>
          </cell>
          <cell r="J14">
            <v>7500</v>
          </cell>
          <cell r="K14">
            <v>7640</v>
          </cell>
          <cell r="L14">
            <v>7690</v>
          </cell>
          <cell r="M14">
            <v>7700</v>
          </cell>
          <cell r="N14">
            <v>7700</v>
          </cell>
          <cell r="O14">
            <v>7760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급여표"/>
      <sheetName val="Sheet3"/>
    </sheetNames>
    <sheetDataSet>
      <sheetData sheetId="0"/>
      <sheetData sheetId="1" refreshError="1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</row>
        <row r="3">
          <cell r="B3" t="str">
            <v>사원</v>
          </cell>
          <cell r="C3" t="str">
            <v>사원</v>
          </cell>
          <cell r="D3" t="str">
            <v>대리</v>
          </cell>
          <cell r="E3" t="str">
            <v>대리</v>
          </cell>
          <cell r="F3" t="str">
            <v>과장</v>
          </cell>
          <cell r="G3" t="str">
            <v>과장</v>
          </cell>
          <cell r="H3" t="str">
            <v>차장</v>
          </cell>
          <cell r="I3" t="str">
            <v>차장</v>
          </cell>
          <cell r="J3" t="str">
            <v>부장</v>
          </cell>
          <cell r="K3" t="str">
            <v>부장</v>
          </cell>
        </row>
        <row r="4">
          <cell r="B4">
            <v>633400</v>
          </cell>
          <cell r="C4">
            <v>766300</v>
          </cell>
          <cell r="D4">
            <v>989200</v>
          </cell>
          <cell r="E4">
            <v>1250000</v>
          </cell>
          <cell r="F4">
            <v>1388900</v>
          </cell>
          <cell r="G4">
            <v>1693700</v>
          </cell>
          <cell r="H4">
            <v>1998500</v>
          </cell>
          <cell r="I4">
            <v>2303300</v>
          </cell>
          <cell r="J4">
            <v>2608100</v>
          </cell>
          <cell r="K4">
            <v>2912900</v>
          </cell>
        </row>
        <row r="5">
          <cell r="B5">
            <v>653500</v>
          </cell>
          <cell r="C5">
            <v>792600</v>
          </cell>
          <cell r="D5">
            <v>798900</v>
          </cell>
          <cell r="E5">
            <v>1280000</v>
          </cell>
          <cell r="F5">
            <v>1428900</v>
          </cell>
          <cell r="G5">
            <v>1743700</v>
          </cell>
          <cell r="H5">
            <v>2058500</v>
          </cell>
          <cell r="I5">
            <v>2373300</v>
          </cell>
          <cell r="J5">
            <v>2688100</v>
          </cell>
          <cell r="K5">
            <v>3002900</v>
          </cell>
        </row>
        <row r="6">
          <cell r="B6">
            <v>673600</v>
          </cell>
          <cell r="C6">
            <v>818900</v>
          </cell>
          <cell r="D6">
            <v>1020000</v>
          </cell>
          <cell r="E6">
            <v>1310000</v>
          </cell>
          <cell r="F6">
            <v>1468900</v>
          </cell>
          <cell r="G6">
            <v>1793700</v>
          </cell>
          <cell r="H6">
            <v>2118500</v>
          </cell>
          <cell r="I6">
            <v>2443300</v>
          </cell>
          <cell r="J6">
            <v>2768100</v>
          </cell>
          <cell r="K6">
            <v>3092900</v>
          </cell>
        </row>
        <row r="7">
          <cell r="B7">
            <v>693700</v>
          </cell>
          <cell r="C7">
            <v>845200</v>
          </cell>
          <cell r="D7">
            <v>1342600</v>
          </cell>
          <cell r="E7">
            <v>1340000</v>
          </cell>
          <cell r="F7">
            <v>1508900</v>
          </cell>
          <cell r="G7">
            <v>1843700</v>
          </cell>
          <cell r="H7">
            <v>2178500</v>
          </cell>
          <cell r="I7">
            <v>2513300</v>
          </cell>
          <cell r="J7">
            <v>2848100</v>
          </cell>
          <cell r="K7">
            <v>3182900</v>
          </cell>
        </row>
        <row r="8">
          <cell r="B8">
            <v>713800</v>
          </cell>
          <cell r="C8">
            <v>871500</v>
          </cell>
          <cell r="D8">
            <v>1465000</v>
          </cell>
          <cell r="E8">
            <v>1370000</v>
          </cell>
          <cell r="F8">
            <v>1548900</v>
          </cell>
          <cell r="G8">
            <v>1893700</v>
          </cell>
          <cell r="H8">
            <v>2238500</v>
          </cell>
          <cell r="I8">
            <v>2583300</v>
          </cell>
          <cell r="J8">
            <v>2928100</v>
          </cell>
          <cell r="K8">
            <v>3272900</v>
          </cell>
        </row>
        <row r="9">
          <cell r="B9">
            <v>733900</v>
          </cell>
          <cell r="C9">
            <v>897800</v>
          </cell>
          <cell r="D9">
            <v>2151100</v>
          </cell>
          <cell r="E9">
            <v>1400000</v>
          </cell>
          <cell r="F9">
            <v>1588900</v>
          </cell>
          <cell r="G9">
            <v>1943700</v>
          </cell>
          <cell r="H9">
            <v>2298500</v>
          </cell>
          <cell r="I9">
            <v>2653300</v>
          </cell>
          <cell r="J9">
            <v>3008100</v>
          </cell>
          <cell r="K9">
            <v>3362900</v>
          </cell>
        </row>
        <row r="10">
          <cell r="B10">
            <v>754000</v>
          </cell>
          <cell r="C10">
            <v>924100</v>
          </cell>
          <cell r="D10">
            <v>2837200</v>
          </cell>
          <cell r="E10">
            <v>1430000</v>
          </cell>
          <cell r="F10">
            <v>1628900</v>
          </cell>
          <cell r="G10">
            <v>1993700</v>
          </cell>
          <cell r="H10">
            <v>2358500</v>
          </cell>
          <cell r="I10">
            <v>2723300</v>
          </cell>
          <cell r="J10">
            <v>3088100</v>
          </cell>
          <cell r="K10">
            <v>3452900</v>
          </cell>
        </row>
        <row r="11">
          <cell r="B11">
            <v>774100</v>
          </cell>
          <cell r="C11">
            <v>950400</v>
          </cell>
          <cell r="D11">
            <v>3523300</v>
          </cell>
          <cell r="E11">
            <v>1460000</v>
          </cell>
          <cell r="F11">
            <v>1668900</v>
          </cell>
          <cell r="G11">
            <v>2043700</v>
          </cell>
          <cell r="H11">
            <v>2418500</v>
          </cell>
          <cell r="I11">
            <v>2793300</v>
          </cell>
          <cell r="J11">
            <v>3168100</v>
          </cell>
          <cell r="K11">
            <v>3542900</v>
          </cell>
        </row>
        <row r="12">
          <cell r="B12">
            <v>794200</v>
          </cell>
          <cell r="C12">
            <v>976700</v>
          </cell>
          <cell r="D12">
            <v>4209400</v>
          </cell>
          <cell r="E12">
            <v>1490000</v>
          </cell>
          <cell r="F12">
            <v>1708900</v>
          </cell>
          <cell r="G12">
            <v>2093700</v>
          </cell>
          <cell r="H12">
            <v>2478500</v>
          </cell>
          <cell r="I12">
            <v>2863300</v>
          </cell>
          <cell r="J12">
            <v>3248100</v>
          </cell>
          <cell r="K12">
            <v>3632900</v>
          </cell>
        </row>
        <row r="13">
          <cell r="B13">
            <v>814300</v>
          </cell>
          <cell r="C13">
            <v>1003000</v>
          </cell>
          <cell r="D13">
            <v>4895500</v>
          </cell>
          <cell r="E13">
            <v>1520000</v>
          </cell>
          <cell r="F13">
            <v>1748900</v>
          </cell>
          <cell r="G13">
            <v>2143700</v>
          </cell>
          <cell r="H13">
            <v>2538500</v>
          </cell>
          <cell r="I13">
            <v>2933300</v>
          </cell>
          <cell r="J13">
            <v>3328100</v>
          </cell>
          <cell r="K13">
            <v>3722900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원현황"/>
      <sheetName val="지급테이블"/>
      <sheetName val="공제테이블"/>
      <sheetName val="명세서"/>
    </sheetNames>
    <sheetDataSet>
      <sheetData sheetId="0">
        <row r="1">
          <cell r="A1" t="str">
            <v>사원번호</v>
          </cell>
          <cell r="B1" t="str">
            <v>성  명</v>
          </cell>
          <cell r="C1" t="str">
            <v>부  서</v>
          </cell>
          <cell r="D1" t="str">
            <v>직  책</v>
          </cell>
          <cell r="E1" t="str">
            <v>급</v>
          </cell>
          <cell r="F1" t="str">
            <v>호</v>
          </cell>
          <cell r="G1" t="str">
            <v>부양가족</v>
          </cell>
        </row>
        <row r="2">
          <cell r="A2">
            <v>214324</v>
          </cell>
          <cell r="B2" t="str">
            <v>고수진</v>
          </cell>
          <cell r="C2" t="str">
            <v>품질관리부</v>
          </cell>
          <cell r="D2" t="str">
            <v>사원</v>
          </cell>
          <cell r="E2">
            <v>6</v>
          </cell>
          <cell r="F2">
            <v>2</v>
          </cell>
          <cell r="G2">
            <v>3</v>
          </cell>
        </row>
        <row r="3">
          <cell r="A3">
            <v>140993</v>
          </cell>
          <cell r="B3" t="str">
            <v>공성식</v>
          </cell>
          <cell r="C3" t="str">
            <v>연구소</v>
          </cell>
          <cell r="D3" t="str">
            <v>차장</v>
          </cell>
          <cell r="E3">
            <v>2</v>
          </cell>
          <cell r="F3">
            <v>5</v>
          </cell>
          <cell r="G3">
            <v>1</v>
          </cell>
        </row>
        <row r="4">
          <cell r="A4">
            <v>43940</v>
          </cell>
          <cell r="B4" t="str">
            <v>권기윤</v>
          </cell>
          <cell r="C4" t="str">
            <v>품질보증</v>
          </cell>
          <cell r="D4" t="str">
            <v>사원</v>
          </cell>
          <cell r="E4">
            <v>6</v>
          </cell>
          <cell r="F4">
            <v>2</v>
          </cell>
          <cell r="G4">
            <v>3</v>
          </cell>
        </row>
        <row r="5">
          <cell r="A5">
            <v>216360</v>
          </cell>
          <cell r="B5" t="str">
            <v>권해옥</v>
          </cell>
          <cell r="C5" t="str">
            <v>연구소</v>
          </cell>
          <cell r="D5" t="str">
            <v>대리</v>
          </cell>
          <cell r="E5">
            <v>4</v>
          </cell>
          <cell r="F5">
            <v>3</v>
          </cell>
          <cell r="G5">
            <v>2</v>
          </cell>
        </row>
        <row r="6">
          <cell r="A6">
            <v>213599</v>
          </cell>
          <cell r="B6" t="str">
            <v>권형석</v>
          </cell>
          <cell r="C6" t="str">
            <v>개발실</v>
          </cell>
          <cell r="D6" t="str">
            <v>대리</v>
          </cell>
          <cell r="E6">
            <v>4</v>
          </cell>
          <cell r="F6">
            <v>3</v>
          </cell>
          <cell r="G6">
            <v>1</v>
          </cell>
        </row>
        <row r="7">
          <cell r="A7">
            <v>116612</v>
          </cell>
          <cell r="B7" t="str">
            <v>김나영</v>
          </cell>
          <cell r="C7" t="str">
            <v>생산부</v>
          </cell>
          <cell r="D7" t="str">
            <v>과장</v>
          </cell>
          <cell r="E7">
            <v>3</v>
          </cell>
          <cell r="F7">
            <v>4</v>
          </cell>
          <cell r="G7">
            <v>3</v>
          </cell>
        </row>
        <row r="8">
          <cell r="A8">
            <v>215469</v>
          </cell>
          <cell r="B8" t="str">
            <v>김동영</v>
          </cell>
          <cell r="C8" t="str">
            <v>설계실</v>
          </cell>
          <cell r="D8" t="str">
            <v>대리</v>
          </cell>
          <cell r="E8">
            <v>4</v>
          </cell>
          <cell r="F8">
            <v>3</v>
          </cell>
          <cell r="G8">
            <v>1</v>
          </cell>
        </row>
        <row r="9">
          <cell r="A9">
            <v>16976</v>
          </cell>
          <cell r="B9" t="str">
            <v>김동옥</v>
          </cell>
          <cell r="C9" t="str">
            <v>연구소</v>
          </cell>
          <cell r="D9" t="str">
            <v>부장</v>
          </cell>
          <cell r="E9">
            <v>1</v>
          </cell>
          <cell r="F9">
            <v>6</v>
          </cell>
          <cell r="G9">
            <v>3</v>
          </cell>
        </row>
        <row r="10">
          <cell r="A10">
            <v>130211</v>
          </cell>
          <cell r="B10" t="str">
            <v>김미성</v>
          </cell>
          <cell r="C10" t="str">
            <v>해외지사</v>
          </cell>
          <cell r="D10" t="str">
            <v>부장</v>
          </cell>
          <cell r="E10">
            <v>1</v>
          </cell>
          <cell r="F10">
            <v>6</v>
          </cell>
          <cell r="G10">
            <v>1</v>
          </cell>
        </row>
        <row r="11">
          <cell r="A11">
            <v>140936</v>
          </cell>
          <cell r="B11" t="str">
            <v>김미진</v>
          </cell>
          <cell r="C11" t="str">
            <v>품질관리부</v>
          </cell>
          <cell r="D11" t="str">
            <v>과장</v>
          </cell>
          <cell r="E11">
            <v>3</v>
          </cell>
          <cell r="F11">
            <v>4</v>
          </cell>
          <cell r="G11">
            <v>3</v>
          </cell>
        </row>
        <row r="12">
          <cell r="A12">
            <v>139171</v>
          </cell>
          <cell r="B12" t="str">
            <v>김병주</v>
          </cell>
          <cell r="C12" t="str">
            <v>개발실</v>
          </cell>
          <cell r="D12" t="str">
            <v>과장</v>
          </cell>
          <cell r="E12">
            <v>3</v>
          </cell>
          <cell r="F12">
            <v>4</v>
          </cell>
          <cell r="G12">
            <v>2</v>
          </cell>
        </row>
        <row r="13">
          <cell r="A13">
            <v>218016</v>
          </cell>
          <cell r="B13" t="str">
            <v>김소영</v>
          </cell>
          <cell r="C13" t="str">
            <v>품질관리부</v>
          </cell>
          <cell r="D13" t="str">
            <v>대리</v>
          </cell>
          <cell r="E13">
            <v>4</v>
          </cell>
          <cell r="F13">
            <v>3</v>
          </cell>
          <cell r="G13">
            <v>1</v>
          </cell>
        </row>
        <row r="14">
          <cell r="A14">
            <v>213966</v>
          </cell>
          <cell r="B14" t="str">
            <v>김운식</v>
          </cell>
          <cell r="C14" t="str">
            <v>품질관리부</v>
          </cell>
          <cell r="D14" t="str">
            <v>대리</v>
          </cell>
          <cell r="E14">
            <v>4</v>
          </cell>
          <cell r="F14">
            <v>3</v>
          </cell>
          <cell r="G14">
            <v>2</v>
          </cell>
        </row>
        <row r="15">
          <cell r="A15">
            <v>58449</v>
          </cell>
          <cell r="B15" t="str">
            <v>김원선</v>
          </cell>
          <cell r="C15" t="str">
            <v>사업부</v>
          </cell>
          <cell r="D15" t="str">
            <v>사원</v>
          </cell>
          <cell r="E15">
            <v>6</v>
          </cell>
          <cell r="F15">
            <v>2</v>
          </cell>
          <cell r="G15">
            <v>2</v>
          </cell>
        </row>
        <row r="16">
          <cell r="A16">
            <v>109630</v>
          </cell>
          <cell r="B16" t="str">
            <v>김재주</v>
          </cell>
          <cell r="C16" t="str">
            <v>생산부</v>
          </cell>
          <cell r="D16" t="str">
            <v>과장</v>
          </cell>
          <cell r="E16">
            <v>3</v>
          </cell>
          <cell r="F16">
            <v>4</v>
          </cell>
          <cell r="G16">
            <v>2</v>
          </cell>
        </row>
        <row r="17">
          <cell r="A17">
            <v>115975</v>
          </cell>
          <cell r="B17" t="str">
            <v>김진욱</v>
          </cell>
          <cell r="C17" t="str">
            <v>생산부</v>
          </cell>
          <cell r="D17" t="str">
            <v>과장</v>
          </cell>
          <cell r="E17">
            <v>3</v>
          </cell>
          <cell r="F17">
            <v>4</v>
          </cell>
          <cell r="G17">
            <v>2</v>
          </cell>
        </row>
        <row r="18">
          <cell r="A18">
            <v>113454</v>
          </cell>
          <cell r="B18" t="str">
            <v>김현기</v>
          </cell>
          <cell r="C18" t="str">
            <v>생산부</v>
          </cell>
          <cell r="D18" t="str">
            <v>부장</v>
          </cell>
          <cell r="E18">
            <v>1</v>
          </cell>
          <cell r="F18">
            <v>4</v>
          </cell>
          <cell r="G18">
            <v>3</v>
          </cell>
        </row>
        <row r="19">
          <cell r="A19">
            <v>117034</v>
          </cell>
          <cell r="B19" t="str">
            <v>나형수</v>
          </cell>
          <cell r="C19" t="str">
            <v>생산부</v>
          </cell>
          <cell r="D19" t="str">
            <v>차장</v>
          </cell>
          <cell r="E19">
            <v>2</v>
          </cell>
          <cell r="F19">
            <v>5</v>
          </cell>
          <cell r="G19">
            <v>3</v>
          </cell>
        </row>
        <row r="20">
          <cell r="A20">
            <v>135652</v>
          </cell>
          <cell r="B20" t="str">
            <v>남택영</v>
          </cell>
          <cell r="C20" t="str">
            <v>생산부</v>
          </cell>
          <cell r="D20" t="str">
            <v>부장</v>
          </cell>
          <cell r="E20">
            <v>1</v>
          </cell>
          <cell r="F20">
            <v>6</v>
          </cell>
          <cell r="G20">
            <v>1</v>
          </cell>
        </row>
        <row r="21">
          <cell r="A21">
            <v>25863</v>
          </cell>
          <cell r="B21" t="str">
            <v>명문수</v>
          </cell>
          <cell r="C21" t="str">
            <v>품질관리부</v>
          </cell>
          <cell r="D21" t="str">
            <v>차장</v>
          </cell>
          <cell r="E21">
            <v>2</v>
          </cell>
          <cell r="F21">
            <v>5</v>
          </cell>
          <cell r="G21">
            <v>1</v>
          </cell>
        </row>
        <row r="22">
          <cell r="A22">
            <v>211794</v>
          </cell>
          <cell r="B22" t="str">
            <v>박선호</v>
          </cell>
          <cell r="C22" t="str">
            <v>생산부</v>
          </cell>
          <cell r="D22" t="str">
            <v>대리</v>
          </cell>
          <cell r="E22">
            <v>4</v>
          </cell>
          <cell r="F22">
            <v>3</v>
          </cell>
          <cell r="G22">
            <v>3</v>
          </cell>
        </row>
        <row r="23">
          <cell r="A23">
            <v>14328</v>
          </cell>
          <cell r="B23" t="str">
            <v>박정현</v>
          </cell>
          <cell r="C23" t="str">
            <v>사업부</v>
          </cell>
          <cell r="D23" t="str">
            <v>부장</v>
          </cell>
          <cell r="E23">
            <v>1</v>
          </cell>
          <cell r="F23">
            <v>6</v>
          </cell>
          <cell r="G23">
            <v>2</v>
          </cell>
        </row>
        <row r="24">
          <cell r="A24">
            <v>115145</v>
          </cell>
          <cell r="B24" t="str">
            <v>박형배</v>
          </cell>
          <cell r="C24" t="str">
            <v>생산부</v>
          </cell>
          <cell r="D24" t="str">
            <v>과장</v>
          </cell>
          <cell r="E24">
            <v>3</v>
          </cell>
          <cell r="F24">
            <v>5</v>
          </cell>
          <cell r="G24">
            <v>1</v>
          </cell>
        </row>
        <row r="25">
          <cell r="A25">
            <v>136035</v>
          </cell>
          <cell r="B25" t="str">
            <v>배경식</v>
          </cell>
          <cell r="C25" t="str">
            <v>품질관리부</v>
          </cell>
          <cell r="D25" t="str">
            <v>과장</v>
          </cell>
          <cell r="E25">
            <v>3</v>
          </cell>
          <cell r="F25">
            <v>4</v>
          </cell>
          <cell r="G25">
            <v>1</v>
          </cell>
        </row>
        <row r="26">
          <cell r="A26">
            <v>132328</v>
          </cell>
          <cell r="B26" t="str">
            <v>석영진</v>
          </cell>
          <cell r="C26" t="str">
            <v>생산부</v>
          </cell>
          <cell r="D26" t="str">
            <v>과장</v>
          </cell>
          <cell r="E26">
            <v>3</v>
          </cell>
          <cell r="F26">
            <v>4</v>
          </cell>
          <cell r="G26">
            <v>1</v>
          </cell>
        </row>
        <row r="27">
          <cell r="A27">
            <v>130574</v>
          </cell>
          <cell r="B27" t="str">
            <v>선경희</v>
          </cell>
          <cell r="C27" t="str">
            <v>품질관리부</v>
          </cell>
          <cell r="D27" t="str">
            <v>부장</v>
          </cell>
          <cell r="E27">
            <v>1</v>
          </cell>
          <cell r="F27">
            <v>6</v>
          </cell>
          <cell r="G27">
            <v>1</v>
          </cell>
        </row>
        <row r="28">
          <cell r="A28">
            <v>105257</v>
          </cell>
          <cell r="B28" t="str">
            <v>성환식</v>
          </cell>
          <cell r="C28" t="str">
            <v>생산부</v>
          </cell>
          <cell r="D28" t="str">
            <v>과장</v>
          </cell>
          <cell r="E28">
            <v>3</v>
          </cell>
          <cell r="F28">
            <v>4</v>
          </cell>
          <cell r="G28">
            <v>1</v>
          </cell>
        </row>
        <row r="29">
          <cell r="A29">
            <v>130713</v>
          </cell>
          <cell r="B29" t="str">
            <v>송대규</v>
          </cell>
          <cell r="C29" t="str">
            <v>연구소</v>
          </cell>
          <cell r="D29" t="str">
            <v>과장</v>
          </cell>
          <cell r="E29">
            <v>3</v>
          </cell>
          <cell r="F29">
            <v>4</v>
          </cell>
          <cell r="G29">
            <v>1</v>
          </cell>
        </row>
        <row r="30">
          <cell r="A30">
            <v>217987</v>
          </cell>
          <cell r="B30" t="str">
            <v>송부희</v>
          </cell>
          <cell r="C30" t="str">
            <v>품질관리부</v>
          </cell>
          <cell r="D30" t="str">
            <v>대리</v>
          </cell>
          <cell r="E30">
            <v>4</v>
          </cell>
          <cell r="F30">
            <v>3</v>
          </cell>
          <cell r="G30">
            <v>1</v>
          </cell>
        </row>
        <row r="31">
          <cell r="A31">
            <v>211279</v>
          </cell>
          <cell r="B31" t="str">
            <v>신문정</v>
          </cell>
          <cell r="C31" t="str">
            <v>생산부</v>
          </cell>
          <cell r="D31" t="str">
            <v>대리</v>
          </cell>
          <cell r="E31">
            <v>4</v>
          </cell>
          <cell r="F31">
            <v>3</v>
          </cell>
          <cell r="G31">
            <v>3</v>
          </cell>
        </row>
        <row r="32">
          <cell r="A32">
            <v>218399</v>
          </cell>
          <cell r="B32" t="str">
            <v>심성법</v>
          </cell>
          <cell r="C32" t="str">
            <v>품질관리부</v>
          </cell>
          <cell r="D32" t="str">
            <v>사원</v>
          </cell>
          <cell r="E32">
            <v>6</v>
          </cell>
          <cell r="F32">
            <v>2</v>
          </cell>
          <cell r="G32">
            <v>1</v>
          </cell>
        </row>
        <row r="33">
          <cell r="A33">
            <v>33927</v>
          </cell>
          <cell r="B33" t="str">
            <v>양창호</v>
          </cell>
          <cell r="C33" t="str">
            <v>생산부</v>
          </cell>
          <cell r="D33" t="str">
            <v>사원</v>
          </cell>
          <cell r="E33">
            <v>5</v>
          </cell>
          <cell r="F33">
            <v>2</v>
          </cell>
          <cell r="G33">
            <v>1</v>
          </cell>
        </row>
        <row r="34">
          <cell r="A34">
            <v>114262</v>
          </cell>
          <cell r="B34" t="str">
            <v>어은숙</v>
          </cell>
          <cell r="C34" t="str">
            <v>생산부</v>
          </cell>
          <cell r="D34" t="str">
            <v>차장</v>
          </cell>
          <cell r="E34">
            <v>2</v>
          </cell>
          <cell r="F34">
            <v>5</v>
          </cell>
          <cell r="G34">
            <v>1</v>
          </cell>
        </row>
        <row r="35">
          <cell r="A35">
            <v>213938</v>
          </cell>
          <cell r="B35" t="str">
            <v>오현정</v>
          </cell>
          <cell r="C35" t="str">
            <v>생산부</v>
          </cell>
          <cell r="D35" t="str">
            <v>대리</v>
          </cell>
          <cell r="E35">
            <v>4</v>
          </cell>
          <cell r="F35">
            <v>3</v>
          </cell>
          <cell r="G35">
            <v>2</v>
          </cell>
        </row>
        <row r="36">
          <cell r="A36">
            <v>115496</v>
          </cell>
          <cell r="B36" t="str">
            <v>윤미옥</v>
          </cell>
          <cell r="C36" t="str">
            <v>해외지사</v>
          </cell>
          <cell r="D36" t="str">
            <v>과장</v>
          </cell>
          <cell r="E36">
            <v>3</v>
          </cell>
          <cell r="F36">
            <v>4</v>
          </cell>
          <cell r="G36">
            <v>2</v>
          </cell>
        </row>
        <row r="37">
          <cell r="A37">
            <v>36887</v>
          </cell>
          <cell r="B37" t="str">
            <v>윤치원</v>
          </cell>
          <cell r="C37" t="str">
            <v>해외지사</v>
          </cell>
          <cell r="D37" t="str">
            <v>사원</v>
          </cell>
          <cell r="E37">
            <v>5</v>
          </cell>
          <cell r="F37">
            <v>2</v>
          </cell>
          <cell r="G37">
            <v>3</v>
          </cell>
        </row>
        <row r="38">
          <cell r="A38">
            <v>141555</v>
          </cell>
          <cell r="B38" t="str">
            <v>은창우</v>
          </cell>
          <cell r="C38" t="str">
            <v>품질관리부</v>
          </cell>
          <cell r="D38" t="str">
            <v>과장</v>
          </cell>
          <cell r="E38">
            <v>3</v>
          </cell>
          <cell r="F38">
            <v>4</v>
          </cell>
          <cell r="G38">
            <v>3</v>
          </cell>
        </row>
        <row r="39">
          <cell r="A39">
            <v>134182</v>
          </cell>
          <cell r="B39" t="str">
            <v>이광순</v>
          </cell>
          <cell r="C39" t="str">
            <v>기판반</v>
          </cell>
          <cell r="D39" t="str">
            <v>과장</v>
          </cell>
          <cell r="E39">
            <v>3</v>
          </cell>
          <cell r="F39">
            <v>4</v>
          </cell>
          <cell r="G39">
            <v>1</v>
          </cell>
        </row>
        <row r="40">
          <cell r="A40">
            <v>109597</v>
          </cell>
          <cell r="B40" t="str">
            <v>이기락</v>
          </cell>
          <cell r="C40" t="str">
            <v>생산부</v>
          </cell>
          <cell r="D40" t="str">
            <v>과장</v>
          </cell>
          <cell r="E40">
            <v>3</v>
          </cell>
          <cell r="F40">
            <v>4</v>
          </cell>
          <cell r="G40">
            <v>2</v>
          </cell>
        </row>
        <row r="41">
          <cell r="A41">
            <v>217807</v>
          </cell>
          <cell r="B41" t="str">
            <v>이랑</v>
          </cell>
          <cell r="C41" t="str">
            <v>품질관리부</v>
          </cell>
          <cell r="D41" t="str">
            <v>대리</v>
          </cell>
          <cell r="E41">
            <v>4</v>
          </cell>
          <cell r="F41">
            <v>3</v>
          </cell>
          <cell r="G41">
            <v>2</v>
          </cell>
        </row>
        <row r="42">
          <cell r="A42">
            <v>215640</v>
          </cell>
          <cell r="B42" t="str">
            <v>이영낭</v>
          </cell>
          <cell r="C42" t="str">
            <v>품질관리부</v>
          </cell>
          <cell r="D42" t="str">
            <v>대리</v>
          </cell>
          <cell r="E42">
            <v>4</v>
          </cell>
          <cell r="F42">
            <v>3</v>
          </cell>
          <cell r="G42">
            <v>3</v>
          </cell>
        </row>
        <row r="43">
          <cell r="A43">
            <v>215406</v>
          </cell>
          <cell r="B43" t="str">
            <v>이영선</v>
          </cell>
          <cell r="C43" t="str">
            <v>생산부</v>
          </cell>
          <cell r="D43" t="str">
            <v>대리</v>
          </cell>
          <cell r="E43">
            <v>4</v>
          </cell>
          <cell r="F43">
            <v>3</v>
          </cell>
          <cell r="G43">
            <v>1</v>
          </cell>
        </row>
        <row r="44">
          <cell r="A44">
            <v>109248</v>
          </cell>
          <cell r="B44" t="str">
            <v>이인영</v>
          </cell>
          <cell r="C44" t="str">
            <v>생산부</v>
          </cell>
          <cell r="D44" t="str">
            <v>차장</v>
          </cell>
          <cell r="E44">
            <v>2</v>
          </cell>
          <cell r="F44">
            <v>5</v>
          </cell>
          <cell r="G44">
            <v>2</v>
          </cell>
        </row>
        <row r="45">
          <cell r="A45">
            <v>109226</v>
          </cell>
          <cell r="B45" t="str">
            <v>이진수</v>
          </cell>
          <cell r="C45" t="str">
            <v>생산부</v>
          </cell>
          <cell r="D45" t="str">
            <v>과장</v>
          </cell>
          <cell r="E45">
            <v>3</v>
          </cell>
          <cell r="F45">
            <v>4</v>
          </cell>
          <cell r="G45">
            <v>1</v>
          </cell>
        </row>
        <row r="46">
          <cell r="A46">
            <v>33300</v>
          </cell>
          <cell r="B46" t="str">
            <v>이창일</v>
          </cell>
          <cell r="C46" t="str">
            <v>연구소</v>
          </cell>
          <cell r="D46" t="str">
            <v>사원</v>
          </cell>
          <cell r="E46">
            <v>5</v>
          </cell>
          <cell r="F46">
            <v>2</v>
          </cell>
          <cell r="G46">
            <v>1</v>
          </cell>
        </row>
        <row r="47">
          <cell r="A47">
            <v>214369</v>
          </cell>
          <cell r="B47" t="str">
            <v>이하나</v>
          </cell>
          <cell r="C47" t="str">
            <v>생산부</v>
          </cell>
          <cell r="D47" t="str">
            <v>사원</v>
          </cell>
          <cell r="E47">
            <v>6</v>
          </cell>
          <cell r="F47">
            <v>2</v>
          </cell>
          <cell r="G47">
            <v>1</v>
          </cell>
        </row>
        <row r="48">
          <cell r="A48">
            <v>216088</v>
          </cell>
          <cell r="B48" t="str">
            <v>장옥경</v>
          </cell>
          <cell r="C48" t="str">
            <v>생산부</v>
          </cell>
          <cell r="D48" t="str">
            <v>대리</v>
          </cell>
          <cell r="E48">
            <v>4</v>
          </cell>
          <cell r="F48">
            <v>3</v>
          </cell>
          <cell r="G48">
            <v>3</v>
          </cell>
        </row>
        <row r="49">
          <cell r="A49">
            <v>213170</v>
          </cell>
          <cell r="B49" t="str">
            <v>전미희</v>
          </cell>
          <cell r="C49" t="str">
            <v>생산부</v>
          </cell>
          <cell r="D49" t="str">
            <v>대리</v>
          </cell>
          <cell r="E49">
            <v>4</v>
          </cell>
          <cell r="F49">
            <v>3</v>
          </cell>
          <cell r="G49">
            <v>2</v>
          </cell>
        </row>
        <row r="50">
          <cell r="A50">
            <v>138694</v>
          </cell>
          <cell r="B50" t="str">
            <v>전용태</v>
          </cell>
          <cell r="C50" t="str">
            <v>개발실</v>
          </cell>
          <cell r="D50" t="str">
            <v>과장</v>
          </cell>
          <cell r="E50">
            <v>3</v>
          </cell>
          <cell r="F50">
            <v>4</v>
          </cell>
          <cell r="G50">
            <v>2</v>
          </cell>
        </row>
        <row r="51">
          <cell r="A51">
            <v>136449</v>
          </cell>
          <cell r="B51" t="str">
            <v>정대식</v>
          </cell>
          <cell r="C51" t="str">
            <v>품질관리부</v>
          </cell>
          <cell r="D51" t="str">
            <v>과장</v>
          </cell>
          <cell r="E51">
            <v>3</v>
          </cell>
          <cell r="F51">
            <v>4</v>
          </cell>
          <cell r="G51">
            <v>2</v>
          </cell>
        </row>
        <row r="52">
          <cell r="A52">
            <v>141281</v>
          </cell>
          <cell r="B52" t="str">
            <v>조선자</v>
          </cell>
          <cell r="C52" t="str">
            <v>자재</v>
          </cell>
          <cell r="D52" t="str">
            <v>과장</v>
          </cell>
          <cell r="E52">
            <v>3</v>
          </cell>
          <cell r="F52">
            <v>4</v>
          </cell>
          <cell r="G52">
            <v>2</v>
          </cell>
        </row>
        <row r="53">
          <cell r="A53">
            <v>133252</v>
          </cell>
          <cell r="B53" t="str">
            <v>조수남</v>
          </cell>
          <cell r="C53" t="str">
            <v>품질보증계</v>
          </cell>
          <cell r="D53" t="str">
            <v>과장</v>
          </cell>
          <cell r="E53">
            <v>3</v>
          </cell>
          <cell r="F53">
            <v>4</v>
          </cell>
          <cell r="G53">
            <v>3</v>
          </cell>
        </row>
        <row r="54">
          <cell r="A54">
            <v>211860</v>
          </cell>
          <cell r="B54" t="str">
            <v>조형준</v>
          </cell>
          <cell r="C54" t="str">
            <v>설계실</v>
          </cell>
          <cell r="D54" t="str">
            <v>대리</v>
          </cell>
          <cell r="E54">
            <v>4</v>
          </cell>
          <cell r="F54">
            <v>3</v>
          </cell>
          <cell r="G54">
            <v>3</v>
          </cell>
        </row>
        <row r="55">
          <cell r="A55">
            <v>141117</v>
          </cell>
          <cell r="B55" t="str">
            <v>최광림</v>
          </cell>
          <cell r="C55" t="str">
            <v>품질관리부</v>
          </cell>
          <cell r="D55" t="str">
            <v>과장</v>
          </cell>
          <cell r="E55">
            <v>3</v>
          </cell>
          <cell r="F55">
            <v>4</v>
          </cell>
          <cell r="G55">
            <v>1</v>
          </cell>
        </row>
        <row r="56">
          <cell r="A56">
            <v>215531</v>
          </cell>
          <cell r="B56" t="str">
            <v>최은희</v>
          </cell>
          <cell r="C56" t="str">
            <v>품질관리부</v>
          </cell>
          <cell r="D56" t="str">
            <v>대리</v>
          </cell>
          <cell r="E56">
            <v>4</v>
          </cell>
          <cell r="F56">
            <v>3</v>
          </cell>
          <cell r="G56">
            <v>3</v>
          </cell>
        </row>
        <row r="57">
          <cell r="A57">
            <v>42925</v>
          </cell>
          <cell r="B57" t="str">
            <v>최재웅</v>
          </cell>
          <cell r="C57" t="str">
            <v>생산부</v>
          </cell>
          <cell r="D57" t="str">
            <v>사원</v>
          </cell>
          <cell r="E57">
            <v>5</v>
          </cell>
          <cell r="F57">
            <v>2</v>
          </cell>
          <cell r="G57">
            <v>3</v>
          </cell>
        </row>
        <row r="58">
          <cell r="A58">
            <v>213434</v>
          </cell>
          <cell r="B58" t="str">
            <v>최지현</v>
          </cell>
          <cell r="C58" t="str">
            <v>생산부</v>
          </cell>
          <cell r="D58" t="str">
            <v>대리</v>
          </cell>
          <cell r="E58">
            <v>4</v>
          </cell>
          <cell r="F58">
            <v>3</v>
          </cell>
          <cell r="G58">
            <v>1</v>
          </cell>
        </row>
        <row r="59">
          <cell r="A59">
            <v>130054</v>
          </cell>
          <cell r="B59" t="str">
            <v>홍경우</v>
          </cell>
          <cell r="C59" t="str">
            <v>해외협력</v>
          </cell>
          <cell r="D59" t="str">
            <v>차장</v>
          </cell>
          <cell r="E59">
            <v>2</v>
          </cell>
          <cell r="F59">
            <v>5</v>
          </cell>
          <cell r="G59">
            <v>3</v>
          </cell>
        </row>
        <row r="60">
          <cell r="A60">
            <v>133879</v>
          </cell>
          <cell r="B60" t="str">
            <v>황윤기</v>
          </cell>
          <cell r="C60" t="str">
            <v>품질관리부</v>
          </cell>
          <cell r="D60" t="str">
            <v>과장</v>
          </cell>
          <cell r="E60">
            <v>3</v>
          </cell>
          <cell r="F60">
            <v>4</v>
          </cell>
          <cell r="G60">
            <v>3</v>
          </cell>
        </row>
      </sheetData>
      <sheetData sheetId="1">
        <row r="4">
          <cell r="B4">
            <v>1503390</v>
          </cell>
          <cell r="C4">
            <v>1532170</v>
          </cell>
          <cell r="D4">
            <v>1563520</v>
          </cell>
          <cell r="E4">
            <v>15914520</v>
          </cell>
          <cell r="F4">
            <v>1627480</v>
          </cell>
          <cell r="G4">
            <v>1657110</v>
          </cell>
        </row>
        <row r="5">
          <cell r="B5">
            <v>1309920</v>
          </cell>
          <cell r="C5">
            <v>1337760</v>
          </cell>
          <cell r="D5">
            <v>1368550</v>
          </cell>
          <cell r="E5">
            <v>1399670</v>
          </cell>
          <cell r="F5">
            <v>1423210</v>
          </cell>
          <cell r="G5">
            <v>1454630</v>
          </cell>
        </row>
        <row r="6">
          <cell r="B6">
            <v>1146960</v>
          </cell>
          <cell r="C6">
            <v>1165020</v>
          </cell>
          <cell r="D6">
            <v>1188690</v>
          </cell>
          <cell r="E6">
            <v>1212760</v>
          </cell>
          <cell r="F6">
            <v>1236100</v>
          </cell>
          <cell r="G6">
            <v>1261490</v>
          </cell>
        </row>
        <row r="7">
          <cell r="B7">
            <v>993580</v>
          </cell>
          <cell r="C7">
            <v>1014780</v>
          </cell>
          <cell r="D7">
            <v>1030680</v>
          </cell>
          <cell r="E7">
            <v>1050660</v>
          </cell>
          <cell r="F7">
            <v>1072770</v>
          </cell>
          <cell r="G7">
            <v>1092980</v>
          </cell>
        </row>
        <row r="8">
          <cell r="B8">
            <v>858480</v>
          </cell>
          <cell r="C8">
            <v>875470</v>
          </cell>
          <cell r="D8">
            <v>888990</v>
          </cell>
          <cell r="E8">
            <v>909610</v>
          </cell>
          <cell r="F8">
            <v>926090</v>
          </cell>
          <cell r="G8">
            <v>943100</v>
          </cell>
        </row>
        <row r="9">
          <cell r="B9">
            <v>739090</v>
          </cell>
          <cell r="C9">
            <v>752800</v>
          </cell>
          <cell r="D9">
            <v>767880</v>
          </cell>
          <cell r="E9">
            <v>782900</v>
          </cell>
          <cell r="F9">
            <v>798440</v>
          </cell>
          <cell r="G9">
            <v>811300</v>
          </cell>
        </row>
        <row r="14">
          <cell r="B14" t="str">
            <v>부장</v>
          </cell>
          <cell r="C14" t="str">
            <v>차장</v>
          </cell>
          <cell r="D14" t="str">
            <v>과장</v>
          </cell>
          <cell r="E14" t="str">
            <v>대리</v>
          </cell>
          <cell r="F14" t="str">
            <v>사원</v>
          </cell>
        </row>
        <row r="15">
          <cell r="B15">
            <v>400000</v>
          </cell>
          <cell r="C15">
            <v>300000</v>
          </cell>
          <cell r="D15">
            <v>200000</v>
          </cell>
          <cell r="E15">
            <v>100000</v>
          </cell>
          <cell r="F15">
            <v>0</v>
          </cell>
        </row>
      </sheetData>
      <sheetData sheetId="2"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H4">
            <v>700000</v>
          </cell>
          <cell r="L4">
            <v>700000</v>
          </cell>
        </row>
        <row r="5">
          <cell r="B5">
            <v>1000000</v>
          </cell>
          <cell r="C5">
            <v>0</v>
          </cell>
          <cell r="D5">
            <v>0</v>
          </cell>
          <cell r="E5">
            <v>0</v>
          </cell>
          <cell r="H5">
            <v>730000</v>
          </cell>
          <cell r="L5">
            <v>800000</v>
          </cell>
        </row>
        <row r="6">
          <cell r="B6">
            <v>1005000</v>
          </cell>
          <cell r="C6">
            <v>0</v>
          </cell>
          <cell r="D6">
            <v>0</v>
          </cell>
          <cell r="E6">
            <v>0</v>
          </cell>
          <cell r="H6">
            <v>790000</v>
          </cell>
          <cell r="L6">
            <v>900000</v>
          </cell>
        </row>
        <row r="7">
          <cell r="B7">
            <v>1010000</v>
          </cell>
          <cell r="C7">
            <v>0</v>
          </cell>
          <cell r="D7">
            <v>0</v>
          </cell>
          <cell r="E7">
            <v>0</v>
          </cell>
          <cell r="H7">
            <v>850000</v>
          </cell>
          <cell r="L7">
            <v>1000000</v>
          </cell>
        </row>
        <row r="8">
          <cell r="B8">
            <v>1015000</v>
          </cell>
          <cell r="C8">
            <v>0</v>
          </cell>
          <cell r="D8">
            <v>0</v>
          </cell>
          <cell r="E8">
            <v>0</v>
          </cell>
          <cell r="H8">
            <v>920000</v>
          </cell>
          <cell r="L8">
            <v>1100000</v>
          </cell>
        </row>
        <row r="9">
          <cell r="B9">
            <v>1020000</v>
          </cell>
          <cell r="C9">
            <v>0</v>
          </cell>
          <cell r="D9">
            <v>0</v>
          </cell>
          <cell r="E9">
            <v>0</v>
          </cell>
          <cell r="H9">
            <v>990000</v>
          </cell>
          <cell r="L9">
            <v>1200000</v>
          </cell>
        </row>
        <row r="10">
          <cell r="B10">
            <v>1025000</v>
          </cell>
          <cell r="C10">
            <v>0</v>
          </cell>
          <cell r="D10">
            <v>0</v>
          </cell>
          <cell r="E10">
            <v>0</v>
          </cell>
          <cell r="H10">
            <v>1060000</v>
          </cell>
          <cell r="L10">
            <v>1300000</v>
          </cell>
        </row>
        <row r="11">
          <cell r="B11">
            <v>1030000</v>
          </cell>
          <cell r="C11">
            <v>0</v>
          </cell>
          <cell r="D11">
            <v>0</v>
          </cell>
          <cell r="E11">
            <v>0</v>
          </cell>
          <cell r="H11">
            <v>1130000</v>
          </cell>
          <cell r="L11">
            <v>1400000</v>
          </cell>
        </row>
        <row r="12">
          <cell r="B12">
            <v>1035000</v>
          </cell>
          <cell r="C12">
            <v>0</v>
          </cell>
          <cell r="D12">
            <v>0</v>
          </cell>
          <cell r="E12">
            <v>0</v>
          </cell>
          <cell r="H12">
            <v>1210000</v>
          </cell>
          <cell r="L12">
            <v>1500000</v>
          </cell>
        </row>
        <row r="13">
          <cell r="B13">
            <v>1040000</v>
          </cell>
          <cell r="C13">
            <v>0</v>
          </cell>
          <cell r="D13">
            <v>0</v>
          </cell>
          <cell r="E13">
            <v>0</v>
          </cell>
          <cell r="H13">
            <v>1290000</v>
          </cell>
          <cell r="L13">
            <v>1600000</v>
          </cell>
        </row>
        <row r="14">
          <cell r="B14">
            <v>1045000</v>
          </cell>
          <cell r="C14">
            <v>30</v>
          </cell>
          <cell r="D14">
            <v>0</v>
          </cell>
          <cell r="E14">
            <v>0</v>
          </cell>
          <cell r="H14">
            <v>1380000</v>
          </cell>
          <cell r="L14">
            <v>1700000</v>
          </cell>
        </row>
        <row r="15">
          <cell r="B15">
            <v>1050000</v>
          </cell>
          <cell r="C15">
            <v>120</v>
          </cell>
          <cell r="D15">
            <v>0</v>
          </cell>
          <cell r="E15">
            <v>0</v>
          </cell>
          <cell r="H15">
            <v>1470000</v>
          </cell>
          <cell r="L15">
            <v>18300000</v>
          </cell>
        </row>
        <row r="16">
          <cell r="B16">
            <v>1055000</v>
          </cell>
          <cell r="C16">
            <v>210</v>
          </cell>
          <cell r="D16">
            <v>0</v>
          </cell>
          <cell r="E16">
            <v>0</v>
          </cell>
          <cell r="H16">
            <v>1560000</v>
          </cell>
          <cell r="L16">
            <v>19800000</v>
          </cell>
        </row>
        <row r="17">
          <cell r="B17">
            <v>1060000</v>
          </cell>
          <cell r="C17">
            <v>300</v>
          </cell>
          <cell r="D17">
            <v>0</v>
          </cell>
          <cell r="E17">
            <v>0</v>
          </cell>
          <cell r="H17">
            <v>1660000</v>
          </cell>
        </row>
        <row r="18">
          <cell r="B18">
            <v>1065000</v>
          </cell>
          <cell r="C18">
            <v>390</v>
          </cell>
          <cell r="D18">
            <v>0</v>
          </cell>
          <cell r="E18">
            <v>0</v>
          </cell>
          <cell r="H18">
            <v>1760000</v>
          </cell>
        </row>
        <row r="19">
          <cell r="B19">
            <v>1070000</v>
          </cell>
          <cell r="C19">
            <v>480</v>
          </cell>
          <cell r="D19">
            <v>0</v>
          </cell>
          <cell r="E19">
            <v>0</v>
          </cell>
          <cell r="H19">
            <v>1860000</v>
          </cell>
        </row>
        <row r="20">
          <cell r="B20">
            <v>1075000</v>
          </cell>
          <cell r="C20">
            <v>570</v>
          </cell>
          <cell r="D20">
            <v>0</v>
          </cell>
          <cell r="E20">
            <v>0</v>
          </cell>
          <cell r="H20">
            <v>1970000</v>
          </cell>
        </row>
        <row r="21">
          <cell r="B21">
            <v>1080000</v>
          </cell>
          <cell r="C21">
            <v>660</v>
          </cell>
          <cell r="D21">
            <v>0</v>
          </cell>
          <cell r="E21">
            <v>0</v>
          </cell>
        </row>
        <row r="22">
          <cell r="B22">
            <v>1085000</v>
          </cell>
          <cell r="C22">
            <v>750</v>
          </cell>
          <cell r="D22">
            <v>0</v>
          </cell>
          <cell r="E22">
            <v>0</v>
          </cell>
        </row>
        <row r="23">
          <cell r="B23">
            <v>1090000</v>
          </cell>
          <cell r="C23">
            <v>840</v>
          </cell>
          <cell r="D23">
            <v>0</v>
          </cell>
          <cell r="E23">
            <v>0</v>
          </cell>
        </row>
        <row r="24">
          <cell r="B24">
            <v>1095000</v>
          </cell>
          <cell r="C24">
            <v>820</v>
          </cell>
          <cell r="D24">
            <v>0</v>
          </cell>
          <cell r="E24">
            <v>0</v>
          </cell>
        </row>
        <row r="25">
          <cell r="B25">
            <v>1100000</v>
          </cell>
          <cell r="C25">
            <v>910</v>
          </cell>
          <cell r="D25">
            <v>0</v>
          </cell>
          <cell r="E25">
            <v>0</v>
          </cell>
        </row>
        <row r="26">
          <cell r="B26">
            <v>1105000</v>
          </cell>
          <cell r="C26">
            <v>1000</v>
          </cell>
          <cell r="D26">
            <v>0</v>
          </cell>
          <cell r="E26">
            <v>0</v>
          </cell>
        </row>
        <row r="27">
          <cell r="B27">
            <v>1110000</v>
          </cell>
          <cell r="C27">
            <v>1090</v>
          </cell>
          <cell r="D27">
            <v>0</v>
          </cell>
          <cell r="E27">
            <v>0</v>
          </cell>
        </row>
        <row r="28">
          <cell r="B28">
            <v>1115000</v>
          </cell>
          <cell r="C28">
            <v>1180</v>
          </cell>
          <cell r="D28">
            <v>0</v>
          </cell>
          <cell r="E28">
            <v>0</v>
          </cell>
        </row>
        <row r="29">
          <cell r="B29">
            <v>1120000</v>
          </cell>
          <cell r="C29">
            <v>1270</v>
          </cell>
          <cell r="D29">
            <v>0</v>
          </cell>
          <cell r="E29">
            <v>0</v>
          </cell>
        </row>
        <row r="30">
          <cell r="B30">
            <v>1125000</v>
          </cell>
          <cell r="C30">
            <v>1360</v>
          </cell>
          <cell r="D30">
            <v>0</v>
          </cell>
          <cell r="E30">
            <v>0</v>
          </cell>
        </row>
        <row r="31">
          <cell r="B31">
            <v>1130000</v>
          </cell>
          <cell r="C31">
            <v>1450</v>
          </cell>
          <cell r="D31">
            <v>0</v>
          </cell>
          <cell r="E31">
            <v>0</v>
          </cell>
        </row>
        <row r="32">
          <cell r="B32">
            <v>1135000</v>
          </cell>
          <cell r="C32">
            <v>1540</v>
          </cell>
          <cell r="D32">
            <v>40</v>
          </cell>
          <cell r="E32">
            <v>0</v>
          </cell>
        </row>
        <row r="33">
          <cell r="B33">
            <v>1140000</v>
          </cell>
          <cell r="C33">
            <v>1630</v>
          </cell>
          <cell r="D33">
            <v>130</v>
          </cell>
          <cell r="E33">
            <v>0</v>
          </cell>
        </row>
        <row r="34">
          <cell r="B34">
            <v>1145000</v>
          </cell>
          <cell r="C34">
            <v>1720</v>
          </cell>
          <cell r="D34">
            <v>220</v>
          </cell>
          <cell r="E34">
            <v>0</v>
          </cell>
        </row>
        <row r="35">
          <cell r="B35">
            <v>1150000</v>
          </cell>
          <cell r="C35">
            <v>1810</v>
          </cell>
          <cell r="D35">
            <v>310</v>
          </cell>
          <cell r="E35">
            <v>0</v>
          </cell>
        </row>
        <row r="36">
          <cell r="B36">
            <v>1155000</v>
          </cell>
          <cell r="C36">
            <v>1900</v>
          </cell>
          <cell r="D36">
            <v>400</v>
          </cell>
          <cell r="E36">
            <v>0</v>
          </cell>
        </row>
        <row r="37">
          <cell r="B37">
            <v>1160000</v>
          </cell>
          <cell r="C37">
            <v>1990</v>
          </cell>
          <cell r="D37">
            <v>490</v>
          </cell>
          <cell r="E37">
            <v>0</v>
          </cell>
        </row>
        <row r="38">
          <cell r="B38">
            <v>1165000</v>
          </cell>
          <cell r="C38">
            <v>2080</v>
          </cell>
          <cell r="D38">
            <v>580</v>
          </cell>
          <cell r="E38">
            <v>0</v>
          </cell>
        </row>
        <row r="39">
          <cell r="B39">
            <v>1170000</v>
          </cell>
          <cell r="C39">
            <v>2040</v>
          </cell>
          <cell r="D39">
            <v>540</v>
          </cell>
          <cell r="E39">
            <v>0</v>
          </cell>
        </row>
        <row r="40">
          <cell r="B40">
            <v>1175000</v>
          </cell>
          <cell r="C40">
            <v>2130</v>
          </cell>
          <cell r="D40">
            <v>630</v>
          </cell>
          <cell r="E40">
            <v>0</v>
          </cell>
        </row>
        <row r="41">
          <cell r="B41">
            <v>1180000</v>
          </cell>
          <cell r="C41">
            <v>2220</v>
          </cell>
          <cell r="D41">
            <v>720</v>
          </cell>
          <cell r="E41">
            <v>0</v>
          </cell>
        </row>
        <row r="42">
          <cell r="B42">
            <v>1185000</v>
          </cell>
          <cell r="C42">
            <v>2310</v>
          </cell>
          <cell r="D42">
            <v>810</v>
          </cell>
          <cell r="E42">
            <v>0</v>
          </cell>
        </row>
        <row r="43">
          <cell r="B43">
            <v>1190000</v>
          </cell>
          <cell r="C43">
            <v>2400</v>
          </cell>
          <cell r="D43">
            <v>900</v>
          </cell>
          <cell r="E43">
            <v>0</v>
          </cell>
        </row>
        <row r="44">
          <cell r="B44">
            <v>1195000</v>
          </cell>
          <cell r="C44">
            <v>2490</v>
          </cell>
          <cell r="D44">
            <v>990</v>
          </cell>
          <cell r="E44">
            <v>0</v>
          </cell>
        </row>
        <row r="45">
          <cell r="B45">
            <v>1200000</v>
          </cell>
          <cell r="C45">
            <v>2580</v>
          </cell>
          <cell r="D45">
            <v>1080</v>
          </cell>
          <cell r="E45">
            <v>0</v>
          </cell>
        </row>
        <row r="46">
          <cell r="B46">
            <v>1205000</v>
          </cell>
          <cell r="C46">
            <v>2670</v>
          </cell>
          <cell r="D46">
            <v>1170</v>
          </cell>
          <cell r="E46">
            <v>0</v>
          </cell>
        </row>
        <row r="47">
          <cell r="B47">
            <v>1210000</v>
          </cell>
          <cell r="C47">
            <v>2760</v>
          </cell>
          <cell r="D47">
            <v>1260</v>
          </cell>
          <cell r="E47">
            <v>0</v>
          </cell>
        </row>
        <row r="48">
          <cell r="B48">
            <v>1215000</v>
          </cell>
          <cell r="C48">
            <v>2850</v>
          </cell>
          <cell r="D48">
            <v>1350</v>
          </cell>
          <cell r="E48">
            <v>0</v>
          </cell>
        </row>
        <row r="49">
          <cell r="B49">
            <v>1220000</v>
          </cell>
          <cell r="C49">
            <v>2940</v>
          </cell>
          <cell r="D49">
            <v>1440</v>
          </cell>
          <cell r="E49">
            <v>0</v>
          </cell>
        </row>
        <row r="50">
          <cell r="B50">
            <v>1225000</v>
          </cell>
          <cell r="C50">
            <v>3030</v>
          </cell>
          <cell r="D50">
            <v>1530</v>
          </cell>
          <cell r="E50">
            <v>0</v>
          </cell>
        </row>
        <row r="51">
          <cell r="B51">
            <v>1230000</v>
          </cell>
          <cell r="C51">
            <v>3120</v>
          </cell>
          <cell r="D51">
            <v>1620</v>
          </cell>
          <cell r="E51">
            <v>0</v>
          </cell>
        </row>
        <row r="52">
          <cell r="B52">
            <v>1235000</v>
          </cell>
          <cell r="C52">
            <v>3210</v>
          </cell>
          <cell r="D52">
            <v>1710</v>
          </cell>
          <cell r="E52">
            <v>0</v>
          </cell>
        </row>
        <row r="53">
          <cell r="B53">
            <v>1240000</v>
          </cell>
          <cell r="C53">
            <v>3300</v>
          </cell>
          <cell r="D53">
            <v>1800</v>
          </cell>
          <cell r="E53">
            <v>0</v>
          </cell>
        </row>
        <row r="54">
          <cell r="B54">
            <v>1245000</v>
          </cell>
          <cell r="C54">
            <v>3390</v>
          </cell>
          <cell r="D54">
            <v>1890</v>
          </cell>
          <cell r="E54">
            <v>0</v>
          </cell>
        </row>
        <row r="55">
          <cell r="B55">
            <v>1250000</v>
          </cell>
          <cell r="C55">
            <v>3380</v>
          </cell>
          <cell r="D55">
            <v>1880</v>
          </cell>
          <cell r="E55">
            <v>0</v>
          </cell>
        </row>
        <row r="56">
          <cell r="B56">
            <v>1255000</v>
          </cell>
          <cell r="C56">
            <v>3530</v>
          </cell>
          <cell r="D56">
            <v>2030</v>
          </cell>
          <cell r="E56">
            <v>0</v>
          </cell>
        </row>
        <row r="57">
          <cell r="B57">
            <v>1260000</v>
          </cell>
          <cell r="C57">
            <v>3690</v>
          </cell>
          <cell r="D57">
            <v>2190</v>
          </cell>
          <cell r="E57">
            <v>0</v>
          </cell>
        </row>
        <row r="58">
          <cell r="B58">
            <v>1265000</v>
          </cell>
          <cell r="C58">
            <v>3840</v>
          </cell>
          <cell r="D58">
            <v>2340</v>
          </cell>
          <cell r="E58">
            <v>0</v>
          </cell>
        </row>
        <row r="59">
          <cell r="B59">
            <v>1270000</v>
          </cell>
          <cell r="C59">
            <v>3990</v>
          </cell>
          <cell r="D59">
            <v>2490</v>
          </cell>
          <cell r="E59">
            <v>0</v>
          </cell>
        </row>
        <row r="60">
          <cell r="B60">
            <v>1275000</v>
          </cell>
          <cell r="C60">
            <v>4150</v>
          </cell>
          <cell r="D60">
            <v>2650</v>
          </cell>
          <cell r="E60">
            <v>0</v>
          </cell>
        </row>
        <row r="61">
          <cell r="B61">
            <v>1280000</v>
          </cell>
          <cell r="C61">
            <v>4300</v>
          </cell>
          <cell r="D61">
            <v>2800</v>
          </cell>
          <cell r="E61">
            <v>0</v>
          </cell>
        </row>
        <row r="62">
          <cell r="B62">
            <v>1285000</v>
          </cell>
          <cell r="C62">
            <v>4450</v>
          </cell>
          <cell r="D62">
            <v>2950</v>
          </cell>
          <cell r="E62">
            <v>0</v>
          </cell>
        </row>
        <row r="63">
          <cell r="B63">
            <v>1290000</v>
          </cell>
          <cell r="C63">
            <v>4610</v>
          </cell>
          <cell r="D63">
            <v>3110</v>
          </cell>
          <cell r="E63">
            <v>0</v>
          </cell>
        </row>
        <row r="64">
          <cell r="B64">
            <v>1295000</v>
          </cell>
          <cell r="C64">
            <v>4760</v>
          </cell>
          <cell r="D64">
            <v>3260</v>
          </cell>
          <cell r="E64">
            <v>0</v>
          </cell>
        </row>
        <row r="65">
          <cell r="B65">
            <v>1300000</v>
          </cell>
          <cell r="C65">
            <v>4910</v>
          </cell>
          <cell r="D65">
            <v>3410</v>
          </cell>
          <cell r="E65">
            <v>0</v>
          </cell>
        </row>
        <row r="66">
          <cell r="B66">
            <v>1305000</v>
          </cell>
          <cell r="C66">
            <v>5060</v>
          </cell>
          <cell r="D66">
            <v>3560</v>
          </cell>
          <cell r="E66">
            <v>0</v>
          </cell>
        </row>
        <row r="67">
          <cell r="B67">
            <v>1310000</v>
          </cell>
          <cell r="C67">
            <v>5220</v>
          </cell>
          <cell r="D67">
            <v>3720</v>
          </cell>
          <cell r="E67">
            <v>0</v>
          </cell>
        </row>
        <row r="68">
          <cell r="B68">
            <v>1315000</v>
          </cell>
          <cell r="C68">
            <v>5370</v>
          </cell>
          <cell r="D68">
            <v>3870</v>
          </cell>
          <cell r="E68">
            <v>0</v>
          </cell>
        </row>
        <row r="69">
          <cell r="B69">
            <v>1320000</v>
          </cell>
          <cell r="C69">
            <v>5520</v>
          </cell>
          <cell r="D69">
            <v>4020</v>
          </cell>
          <cell r="E69">
            <v>0</v>
          </cell>
        </row>
        <row r="70">
          <cell r="B70">
            <v>1325000</v>
          </cell>
          <cell r="C70">
            <v>5680</v>
          </cell>
          <cell r="D70">
            <v>4180</v>
          </cell>
          <cell r="E70">
            <v>0</v>
          </cell>
        </row>
        <row r="71">
          <cell r="B71">
            <v>1330000</v>
          </cell>
          <cell r="C71">
            <v>5830</v>
          </cell>
          <cell r="D71">
            <v>4330</v>
          </cell>
          <cell r="E71">
            <v>0</v>
          </cell>
        </row>
        <row r="72">
          <cell r="B72">
            <v>1335000</v>
          </cell>
          <cell r="C72">
            <v>5840</v>
          </cell>
          <cell r="D72">
            <v>4340</v>
          </cell>
          <cell r="E72">
            <v>0</v>
          </cell>
        </row>
        <row r="73">
          <cell r="B73">
            <v>1340000</v>
          </cell>
          <cell r="C73">
            <v>5990</v>
          </cell>
          <cell r="D73">
            <v>4490</v>
          </cell>
          <cell r="E73">
            <v>0</v>
          </cell>
        </row>
        <row r="74">
          <cell r="B74">
            <v>1345000</v>
          </cell>
          <cell r="C74">
            <v>6140</v>
          </cell>
          <cell r="D74">
            <v>4640</v>
          </cell>
          <cell r="E74">
            <v>0</v>
          </cell>
        </row>
        <row r="75">
          <cell r="B75">
            <v>1350000</v>
          </cell>
          <cell r="C75">
            <v>6300</v>
          </cell>
          <cell r="D75">
            <v>4800</v>
          </cell>
          <cell r="E75">
            <v>0</v>
          </cell>
        </row>
        <row r="76">
          <cell r="B76">
            <v>1355000</v>
          </cell>
          <cell r="C76">
            <v>6450</v>
          </cell>
          <cell r="D76">
            <v>4950</v>
          </cell>
          <cell r="E76">
            <v>0</v>
          </cell>
        </row>
        <row r="77">
          <cell r="B77">
            <v>1360000</v>
          </cell>
          <cell r="C77">
            <v>6600</v>
          </cell>
          <cell r="D77">
            <v>5100</v>
          </cell>
          <cell r="E77">
            <v>0</v>
          </cell>
        </row>
        <row r="78">
          <cell r="B78">
            <v>1365000</v>
          </cell>
          <cell r="C78">
            <v>6750</v>
          </cell>
          <cell r="D78">
            <v>5250</v>
          </cell>
          <cell r="E78">
            <v>150</v>
          </cell>
        </row>
        <row r="79">
          <cell r="B79">
            <v>1370000</v>
          </cell>
          <cell r="C79">
            <v>6910</v>
          </cell>
          <cell r="D79">
            <v>5410</v>
          </cell>
          <cell r="E79">
            <v>310</v>
          </cell>
        </row>
        <row r="80">
          <cell r="B80">
            <v>1375000</v>
          </cell>
          <cell r="C80">
            <v>7060</v>
          </cell>
          <cell r="D80">
            <v>5560</v>
          </cell>
          <cell r="E80">
            <v>460</v>
          </cell>
        </row>
        <row r="81">
          <cell r="B81">
            <v>1380000</v>
          </cell>
          <cell r="C81">
            <v>7210</v>
          </cell>
          <cell r="D81">
            <v>5710</v>
          </cell>
          <cell r="E81">
            <v>610</v>
          </cell>
        </row>
        <row r="82">
          <cell r="B82">
            <v>1385000</v>
          </cell>
          <cell r="C82">
            <v>7370</v>
          </cell>
          <cell r="D82">
            <v>5870</v>
          </cell>
          <cell r="E82">
            <v>770</v>
          </cell>
        </row>
        <row r="83">
          <cell r="B83">
            <v>1390000</v>
          </cell>
          <cell r="C83">
            <v>7520</v>
          </cell>
          <cell r="D83">
            <v>6020</v>
          </cell>
          <cell r="E83">
            <v>920</v>
          </cell>
        </row>
        <row r="84">
          <cell r="B84">
            <v>1395000</v>
          </cell>
          <cell r="C84">
            <v>7670</v>
          </cell>
          <cell r="D84">
            <v>6170</v>
          </cell>
          <cell r="E84">
            <v>1070</v>
          </cell>
        </row>
        <row r="85">
          <cell r="B85">
            <v>1400000</v>
          </cell>
          <cell r="C85">
            <v>7830</v>
          </cell>
          <cell r="D85">
            <v>6330</v>
          </cell>
          <cell r="E85">
            <v>1230</v>
          </cell>
        </row>
        <row r="86">
          <cell r="B86">
            <v>1405000</v>
          </cell>
          <cell r="C86">
            <v>7980</v>
          </cell>
          <cell r="D86">
            <v>6480</v>
          </cell>
          <cell r="E86">
            <v>1380</v>
          </cell>
        </row>
        <row r="87">
          <cell r="B87">
            <v>1410000</v>
          </cell>
          <cell r="C87">
            <v>8130</v>
          </cell>
          <cell r="D87">
            <v>6630</v>
          </cell>
          <cell r="E87">
            <v>1530</v>
          </cell>
        </row>
        <row r="88">
          <cell r="B88">
            <v>1415000</v>
          </cell>
          <cell r="C88">
            <v>8280</v>
          </cell>
          <cell r="D88">
            <v>6780</v>
          </cell>
          <cell r="E88">
            <v>1680</v>
          </cell>
        </row>
        <row r="89">
          <cell r="B89">
            <v>1420000</v>
          </cell>
          <cell r="C89">
            <v>8440</v>
          </cell>
          <cell r="D89">
            <v>6940</v>
          </cell>
          <cell r="E89">
            <v>1840</v>
          </cell>
        </row>
        <row r="90">
          <cell r="B90">
            <v>1425000</v>
          </cell>
          <cell r="C90">
            <v>8450</v>
          </cell>
          <cell r="D90">
            <v>6950</v>
          </cell>
          <cell r="E90">
            <v>1850</v>
          </cell>
        </row>
        <row r="91">
          <cell r="B91">
            <v>1430000</v>
          </cell>
          <cell r="C91">
            <v>8600</v>
          </cell>
          <cell r="D91">
            <v>7100</v>
          </cell>
          <cell r="E91">
            <v>2000</v>
          </cell>
        </row>
        <row r="92">
          <cell r="B92">
            <v>1435000</v>
          </cell>
          <cell r="C92">
            <v>8750</v>
          </cell>
          <cell r="D92">
            <v>7250</v>
          </cell>
          <cell r="E92">
            <v>2150</v>
          </cell>
        </row>
        <row r="93">
          <cell r="B93">
            <v>1440000</v>
          </cell>
          <cell r="C93">
            <v>8900</v>
          </cell>
          <cell r="D93">
            <v>7400</v>
          </cell>
          <cell r="E93">
            <v>2300</v>
          </cell>
        </row>
        <row r="94">
          <cell r="B94">
            <v>1445000</v>
          </cell>
          <cell r="C94">
            <v>9060</v>
          </cell>
          <cell r="D94">
            <v>7560</v>
          </cell>
          <cell r="E94">
            <v>2460</v>
          </cell>
        </row>
        <row r="95">
          <cell r="B95">
            <v>1450000</v>
          </cell>
          <cell r="C95">
            <v>9210</v>
          </cell>
          <cell r="D95">
            <v>7710</v>
          </cell>
          <cell r="E95">
            <v>2610</v>
          </cell>
        </row>
        <row r="96">
          <cell r="B96">
            <v>1455000</v>
          </cell>
          <cell r="C96">
            <v>9360</v>
          </cell>
          <cell r="D96">
            <v>7860</v>
          </cell>
          <cell r="E96">
            <v>2760</v>
          </cell>
        </row>
        <row r="97">
          <cell r="B97">
            <v>1460000</v>
          </cell>
          <cell r="C97">
            <v>9520</v>
          </cell>
          <cell r="D97">
            <v>8020</v>
          </cell>
          <cell r="E97">
            <v>2920</v>
          </cell>
        </row>
        <row r="98">
          <cell r="B98">
            <v>1465000</v>
          </cell>
          <cell r="C98">
            <v>9670</v>
          </cell>
          <cell r="D98">
            <v>8170</v>
          </cell>
          <cell r="E98">
            <v>3070</v>
          </cell>
        </row>
        <row r="99">
          <cell r="B99">
            <v>1470000</v>
          </cell>
          <cell r="C99">
            <v>9820</v>
          </cell>
          <cell r="D99">
            <v>8320</v>
          </cell>
          <cell r="E99">
            <v>3220</v>
          </cell>
        </row>
        <row r="100">
          <cell r="B100">
            <v>1475000</v>
          </cell>
          <cell r="C100">
            <v>9980</v>
          </cell>
          <cell r="D100">
            <v>8480</v>
          </cell>
          <cell r="E100">
            <v>3380</v>
          </cell>
        </row>
        <row r="101">
          <cell r="B101">
            <v>1480000</v>
          </cell>
          <cell r="C101">
            <v>10130</v>
          </cell>
          <cell r="D101">
            <v>8630</v>
          </cell>
          <cell r="E101">
            <v>3530</v>
          </cell>
        </row>
        <row r="102">
          <cell r="B102">
            <v>1485000</v>
          </cell>
          <cell r="C102">
            <v>10280</v>
          </cell>
          <cell r="D102">
            <v>8780</v>
          </cell>
          <cell r="E102">
            <v>3680</v>
          </cell>
        </row>
        <row r="103">
          <cell r="B103">
            <v>1490000</v>
          </cell>
          <cell r="C103">
            <v>10430</v>
          </cell>
          <cell r="D103">
            <v>8930</v>
          </cell>
          <cell r="E103">
            <v>3830</v>
          </cell>
        </row>
        <row r="104">
          <cell r="B104">
            <v>1495000</v>
          </cell>
          <cell r="C104">
            <v>10590</v>
          </cell>
          <cell r="D104">
            <v>9090</v>
          </cell>
          <cell r="E104">
            <v>3990</v>
          </cell>
        </row>
        <row r="105">
          <cell r="B105">
            <v>1500000</v>
          </cell>
          <cell r="C105">
            <v>10820</v>
          </cell>
          <cell r="D105">
            <v>9320</v>
          </cell>
          <cell r="E105">
            <v>4220</v>
          </cell>
        </row>
        <row r="106">
          <cell r="B106">
            <v>1510000</v>
          </cell>
          <cell r="C106">
            <v>10980</v>
          </cell>
          <cell r="D106">
            <v>9480</v>
          </cell>
          <cell r="E106">
            <v>4380</v>
          </cell>
        </row>
        <row r="107">
          <cell r="B107">
            <v>1520000</v>
          </cell>
          <cell r="C107">
            <v>11280</v>
          </cell>
          <cell r="D107">
            <v>9780</v>
          </cell>
          <cell r="E107">
            <v>4680</v>
          </cell>
        </row>
        <row r="108">
          <cell r="B108">
            <v>1530000</v>
          </cell>
          <cell r="C108">
            <v>11590</v>
          </cell>
          <cell r="D108">
            <v>10090</v>
          </cell>
          <cell r="E108">
            <v>4990</v>
          </cell>
        </row>
        <row r="109">
          <cell r="B109">
            <v>1540000</v>
          </cell>
          <cell r="C109">
            <v>11890</v>
          </cell>
          <cell r="D109">
            <v>10390</v>
          </cell>
          <cell r="E109">
            <v>5290</v>
          </cell>
        </row>
        <row r="110">
          <cell r="B110">
            <v>1550000</v>
          </cell>
          <cell r="C110">
            <v>12200</v>
          </cell>
          <cell r="D110">
            <v>10700</v>
          </cell>
          <cell r="E110">
            <v>5600</v>
          </cell>
        </row>
        <row r="111">
          <cell r="B111">
            <v>1560000</v>
          </cell>
          <cell r="C111">
            <v>12510</v>
          </cell>
          <cell r="D111">
            <v>11010</v>
          </cell>
          <cell r="E111">
            <v>5910</v>
          </cell>
        </row>
        <row r="112">
          <cell r="B112">
            <v>1570000</v>
          </cell>
          <cell r="C112">
            <v>12810</v>
          </cell>
          <cell r="D112">
            <v>11310</v>
          </cell>
          <cell r="E112">
            <v>6210</v>
          </cell>
        </row>
        <row r="113">
          <cell r="B113">
            <v>1580000</v>
          </cell>
          <cell r="C113">
            <v>13120</v>
          </cell>
          <cell r="D113">
            <v>11620</v>
          </cell>
          <cell r="E113">
            <v>6520</v>
          </cell>
        </row>
        <row r="114">
          <cell r="B114">
            <v>1590000</v>
          </cell>
          <cell r="C114">
            <v>13420</v>
          </cell>
          <cell r="D114">
            <v>11920</v>
          </cell>
          <cell r="E114">
            <v>6820</v>
          </cell>
        </row>
        <row r="115">
          <cell r="B115">
            <v>1600000</v>
          </cell>
          <cell r="C115">
            <v>13730</v>
          </cell>
          <cell r="D115">
            <v>12230</v>
          </cell>
          <cell r="E115">
            <v>7130</v>
          </cell>
        </row>
        <row r="116">
          <cell r="B116">
            <v>1610000</v>
          </cell>
          <cell r="C116">
            <v>13870</v>
          </cell>
          <cell r="D116">
            <v>12370</v>
          </cell>
          <cell r="E116">
            <v>7270</v>
          </cell>
        </row>
        <row r="117">
          <cell r="B117">
            <v>1620000</v>
          </cell>
          <cell r="C117">
            <v>14180</v>
          </cell>
          <cell r="D117">
            <v>12680</v>
          </cell>
          <cell r="E117">
            <v>7580</v>
          </cell>
        </row>
        <row r="118">
          <cell r="B118">
            <v>1630000</v>
          </cell>
          <cell r="C118">
            <v>14490</v>
          </cell>
          <cell r="D118">
            <v>12990</v>
          </cell>
          <cell r="E118">
            <v>7890</v>
          </cell>
        </row>
        <row r="119">
          <cell r="B119">
            <v>1640000</v>
          </cell>
          <cell r="C119">
            <v>14790</v>
          </cell>
          <cell r="D119">
            <v>13290</v>
          </cell>
          <cell r="E119">
            <v>8190</v>
          </cell>
        </row>
        <row r="120">
          <cell r="B120">
            <v>1650000</v>
          </cell>
          <cell r="C120">
            <v>15100</v>
          </cell>
          <cell r="D120">
            <v>13600</v>
          </cell>
          <cell r="E120">
            <v>8500</v>
          </cell>
        </row>
        <row r="121">
          <cell r="B121">
            <v>1660000</v>
          </cell>
          <cell r="C121">
            <v>15400</v>
          </cell>
          <cell r="D121">
            <v>13900</v>
          </cell>
          <cell r="E121">
            <v>8800</v>
          </cell>
        </row>
        <row r="122">
          <cell r="B122">
            <v>1670000</v>
          </cell>
          <cell r="C122">
            <v>15710</v>
          </cell>
          <cell r="D122">
            <v>14210</v>
          </cell>
          <cell r="E122">
            <v>9110</v>
          </cell>
        </row>
        <row r="123">
          <cell r="B123">
            <v>1680000</v>
          </cell>
          <cell r="C123">
            <v>16020</v>
          </cell>
          <cell r="D123">
            <v>14520</v>
          </cell>
          <cell r="E123">
            <v>9420</v>
          </cell>
        </row>
        <row r="124">
          <cell r="B124">
            <v>1690000</v>
          </cell>
          <cell r="C124">
            <v>16320</v>
          </cell>
          <cell r="D124">
            <v>14820</v>
          </cell>
          <cell r="E124">
            <v>9720</v>
          </cell>
        </row>
        <row r="125">
          <cell r="B125">
            <v>1700000</v>
          </cell>
          <cell r="C125">
            <v>16630</v>
          </cell>
          <cell r="D125">
            <v>15130</v>
          </cell>
          <cell r="E125">
            <v>10030</v>
          </cell>
        </row>
        <row r="126">
          <cell r="B126">
            <v>1710000</v>
          </cell>
          <cell r="C126">
            <v>16770</v>
          </cell>
          <cell r="D126">
            <v>15270</v>
          </cell>
          <cell r="E126">
            <v>10170</v>
          </cell>
        </row>
        <row r="127">
          <cell r="B127">
            <v>1720000</v>
          </cell>
          <cell r="C127">
            <v>17080</v>
          </cell>
          <cell r="D127">
            <v>15580</v>
          </cell>
          <cell r="E127">
            <v>10480</v>
          </cell>
        </row>
        <row r="128">
          <cell r="B128">
            <v>1730000</v>
          </cell>
          <cell r="C128">
            <v>17380</v>
          </cell>
          <cell r="D128">
            <v>15880</v>
          </cell>
          <cell r="E128">
            <v>10780</v>
          </cell>
        </row>
        <row r="129">
          <cell r="B129">
            <v>1740000</v>
          </cell>
          <cell r="C129">
            <v>17690</v>
          </cell>
          <cell r="D129">
            <v>16190</v>
          </cell>
          <cell r="E129">
            <v>11090</v>
          </cell>
        </row>
        <row r="130">
          <cell r="B130">
            <v>1750000</v>
          </cell>
          <cell r="C130">
            <v>18000</v>
          </cell>
          <cell r="D130">
            <v>16500</v>
          </cell>
          <cell r="E130">
            <v>11400</v>
          </cell>
        </row>
        <row r="131">
          <cell r="B131">
            <v>1760000</v>
          </cell>
          <cell r="C131">
            <v>18300</v>
          </cell>
          <cell r="D131">
            <v>16800</v>
          </cell>
          <cell r="E131">
            <v>11700</v>
          </cell>
        </row>
        <row r="132">
          <cell r="B132">
            <v>1770000</v>
          </cell>
          <cell r="C132">
            <v>18610</v>
          </cell>
          <cell r="D132">
            <v>17110</v>
          </cell>
          <cell r="E132">
            <v>12010</v>
          </cell>
        </row>
        <row r="133">
          <cell r="B133">
            <v>1780000</v>
          </cell>
          <cell r="C133">
            <v>19010</v>
          </cell>
          <cell r="D133">
            <v>17410</v>
          </cell>
          <cell r="E133">
            <v>12310</v>
          </cell>
        </row>
        <row r="134">
          <cell r="B134">
            <v>1790000</v>
          </cell>
          <cell r="C134">
            <v>19490</v>
          </cell>
          <cell r="D134">
            <v>17720</v>
          </cell>
          <cell r="E134">
            <v>12620</v>
          </cell>
        </row>
        <row r="135">
          <cell r="B135">
            <v>1800000</v>
          </cell>
          <cell r="C135">
            <v>19960</v>
          </cell>
          <cell r="D135">
            <v>18030</v>
          </cell>
          <cell r="E135">
            <v>12930</v>
          </cell>
        </row>
        <row r="136">
          <cell r="B136">
            <v>1810000</v>
          </cell>
          <cell r="C136">
            <v>20190</v>
          </cell>
          <cell r="D136">
            <v>18170</v>
          </cell>
          <cell r="E136">
            <v>13070</v>
          </cell>
        </row>
        <row r="137">
          <cell r="B137">
            <v>1820000</v>
          </cell>
          <cell r="C137">
            <v>20660</v>
          </cell>
          <cell r="D137">
            <v>18480</v>
          </cell>
          <cell r="E137">
            <v>13380</v>
          </cell>
        </row>
        <row r="138">
          <cell r="B138">
            <v>1830000</v>
          </cell>
          <cell r="C138">
            <v>21140</v>
          </cell>
          <cell r="D138">
            <v>18800</v>
          </cell>
          <cell r="E138">
            <v>13680</v>
          </cell>
        </row>
        <row r="139">
          <cell r="B139">
            <v>1840000</v>
          </cell>
          <cell r="C139">
            <v>21610</v>
          </cell>
          <cell r="D139">
            <v>19280</v>
          </cell>
          <cell r="E139">
            <v>13990</v>
          </cell>
        </row>
        <row r="140">
          <cell r="B140">
            <v>1850000</v>
          </cell>
          <cell r="C140">
            <v>22090</v>
          </cell>
          <cell r="D140">
            <v>19760</v>
          </cell>
          <cell r="E140">
            <v>14290</v>
          </cell>
        </row>
        <row r="141">
          <cell r="B141">
            <v>1860000</v>
          </cell>
          <cell r="C141">
            <v>22570</v>
          </cell>
          <cell r="D141">
            <v>20230</v>
          </cell>
          <cell r="E141">
            <v>14600</v>
          </cell>
        </row>
        <row r="142">
          <cell r="B142">
            <v>1870000</v>
          </cell>
          <cell r="C142">
            <v>23040</v>
          </cell>
          <cell r="D142">
            <v>20710</v>
          </cell>
          <cell r="E142">
            <v>14910</v>
          </cell>
        </row>
        <row r="143">
          <cell r="B143">
            <v>1880000</v>
          </cell>
          <cell r="C143">
            <v>23520</v>
          </cell>
          <cell r="D143">
            <v>21180</v>
          </cell>
          <cell r="E143">
            <v>15210</v>
          </cell>
        </row>
        <row r="144">
          <cell r="B144">
            <v>1890000</v>
          </cell>
          <cell r="C144">
            <v>23990</v>
          </cell>
          <cell r="D144">
            <v>21660</v>
          </cell>
          <cell r="E144">
            <v>15520</v>
          </cell>
        </row>
        <row r="145">
          <cell r="B145">
            <v>1900000</v>
          </cell>
          <cell r="C145">
            <v>24470</v>
          </cell>
          <cell r="D145">
            <v>22140</v>
          </cell>
          <cell r="E145">
            <v>15820</v>
          </cell>
        </row>
        <row r="146">
          <cell r="B146">
            <v>1910000</v>
          </cell>
          <cell r="C146">
            <v>24670</v>
          </cell>
          <cell r="D146">
            <v>22330</v>
          </cell>
          <cell r="E146">
            <v>15950</v>
          </cell>
        </row>
        <row r="147">
          <cell r="B147">
            <v>1920000</v>
          </cell>
          <cell r="C147">
            <v>25140</v>
          </cell>
          <cell r="D147">
            <v>22810</v>
          </cell>
          <cell r="E147">
            <v>16260</v>
          </cell>
        </row>
        <row r="148">
          <cell r="B148">
            <v>1930000</v>
          </cell>
          <cell r="C148">
            <v>25620</v>
          </cell>
          <cell r="D148">
            <v>23290</v>
          </cell>
          <cell r="E148">
            <v>16560</v>
          </cell>
        </row>
        <row r="149">
          <cell r="B149">
            <v>1940000</v>
          </cell>
          <cell r="C149">
            <v>26100</v>
          </cell>
          <cell r="D149">
            <v>23760</v>
          </cell>
          <cell r="E149">
            <v>16870</v>
          </cell>
        </row>
        <row r="150">
          <cell r="B150">
            <v>1950000</v>
          </cell>
          <cell r="C150">
            <v>26570</v>
          </cell>
          <cell r="D150">
            <v>24240</v>
          </cell>
          <cell r="E150">
            <v>17180</v>
          </cell>
        </row>
        <row r="151">
          <cell r="B151">
            <v>1960000</v>
          </cell>
          <cell r="C151">
            <v>27050</v>
          </cell>
          <cell r="D151">
            <v>24710</v>
          </cell>
          <cell r="E151">
            <v>17480</v>
          </cell>
        </row>
        <row r="152">
          <cell r="B152">
            <v>1970000</v>
          </cell>
          <cell r="C152">
            <v>27520</v>
          </cell>
          <cell r="D152">
            <v>25190</v>
          </cell>
          <cell r="E152">
            <v>17790</v>
          </cell>
        </row>
        <row r="153">
          <cell r="B153">
            <v>1980000</v>
          </cell>
          <cell r="C153">
            <v>28000</v>
          </cell>
          <cell r="D153">
            <v>25670</v>
          </cell>
          <cell r="E153">
            <v>18090</v>
          </cell>
        </row>
        <row r="154">
          <cell r="B154">
            <v>1990000</v>
          </cell>
          <cell r="C154">
            <v>28480</v>
          </cell>
          <cell r="D154">
            <v>26140</v>
          </cell>
          <cell r="E154">
            <v>18400</v>
          </cell>
        </row>
      </sheetData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단축키 실습"/>
      <sheetName val="빈 셀 채우기"/>
      <sheetName val="화면에 보이는 셀만 선택"/>
      <sheetName val="시트 그룹간 합계"/>
      <sheetName val="시트 그룹간 합계 (2)"/>
      <sheetName val="시트 그룹간 합계 (3)"/>
      <sheetName val="열린파일 한꺼번에 닫기"/>
      <sheetName val="셀서식(1)"/>
      <sheetName val="셀서식(2)"/>
      <sheetName val="함수에러표시를 빈셀로"/>
      <sheetName val="텍스트 나누기"/>
      <sheetName val="선택하여 붙여넣기"/>
      <sheetName val="Text함수"/>
      <sheetName val="LOWER&amp;Upper&amp;Proper"/>
      <sheetName val="REPT"/>
      <sheetName val="Numberstring"/>
      <sheetName val="자동필터(1)&amp;Subtotal함수"/>
      <sheetName val="차트옵션"/>
      <sheetName val="동적차트"/>
      <sheetName val="주소록 지우는 매크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&lt;표&gt;</v>
          </cell>
        </row>
        <row r="2">
          <cell r="B2" t="str">
            <v>강동</v>
          </cell>
          <cell r="C2" t="str">
            <v>강서</v>
          </cell>
          <cell r="D2" t="str">
            <v>강남</v>
          </cell>
          <cell r="E2" t="str">
            <v>강북</v>
          </cell>
        </row>
        <row r="3">
          <cell r="A3" t="str">
            <v>1월</v>
          </cell>
          <cell r="B3">
            <v>400</v>
          </cell>
          <cell r="C3">
            <v>430</v>
          </cell>
          <cell r="D3">
            <v>500</v>
          </cell>
          <cell r="E3">
            <v>480</v>
          </cell>
        </row>
        <row r="4">
          <cell r="A4" t="str">
            <v>2월</v>
          </cell>
          <cell r="B4">
            <v>380</v>
          </cell>
          <cell r="C4">
            <v>410</v>
          </cell>
          <cell r="D4">
            <v>450</v>
          </cell>
          <cell r="E4">
            <v>500</v>
          </cell>
        </row>
        <row r="5">
          <cell r="A5" t="str">
            <v>3월</v>
          </cell>
          <cell r="B5">
            <v>430</v>
          </cell>
          <cell r="C5">
            <v>380</v>
          </cell>
          <cell r="D5">
            <v>510</v>
          </cell>
          <cell r="E5">
            <v>460</v>
          </cell>
        </row>
      </sheetData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샘플"/>
      <sheetName val="집계"/>
      <sheetName val="１－６"/>
      <sheetName val="７－１２"/>
      <sheetName val="검색"/>
      <sheetName val="유출"/>
      <sheetName val="가계부"/>
      <sheetName val="Sheet1"/>
      <sheetName val="Sheet2"/>
      <sheetName val="론계산"/>
      <sheetName val="TOP"/>
      <sheetName val="基本データ"/>
      <sheetName val="성적"/>
      <sheetName val="データ"/>
      <sheetName val="シフト表"/>
      <sheetName val="時刻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>
        <row r="3">
          <cell r="B3" t="str">
            <v>開始時刻</v>
          </cell>
          <cell r="C3">
            <v>0.33333333333333331</v>
          </cell>
          <cell r="D3">
            <v>0.375</v>
          </cell>
          <cell r="E3">
            <v>0.41666666666666669</v>
          </cell>
          <cell r="F3">
            <v>0.45833333333333331</v>
          </cell>
          <cell r="G3">
            <v>0.5</v>
          </cell>
          <cell r="H3">
            <v>0.54166666666666663</v>
          </cell>
          <cell r="I3">
            <v>0.58333333333333337</v>
          </cell>
          <cell r="J3">
            <v>0.625</v>
          </cell>
          <cell r="K3">
            <v>0.66666666666666663</v>
          </cell>
          <cell r="L3">
            <v>0.70833333333333337</v>
          </cell>
          <cell r="M3">
            <v>0.75</v>
          </cell>
          <cell r="N3">
            <v>0.79166666666666663</v>
          </cell>
          <cell r="O3">
            <v>0.83333333333333337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다중조건 (결과)"/>
      <sheetName val="조건순위(결과)"/>
      <sheetName val="절대참조"/>
      <sheetName val="혼합참조"/>
      <sheetName val="이름정의"/>
      <sheetName val="조건부서식"/>
      <sheetName val="IF"/>
      <sheetName val="COUNT"/>
      <sheetName val="COUNT계열"/>
      <sheetName val="SUM계열"/>
      <sheetName val="AVERAGE계열"/>
      <sheetName val="COUNTIF&amp;SUMIF"/>
      <sheetName val="문자열계열"/>
      <sheetName val="TEXT계열"/>
      <sheetName val="TEXT계열2"/>
      <sheetName val="직원기록부"/>
      <sheetName val="RANK"/>
      <sheetName val="VLOOKUP"/>
      <sheetName val="HLOOKUP"/>
      <sheetName val="LOOKUP"/>
      <sheetName val="날짜계열"/>
    </sheetNames>
    <sheetDataSet>
      <sheetData sheetId="0" refreshError="1"/>
      <sheetData sheetId="1">
        <row r="3">
          <cell r="B3">
            <v>36893</v>
          </cell>
          <cell r="C3" t="str">
            <v>구로점</v>
          </cell>
          <cell r="D3" t="str">
            <v>AAA</v>
          </cell>
          <cell r="E3">
            <v>80</v>
          </cell>
        </row>
        <row r="4">
          <cell r="B4">
            <v>36906</v>
          </cell>
          <cell r="C4" t="str">
            <v>여의도점</v>
          </cell>
          <cell r="D4" t="str">
            <v>AAA</v>
          </cell>
          <cell r="E4">
            <v>70</v>
          </cell>
        </row>
        <row r="5">
          <cell r="B5">
            <v>36910</v>
          </cell>
          <cell r="C5" t="str">
            <v>교대점</v>
          </cell>
          <cell r="D5" t="str">
            <v>BBB</v>
          </cell>
          <cell r="E5">
            <v>60</v>
          </cell>
        </row>
        <row r="6">
          <cell r="B6">
            <v>36913</v>
          </cell>
          <cell r="C6" t="str">
            <v>마포점</v>
          </cell>
          <cell r="D6" t="str">
            <v>CCC</v>
          </cell>
          <cell r="E6">
            <v>20</v>
          </cell>
        </row>
        <row r="7">
          <cell r="B7">
            <v>36925</v>
          </cell>
          <cell r="C7" t="str">
            <v>교대점</v>
          </cell>
          <cell r="D7" t="str">
            <v>AAA</v>
          </cell>
          <cell r="E7">
            <v>80</v>
          </cell>
        </row>
        <row r="8">
          <cell r="B8">
            <v>36930</v>
          </cell>
          <cell r="C8" t="str">
            <v>구로점</v>
          </cell>
          <cell r="D8" t="str">
            <v>BBB</v>
          </cell>
          <cell r="E8">
            <v>100</v>
          </cell>
        </row>
        <row r="9">
          <cell r="B9">
            <v>36937</v>
          </cell>
          <cell r="C9" t="str">
            <v>노원점</v>
          </cell>
          <cell r="D9" t="str">
            <v>CCC</v>
          </cell>
          <cell r="E9">
            <v>130</v>
          </cell>
        </row>
        <row r="10">
          <cell r="B10">
            <v>36945</v>
          </cell>
          <cell r="C10" t="str">
            <v>노원점</v>
          </cell>
          <cell r="D10" t="str">
            <v>DDD</v>
          </cell>
          <cell r="E10">
            <v>270</v>
          </cell>
        </row>
        <row r="11">
          <cell r="B11">
            <v>36940</v>
          </cell>
          <cell r="C11" t="str">
            <v>구로점</v>
          </cell>
          <cell r="D11" t="str">
            <v>DDD</v>
          </cell>
          <cell r="E11">
            <v>60</v>
          </cell>
        </row>
        <row r="12">
          <cell r="B12">
            <v>36958</v>
          </cell>
          <cell r="C12" t="str">
            <v>여의도점</v>
          </cell>
          <cell r="D12" t="str">
            <v>BBB</v>
          </cell>
          <cell r="E12">
            <v>80</v>
          </cell>
        </row>
        <row r="13">
          <cell r="B13">
            <v>36962</v>
          </cell>
          <cell r="C13" t="str">
            <v>교대점</v>
          </cell>
          <cell r="D13" t="str">
            <v>CCC</v>
          </cell>
          <cell r="E13">
            <v>170</v>
          </cell>
        </row>
        <row r="14">
          <cell r="B14">
            <v>36980</v>
          </cell>
          <cell r="C14" t="str">
            <v>구로점</v>
          </cell>
          <cell r="D14" t="str">
            <v>DDD</v>
          </cell>
          <cell r="E14">
            <v>90</v>
          </cell>
        </row>
        <row r="15">
          <cell r="B15">
            <v>36989</v>
          </cell>
          <cell r="C15" t="str">
            <v>노원점</v>
          </cell>
          <cell r="D15" t="str">
            <v>AAA</v>
          </cell>
          <cell r="E15">
            <v>100</v>
          </cell>
        </row>
        <row r="16">
          <cell r="B16">
            <v>36993</v>
          </cell>
          <cell r="C16" t="str">
            <v>여의도점</v>
          </cell>
          <cell r="D16" t="str">
            <v>AAA</v>
          </cell>
          <cell r="E16">
            <v>30</v>
          </cell>
        </row>
        <row r="17">
          <cell r="B17">
            <v>36997</v>
          </cell>
          <cell r="C17" t="str">
            <v>여의도점</v>
          </cell>
          <cell r="D17" t="str">
            <v>CCC</v>
          </cell>
          <cell r="E17">
            <v>70</v>
          </cell>
        </row>
        <row r="18">
          <cell r="B18">
            <v>37009</v>
          </cell>
          <cell r="C18" t="str">
            <v>교대점</v>
          </cell>
          <cell r="D18" t="str">
            <v>CCC</v>
          </cell>
          <cell r="E18">
            <v>40</v>
          </cell>
        </row>
        <row r="19">
          <cell r="B19">
            <v>37010</v>
          </cell>
          <cell r="C19" t="str">
            <v>구로점</v>
          </cell>
          <cell r="D19" t="str">
            <v>BBB</v>
          </cell>
          <cell r="E19">
            <v>90</v>
          </cell>
        </row>
        <row r="20">
          <cell r="B20">
            <v>37012</v>
          </cell>
          <cell r="C20" t="str">
            <v>노원점</v>
          </cell>
          <cell r="D20" t="str">
            <v>DDD</v>
          </cell>
          <cell r="E20">
            <v>50</v>
          </cell>
        </row>
        <row r="21">
          <cell r="B21">
            <v>37019</v>
          </cell>
          <cell r="C21" t="str">
            <v>구로점</v>
          </cell>
          <cell r="D21" t="str">
            <v>CCC</v>
          </cell>
          <cell r="E21">
            <v>120</v>
          </cell>
        </row>
        <row r="22">
          <cell r="B22">
            <v>37024</v>
          </cell>
          <cell r="C22" t="str">
            <v>노원점</v>
          </cell>
          <cell r="D22" t="str">
            <v>AAA</v>
          </cell>
          <cell r="E22">
            <v>180</v>
          </cell>
        </row>
        <row r="23">
          <cell r="B23">
            <v>37030</v>
          </cell>
          <cell r="C23" t="str">
            <v>여의도점</v>
          </cell>
          <cell r="D23" t="str">
            <v>BBB</v>
          </cell>
          <cell r="E23">
            <v>230</v>
          </cell>
        </row>
        <row r="24">
          <cell r="B24">
            <v>37037</v>
          </cell>
          <cell r="C24" t="str">
            <v>노원점</v>
          </cell>
          <cell r="D24" t="str">
            <v>DDD</v>
          </cell>
          <cell r="E24">
            <v>60</v>
          </cell>
        </row>
        <row r="25">
          <cell r="B25">
            <v>37038</v>
          </cell>
          <cell r="C25" t="str">
            <v>여의도점</v>
          </cell>
          <cell r="D25" t="str">
            <v>DDD</v>
          </cell>
          <cell r="E25">
            <v>80</v>
          </cell>
        </row>
        <row r="26">
          <cell r="B26">
            <v>37047</v>
          </cell>
          <cell r="C26" t="str">
            <v>교대점</v>
          </cell>
          <cell r="D26" t="str">
            <v>CCC</v>
          </cell>
          <cell r="E26">
            <v>70</v>
          </cell>
        </row>
        <row r="27">
          <cell r="B27">
            <v>37056</v>
          </cell>
          <cell r="C27" t="str">
            <v>구로점</v>
          </cell>
          <cell r="D27" t="str">
            <v>BBB</v>
          </cell>
          <cell r="E27">
            <v>100</v>
          </cell>
        </row>
        <row r="28">
          <cell r="B28">
            <v>37060</v>
          </cell>
          <cell r="C28" t="str">
            <v>노원점</v>
          </cell>
          <cell r="D28" t="str">
            <v>AAA</v>
          </cell>
          <cell r="E28">
            <v>120</v>
          </cell>
        </row>
        <row r="29">
          <cell r="B29">
            <v>37088</v>
          </cell>
          <cell r="C29" t="str">
            <v>여의도점</v>
          </cell>
          <cell r="D29" t="str">
            <v>CCC</v>
          </cell>
          <cell r="E29">
            <v>110</v>
          </cell>
        </row>
        <row r="30">
          <cell r="B30">
            <v>37090</v>
          </cell>
          <cell r="C30" t="str">
            <v>교대점</v>
          </cell>
          <cell r="D30" t="str">
            <v>BBB</v>
          </cell>
          <cell r="E30">
            <v>230</v>
          </cell>
        </row>
        <row r="31">
          <cell r="B31">
            <v>37094</v>
          </cell>
          <cell r="C31" t="str">
            <v>노원점</v>
          </cell>
          <cell r="D31" t="str">
            <v>DDD</v>
          </cell>
          <cell r="E31">
            <v>200</v>
          </cell>
        </row>
        <row r="32">
          <cell r="B32">
            <v>37098</v>
          </cell>
          <cell r="C32" t="str">
            <v>교대점</v>
          </cell>
          <cell r="D32" t="str">
            <v>CCC</v>
          </cell>
          <cell r="E32">
            <v>80</v>
          </cell>
        </row>
        <row r="33">
          <cell r="B33">
            <v>37106</v>
          </cell>
          <cell r="C33" t="str">
            <v>구로점</v>
          </cell>
          <cell r="D33" t="str">
            <v>BBB</v>
          </cell>
          <cell r="E33">
            <v>90</v>
          </cell>
        </row>
        <row r="34">
          <cell r="B34">
            <v>37112</v>
          </cell>
          <cell r="C34" t="str">
            <v>여의도점</v>
          </cell>
          <cell r="D34" t="str">
            <v>CCC</v>
          </cell>
          <cell r="E34">
            <v>50</v>
          </cell>
        </row>
        <row r="35">
          <cell r="B35">
            <v>37127</v>
          </cell>
          <cell r="C35" t="str">
            <v>구로점</v>
          </cell>
          <cell r="D35" t="str">
            <v>AAA</v>
          </cell>
          <cell r="E35">
            <v>40</v>
          </cell>
        </row>
        <row r="36">
          <cell r="B36">
            <v>37128</v>
          </cell>
          <cell r="C36" t="str">
            <v>노원점</v>
          </cell>
          <cell r="D36" t="str">
            <v>AAA</v>
          </cell>
          <cell r="E36">
            <v>70</v>
          </cell>
        </row>
        <row r="37">
          <cell r="B37">
            <v>37141</v>
          </cell>
          <cell r="C37" t="str">
            <v>여의도점</v>
          </cell>
          <cell r="D37" t="str">
            <v>CCC</v>
          </cell>
          <cell r="E37">
            <v>110</v>
          </cell>
        </row>
        <row r="38">
          <cell r="B38">
            <v>37150</v>
          </cell>
          <cell r="C38" t="str">
            <v>노원점</v>
          </cell>
          <cell r="D38" t="str">
            <v>DDD</v>
          </cell>
          <cell r="E38">
            <v>150</v>
          </cell>
        </row>
        <row r="39">
          <cell r="B39">
            <v>37152</v>
          </cell>
          <cell r="C39" t="str">
            <v>교대점</v>
          </cell>
          <cell r="D39" t="str">
            <v>BBB</v>
          </cell>
          <cell r="E39">
            <v>60</v>
          </cell>
        </row>
        <row r="40">
          <cell r="B40">
            <v>37154</v>
          </cell>
          <cell r="C40" t="str">
            <v>노원점</v>
          </cell>
          <cell r="D40" t="str">
            <v>BBB</v>
          </cell>
          <cell r="E40">
            <v>80</v>
          </cell>
        </row>
        <row r="41">
          <cell r="B41">
            <v>37158</v>
          </cell>
          <cell r="C41" t="str">
            <v>구로점</v>
          </cell>
          <cell r="D41" t="str">
            <v>CCC</v>
          </cell>
          <cell r="E41">
            <v>30</v>
          </cell>
        </row>
        <row r="42">
          <cell r="B42">
            <v>37161</v>
          </cell>
          <cell r="C42" t="str">
            <v>구로점</v>
          </cell>
          <cell r="D42" t="str">
            <v>AAA</v>
          </cell>
          <cell r="E42">
            <v>50</v>
          </cell>
        </row>
        <row r="43">
          <cell r="B43">
            <v>37168</v>
          </cell>
          <cell r="C43" t="str">
            <v>노원점</v>
          </cell>
          <cell r="D43" t="str">
            <v>DDD</v>
          </cell>
          <cell r="E43">
            <v>130</v>
          </cell>
        </row>
        <row r="44">
          <cell r="B44">
            <v>37169</v>
          </cell>
          <cell r="C44" t="str">
            <v>구로점</v>
          </cell>
          <cell r="D44" t="str">
            <v>CCC</v>
          </cell>
          <cell r="E44">
            <v>40</v>
          </cell>
        </row>
        <row r="45">
          <cell r="B45">
            <v>37175</v>
          </cell>
          <cell r="C45" t="str">
            <v>교대점</v>
          </cell>
          <cell r="D45" t="str">
            <v>DDD</v>
          </cell>
          <cell r="E45">
            <v>210</v>
          </cell>
        </row>
        <row r="46">
          <cell r="B46">
            <v>37198</v>
          </cell>
          <cell r="C46" t="str">
            <v>여의도점</v>
          </cell>
          <cell r="D46" t="str">
            <v>AAA</v>
          </cell>
          <cell r="E46">
            <v>70</v>
          </cell>
        </row>
        <row r="47">
          <cell r="B47">
            <v>37203</v>
          </cell>
          <cell r="C47" t="str">
            <v>노원점</v>
          </cell>
          <cell r="D47" t="str">
            <v>BBB</v>
          </cell>
          <cell r="E47">
            <v>80</v>
          </cell>
        </row>
        <row r="48">
          <cell r="B48">
            <v>37207</v>
          </cell>
          <cell r="C48" t="str">
            <v>여의도점</v>
          </cell>
          <cell r="D48" t="str">
            <v>AAA</v>
          </cell>
          <cell r="E48">
            <v>90</v>
          </cell>
        </row>
        <row r="49">
          <cell r="B49">
            <v>37214</v>
          </cell>
          <cell r="C49" t="str">
            <v>교대점</v>
          </cell>
          <cell r="D49" t="str">
            <v>CCC</v>
          </cell>
          <cell r="E49">
            <v>150</v>
          </cell>
        </row>
        <row r="50">
          <cell r="B50">
            <v>37222</v>
          </cell>
          <cell r="C50" t="str">
            <v>구로점</v>
          </cell>
          <cell r="D50" t="str">
            <v>DDD</v>
          </cell>
          <cell r="E50">
            <v>160</v>
          </cell>
        </row>
        <row r="51">
          <cell r="B51">
            <v>37233</v>
          </cell>
          <cell r="C51" t="str">
            <v>구로점</v>
          </cell>
          <cell r="D51" t="str">
            <v>BBB</v>
          </cell>
          <cell r="E51">
            <v>30</v>
          </cell>
        </row>
        <row r="52">
          <cell r="B52">
            <v>37241</v>
          </cell>
          <cell r="C52" t="str">
            <v>노원점</v>
          </cell>
          <cell r="D52" t="str">
            <v>CCC</v>
          </cell>
          <cell r="E52">
            <v>80</v>
          </cell>
        </row>
        <row r="53">
          <cell r="B53">
            <v>37246</v>
          </cell>
          <cell r="C53" t="str">
            <v>교대점</v>
          </cell>
          <cell r="D53" t="str">
            <v>AAA</v>
          </cell>
          <cell r="E53">
            <v>40</v>
          </cell>
        </row>
        <row r="54">
          <cell r="B54">
            <v>37254</v>
          </cell>
          <cell r="C54" t="str">
            <v>여의도점</v>
          </cell>
          <cell r="D54" t="str">
            <v>AAA</v>
          </cell>
          <cell r="E54">
            <v>80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 t="str">
            <v>A1-CD51</v>
          </cell>
        </row>
      </sheetData>
      <sheetData sheetId="2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명세"/>
      <sheetName val="Sheet2"/>
      <sheetName val="Sheet3"/>
    </sheetNames>
    <sheetDataSet>
      <sheetData sheetId="0" refreshError="1"/>
      <sheetData sheetId="1">
        <row r="3">
          <cell r="A3" t="str">
            <v>부장</v>
          </cell>
          <cell r="B3">
            <v>2750000</v>
          </cell>
          <cell r="C3">
            <v>300000</v>
          </cell>
        </row>
        <row r="4">
          <cell r="A4" t="str">
            <v>차장</v>
          </cell>
          <cell r="B4">
            <v>2350000</v>
          </cell>
          <cell r="C4">
            <v>220000</v>
          </cell>
        </row>
        <row r="5">
          <cell r="A5" t="str">
            <v>과장</v>
          </cell>
          <cell r="B5">
            <v>2150000</v>
          </cell>
          <cell r="C5">
            <v>150000</v>
          </cell>
        </row>
        <row r="6">
          <cell r="A6" t="str">
            <v>대리</v>
          </cell>
          <cell r="B6">
            <v>1900000</v>
          </cell>
        </row>
        <row r="7">
          <cell r="A7" t="str">
            <v>사원</v>
          </cell>
          <cell r="B7">
            <v>1650000</v>
          </cell>
        </row>
      </sheetData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データ"/>
      <sheetName val="Sheet3"/>
    </sheetNames>
    <sheetDataSet>
      <sheetData sheetId="0" refreshError="1"/>
      <sheetData sheetId="1">
        <row r="4">
          <cell r="B4" t="str">
            <v>2002年</v>
          </cell>
          <cell r="C4" t="str">
            <v>１月</v>
          </cell>
        </row>
        <row r="5">
          <cell r="B5" t="str">
            <v>2003年</v>
          </cell>
          <cell r="C5" t="str">
            <v>２月</v>
          </cell>
        </row>
        <row r="6">
          <cell r="B6" t="str">
            <v>2004年</v>
          </cell>
          <cell r="C6" t="str">
            <v>３月</v>
          </cell>
        </row>
        <row r="7">
          <cell r="B7" t="str">
            <v>2005年</v>
          </cell>
          <cell r="C7" t="str">
            <v>４月</v>
          </cell>
        </row>
        <row r="8">
          <cell r="B8" t="str">
            <v>2006年</v>
          </cell>
          <cell r="C8" t="str">
            <v>５月</v>
          </cell>
        </row>
        <row r="9">
          <cell r="B9" t="str">
            <v>2007年</v>
          </cell>
          <cell r="C9" t="str">
            <v>６月</v>
          </cell>
        </row>
        <row r="10">
          <cell r="B10" t="str">
            <v>2008年</v>
          </cell>
          <cell r="C10" t="str">
            <v>７月</v>
          </cell>
        </row>
        <row r="11">
          <cell r="B11" t="str">
            <v>2009年</v>
          </cell>
          <cell r="C11" t="str">
            <v>８月</v>
          </cell>
        </row>
        <row r="12">
          <cell r="B12" t="str">
            <v>2010年</v>
          </cell>
          <cell r="C12" t="str">
            <v>９月</v>
          </cell>
        </row>
        <row r="13">
          <cell r="B13" t="str">
            <v>2011年</v>
          </cell>
          <cell r="C13" t="str">
            <v>１０月</v>
          </cell>
        </row>
        <row r="14">
          <cell r="C14" t="str">
            <v>１１月</v>
          </cell>
        </row>
        <row r="15">
          <cell r="C15" t="str">
            <v>１２月</v>
          </cell>
        </row>
      </sheetData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배열기초"/>
      <sheetName val="배열함수"/>
      <sheetName val="논리연산"/>
      <sheetName val="다중조건"/>
      <sheetName val="조건순위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그룹"/>
      <sheetName val="시트그룹(2)"/>
      <sheetName val="셀서식복사"/>
      <sheetName val="데이타통합(1)"/>
      <sheetName val="데이타통합(2)"/>
      <sheetName val="데이타통합(3)"/>
      <sheetName val="데이타통합(4)"/>
      <sheetName val="데이타베이스 함수"/>
      <sheetName val="차트만들기(1)"/>
      <sheetName val="차트만들기(2)"/>
      <sheetName val="정렬"/>
      <sheetName val="평가문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지역</v>
          </cell>
        </row>
        <row r="4">
          <cell r="G4" t="str">
            <v>부산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그룹"/>
      <sheetName val="시트그룹(2)"/>
      <sheetName val="셀서식복사"/>
      <sheetName val="데이타통합(1)"/>
      <sheetName val="데이타통합(2)"/>
      <sheetName val="데이타통합(3)"/>
      <sheetName val="데이타통합(4)"/>
      <sheetName val="데이타베이스 함수"/>
      <sheetName val="차트만들기(1)"/>
      <sheetName val="차트만들기(2)"/>
      <sheetName val="정렬"/>
      <sheetName val="평가문제"/>
      <sheetName val="평가문제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지역</v>
          </cell>
        </row>
        <row r="4">
          <cell r="G4" t="str">
            <v>부산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판매목록"/>
      <sheetName val="거래처목록"/>
      <sheetName val="견적"/>
      <sheetName val="1일"/>
      <sheetName val="상품목록"/>
      <sheetName val="결재방식"/>
      <sheetName val="1일정답"/>
      <sheetName val="주소록"/>
      <sheetName val="매크로예제(2)"/>
      <sheetName val="자료목록"/>
      <sheetName val="매크로예제(2)정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화면"/>
      <sheetName val="엑셀데이터"/>
      <sheetName val="문자 데이터 입력"/>
      <sheetName val="특수문자입력법"/>
      <sheetName val="숫자데이터 입력"/>
      <sheetName val="날짜시간 데이터 입력"/>
      <sheetName val="데이터입력완료"/>
      <sheetName val="데이터 입력"/>
      <sheetName val="데이터 동시 입력"/>
      <sheetName val="공백문자 제거"/>
      <sheetName val="붙여넣기"/>
      <sheetName val="행삽입삭제"/>
      <sheetName val="행열편집"/>
      <sheetName val="빈셀 삭제"/>
      <sheetName val="선택하여 붙여넣기"/>
      <sheetName val="선택하여 붙여넣기2"/>
      <sheetName val="기본서식"/>
      <sheetName val="셀서식1"/>
      <sheetName val="셀서식2"/>
      <sheetName val="셀서식3"/>
      <sheetName val="셀서식4"/>
      <sheetName val="자동채우기"/>
      <sheetName val="빠른채우기"/>
      <sheetName val="빠른분석"/>
      <sheetName val="메모입력"/>
      <sheetName val="셀 스타일"/>
      <sheetName val="서식 복사"/>
      <sheetName val="그림복사_1"/>
      <sheetName val="그림복사_2"/>
      <sheetName val="구매품의서"/>
      <sheetName val="구입처"/>
      <sheetName val="sheet"/>
      <sheetName val="행열 숨기기"/>
      <sheetName val="텍스트나누기"/>
      <sheetName val="텍스트나누기 (2)"/>
      <sheetName val="데이터 인식오류"/>
      <sheetName val="정확한 데이터 입력"/>
      <sheetName val="유효성검사&amp;DB"/>
      <sheetName val="중복항목제거"/>
      <sheetName val="틀고정"/>
      <sheetName val="서울지사"/>
      <sheetName val="부산지사"/>
      <sheetName val="대전지사"/>
      <sheetName val="매출관리"/>
      <sheetName val="이름"/>
      <sheetName val="강조규칙"/>
      <sheetName val="상하위규칙"/>
      <sheetName val="막대"/>
      <sheetName val="색조"/>
      <sheetName val="아이콘"/>
      <sheetName val="복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G4">
            <v>0</v>
          </cell>
          <cell r="H4">
            <v>1000000</v>
          </cell>
        </row>
        <row r="5">
          <cell r="G5">
            <v>500000000</v>
          </cell>
          <cell r="H5">
            <v>1500000</v>
          </cell>
        </row>
        <row r="6">
          <cell r="G6">
            <v>800000000</v>
          </cell>
          <cell r="H6">
            <v>1800000</v>
          </cell>
        </row>
        <row r="7">
          <cell r="G7">
            <v>1000000000</v>
          </cell>
          <cell r="H7">
            <v>2200000</v>
          </cell>
        </row>
        <row r="8">
          <cell r="G8">
            <v>1300000000</v>
          </cell>
          <cell r="H8">
            <v>2500000</v>
          </cell>
        </row>
        <row r="9">
          <cell r="G9">
            <v>1700000000</v>
          </cell>
          <cell r="H9">
            <v>3200000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수학삼각함수"/>
      <sheetName val="ROUND,RANK"/>
      <sheetName val="ISBLANK"/>
      <sheetName val="IF,AND,OR"/>
      <sheetName val="IF,MID,LEFT"/>
      <sheetName val="SUMIF,COUNTIF,COUNTA"/>
      <sheetName val="VLOOKUP(1)"/>
      <sheetName val="VLOOKUP(2)"/>
      <sheetName val="vlookup과index&amp;match의 차이"/>
      <sheetName val="Match&amp;Index"/>
      <sheetName val="index_표"/>
      <sheetName val="index"/>
      <sheetName val="p 162작성하기sheet1"/>
      <sheetName val="데이타 검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임정연</v>
          </cell>
          <cell r="B2" t="str">
            <v>A</v>
          </cell>
          <cell r="C2" t="str">
            <v>B</v>
          </cell>
          <cell r="D2" t="str">
            <v>A</v>
          </cell>
          <cell r="E2" t="str">
            <v>A</v>
          </cell>
        </row>
        <row r="3">
          <cell r="A3" t="str">
            <v>강승희</v>
          </cell>
          <cell r="B3" t="str">
            <v>B</v>
          </cell>
          <cell r="C3" t="str">
            <v>B</v>
          </cell>
          <cell r="D3" t="str">
            <v>A</v>
          </cell>
          <cell r="E3" t="str">
            <v>D</v>
          </cell>
        </row>
        <row r="4">
          <cell r="A4" t="str">
            <v>윤영근</v>
          </cell>
          <cell r="B4" t="str">
            <v>C</v>
          </cell>
          <cell r="C4" t="str">
            <v>F</v>
          </cell>
          <cell r="D4" t="str">
            <v>A</v>
          </cell>
          <cell r="E4" t="str">
            <v>B</v>
          </cell>
        </row>
        <row r="5">
          <cell r="A5" t="str">
            <v>박종표</v>
          </cell>
          <cell r="B5" t="str">
            <v>D</v>
          </cell>
          <cell r="C5" t="str">
            <v>B</v>
          </cell>
          <cell r="D5" t="str">
            <v>C</v>
          </cell>
          <cell r="E5" t="str">
            <v>C</v>
          </cell>
        </row>
        <row r="6">
          <cell r="A6" t="str">
            <v>김장환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C</v>
          </cell>
        </row>
        <row r="7">
          <cell r="A7" t="str">
            <v>이원종</v>
          </cell>
          <cell r="B7" t="str">
            <v>F</v>
          </cell>
          <cell r="C7" t="str">
            <v>B</v>
          </cell>
          <cell r="D7" t="str">
            <v>D</v>
          </cell>
          <cell r="E7" t="str">
            <v>C</v>
          </cell>
        </row>
        <row r="8">
          <cell r="A8" t="str">
            <v>조병찬</v>
          </cell>
          <cell r="B8" t="str">
            <v>A</v>
          </cell>
          <cell r="C8" t="str">
            <v>C</v>
          </cell>
          <cell r="D8" t="str">
            <v>D</v>
          </cell>
          <cell r="E8" t="str">
            <v>B</v>
          </cell>
        </row>
        <row r="9">
          <cell r="A9" t="str">
            <v>강희선</v>
          </cell>
          <cell r="B9" t="str">
            <v>B</v>
          </cell>
          <cell r="C9" t="str">
            <v>C</v>
          </cell>
          <cell r="D9" t="str">
            <v>B</v>
          </cell>
          <cell r="E9" t="str">
            <v>B</v>
          </cell>
        </row>
        <row r="10">
          <cell r="A10" t="str">
            <v>최미선</v>
          </cell>
          <cell r="B10" t="str">
            <v>B</v>
          </cell>
          <cell r="C10" t="str">
            <v>C</v>
          </cell>
          <cell r="D10" t="str">
            <v>C</v>
          </cell>
          <cell r="E10" t="str">
            <v>A</v>
          </cell>
        </row>
        <row r="11">
          <cell r="A11" t="str">
            <v>김혜순</v>
          </cell>
          <cell r="B11" t="str">
            <v>C</v>
          </cell>
          <cell r="C11" t="str">
            <v>A</v>
          </cell>
          <cell r="D11" t="str">
            <v>B</v>
          </cell>
          <cell r="E11" t="str">
            <v>D</v>
          </cell>
        </row>
        <row r="12">
          <cell r="A12" t="str">
            <v>장현숙</v>
          </cell>
          <cell r="B12" t="str">
            <v>D</v>
          </cell>
          <cell r="C12" t="str">
            <v>A</v>
          </cell>
          <cell r="D12" t="str">
            <v>A</v>
          </cell>
          <cell r="E12" t="str">
            <v>B</v>
          </cell>
        </row>
        <row r="13">
          <cell r="A13" t="str">
            <v>강인선</v>
          </cell>
          <cell r="B13" t="str">
            <v>F</v>
          </cell>
          <cell r="C13" t="str">
            <v>C</v>
          </cell>
          <cell r="D13" t="str">
            <v>A</v>
          </cell>
          <cell r="E13" t="str">
            <v>C</v>
          </cell>
        </row>
        <row r="14">
          <cell r="A14" t="str">
            <v>하진</v>
          </cell>
          <cell r="B14" t="str">
            <v>A</v>
          </cell>
          <cell r="C14" t="str">
            <v>A</v>
          </cell>
          <cell r="D14" t="str">
            <v>F</v>
          </cell>
          <cell r="E14" t="str">
            <v>D</v>
          </cell>
        </row>
      </sheetData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견적서"/>
    </sheetNames>
    <sheetDataSet>
      <sheetData sheetId="0">
        <row r="2">
          <cell r="A2" t="str">
            <v>제품 001</v>
          </cell>
          <cell r="B2" t="str">
            <v>Box</v>
          </cell>
          <cell r="C2">
            <v>235000</v>
          </cell>
        </row>
        <row r="3">
          <cell r="A3" t="str">
            <v>제품 002</v>
          </cell>
          <cell r="B3" t="str">
            <v>개</v>
          </cell>
          <cell r="C3">
            <v>127000</v>
          </cell>
        </row>
        <row r="4">
          <cell r="A4" t="str">
            <v>제품 003</v>
          </cell>
          <cell r="B4" t="str">
            <v>개</v>
          </cell>
          <cell r="C4">
            <v>203000</v>
          </cell>
        </row>
        <row r="5">
          <cell r="A5" t="str">
            <v>제품 004</v>
          </cell>
          <cell r="B5" t="str">
            <v>개</v>
          </cell>
          <cell r="C5">
            <v>67000</v>
          </cell>
        </row>
        <row r="6">
          <cell r="A6" t="str">
            <v>제품 005</v>
          </cell>
          <cell r="B6" t="str">
            <v>Box</v>
          </cell>
          <cell r="C6">
            <v>103000</v>
          </cell>
        </row>
        <row r="7">
          <cell r="A7" t="str">
            <v>제품 006</v>
          </cell>
          <cell r="B7" t="str">
            <v>개</v>
          </cell>
          <cell r="C7">
            <v>54000</v>
          </cell>
        </row>
        <row r="8">
          <cell r="A8" t="str">
            <v>제품 007</v>
          </cell>
          <cell r="B8" t="str">
            <v>개</v>
          </cell>
          <cell r="C8">
            <v>135000</v>
          </cell>
        </row>
        <row r="9">
          <cell r="A9" t="str">
            <v>제품 008</v>
          </cell>
          <cell r="B9" t="str">
            <v>개</v>
          </cell>
          <cell r="C9">
            <v>113000</v>
          </cell>
        </row>
        <row r="10">
          <cell r="A10" t="str">
            <v>제품 009</v>
          </cell>
          <cell r="B10" t="str">
            <v>개</v>
          </cell>
          <cell r="C10">
            <v>114000</v>
          </cell>
        </row>
        <row r="11">
          <cell r="A11" t="str">
            <v>제품 010</v>
          </cell>
          <cell r="B11" t="str">
            <v>개</v>
          </cell>
          <cell r="C11">
            <v>192000</v>
          </cell>
        </row>
        <row r="12">
          <cell r="A12" t="str">
            <v>제품 011</v>
          </cell>
          <cell r="B12" t="str">
            <v>Box</v>
          </cell>
          <cell r="C12">
            <v>222000</v>
          </cell>
        </row>
        <row r="13">
          <cell r="A13" t="str">
            <v>제품 012</v>
          </cell>
          <cell r="B13" t="str">
            <v>Box</v>
          </cell>
          <cell r="C13">
            <v>239000</v>
          </cell>
        </row>
        <row r="14">
          <cell r="A14" t="str">
            <v>제품 013</v>
          </cell>
          <cell r="B14" t="str">
            <v>개</v>
          </cell>
          <cell r="C14">
            <v>236000</v>
          </cell>
        </row>
        <row r="15">
          <cell r="A15" t="str">
            <v>제품 014</v>
          </cell>
          <cell r="B15" t="str">
            <v>Box</v>
          </cell>
          <cell r="C15">
            <v>55000</v>
          </cell>
        </row>
        <row r="16">
          <cell r="A16" t="str">
            <v>제품 015</v>
          </cell>
          <cell r="B16" t="str">
            <v>Box</v>
          </cell>
          <cell r="C16">
            <v>87000</v>
          </cell>
        </row>
        <row r="17">
          <cell r="A17" t="str">
            <v>제품 016</v>
          </cell>
          <cell r="B17" t="str">
            <v>개</v>
          </cell>
          <cell r="C17">
            <v>23000</v>
          </cell>
        </row>
        <row r="18">
          <cell r="A18" t="str">
            <v>제품 017</v>
          </cell>
          <cell r="B18" t="str">
            <v>개</v>
          </cell>
          <cell r="C18">
            <v>41000</v>
          </cell>
        </row>
        <row r="19">
          <cell r="A19" t="str">
            <v>제품 018</v>
          </cell>
          <cell r="B19" t="str">
            <v>Box</v>
          </cell>
          <cell r="C19">
            <v>149000</v>
          </cell>
        </row>
        <row r="20">
          <cell r="A20" t="str">
            <v>제품 019</v>
          </cell>
          <cell r="B20" t="str">
            <v>개</v>
          </cell>
          <cell r="C20">
            <v>135000</v>
          </cell>
        </row>
        <row r="21">
          <cell r="A21" t="str">
            <v>제품 020</v>
          </cell>
          <cell r="B21" t="str">
            <v>Box</v>
          </cell>
          <cell r="C21">
            <v>193000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/>
  </sheetViews>
  <sheetFormatPr defaultColWidth="9" defaultRowHeight="17.399999999999999"/>
  <cols>
    <col min="1" max="1" width="2.8984375" style="323" customWidth="1"/>
    <col min="2" max="2" width="11.09765625" style="323" bestFit="1" customWidth="1"/>
    <col min="3" max="4" width="9" style="323"/>
    <col min="5" max="5" width="3.8984375" style="323" customWidth="1"/>
    <col min="6" max="6" width="18" style="323" bestFit="1" customWidth="1"/>
    <col min="7" max="16384" width="9" style="323"/>
  </cols>
  <sheetData>
    <row r="1" spans="2:7" ht="21">
      <c r="B1" s="588" t="s">
        <v>1464</v>
      </c>
      <c r="C1" s="588"/>
      <c r="D1" s="588"/>
      <c r="E1" s="335"/>
      <c r="F1" s="335"/>
      <c r="G1" s="335"/>
    </row>
    <row r="2" spans="2:7" ht="18" thickBot="1">
      <c r="B2" s="351"/>
      <c r="C2" s="350"/>
      <c r="D2" s="349"/>
      <c r="E2" s="335"/>
      <c r="F2" s="335"/>
      <c r="G2" s="335"/>
    </row>
    <row r="3" spans="2:7" ht="19.2">
      <c r="B3" s="348" t="s">
        <v>1463</v>
      </c>
      <c r="C3" s="347" t="s">
        <v>1217</v>
      </c>
      <c r="D3" s="346" t="s">
        <v>1462</v>
      </c>
      <c r="E3" s="335"/>
      <c r="F3" s="345" t="s">
        <v>1461</v>
      </c>
      <c r="G3" s="344"/>
    </row>
    <row r="4" spans="2:7" ht="19.2">
      <c r="B4" s="341">
        <v>43466</v>
      </c>
      <c r="C4" s="340" t="s">
        <v>653</v>
      </c>
      <c r="D4" s="343">
        <v>5000</v>
      </c>
      <c r="E4" s="335"/>
      <c r="F4" s="345" t="s">
        <v>1460</v>
      </c>
      <c r="G4" s="344"/>
    </row>
    <row r="5" spans="2:7" ht="19.2">
      <c r="B5" s="341">
        <v>43469</v>
      </c>
      <c r="C5" s="340" t="s">
        <v>659</v>
      </c>
      <c r="D5" s="343">
        <v>15000</v>
      </c>
      <c r="E5" s="335"/>
      <c r="F5" s="345" t="s">
        <v>1459</v>
      </c>
      <c r="G5" s="344"/>
    </row>
    <row r="6" spans="2:7">
      <c r="B6" s="341">
        <v>43472</v>
      </c>
      <c r="C6" s="340" t="s">
        <v>661</v>
      </c>
      <c r="D6" s="343"/>
      <c r="E6" s="335"/>
    </row>
    <row r="7" spans="2:7">
      <c r="B7" s="341">
        <v>43475</v>
      </c>
      <c r="C7" s="340" t="s">
        <v>664</v>
      </c>
      <c r="D7" s="343"/>
      <c r="E7" s="335"/>
    </row>
    <row r="8" spans="2:7">
      <c r="B8" s="341">
        <v>43477</v>
      </c>
      <c r="C8" s="340" t="s">
        <v>666</v>
      </c>
      <c r="D8" s="343">
        <v>6000</v>
      </c>
      <c r="E8" s="335"/>
    </row>
    <row r="9" spans="2:7">
      <c r="B9" s="341">
        <v>43480</v>
      </c>
      <c r="C9" s="340" t="s">
        <v>1458</v>
      </c>
      <c r="D9" s="343"/>
      <c r="E9" s="335"/>
    </row>
    <row r="10" spans="2:7">
      <c r="B10" s="341">
        <v>43481</v>
      </c>
      <c r="C10" s="340" t="s">
        <v>1457</v>
      </c>
      <c r="D10" s="343">
        <v>10000</v>
      </c>
      <c r="E10" s="335"/>
      <c r="F10" s="335"/>
      <c r="G10" s="335"/>
    </row>
    <row r="11" spans="2:7">
      <c r="B11" s="341">
        <v>43483</v>
      </c>
      <c r="C11" s="340" t="s">
        <v>671</v>
      </c>
      <c r="D11" s="343">
        <v>7000</v>
      </c>
      <c r="E11" s="335"/>
      <c r="F11" s="335"/>
      <c r="G11" s="335"/>
    </row>
    <row r="12" spans="2:7">
      <c r="B12" s="341">
        <v>43485</v>
      </c>
      <c r="C12" s="340" t="s">
        <v>1456</v>
      </c>
      <c r="D12" s="343"/>
      <c r="E12" s="335"/>
      <c r="F12" s="335"/>
      <c r="G12" s="335"/>
    </row>
    <row r="13" spans="2:7">
      <c r="B13" s="341">
        <v>43486</v>
      </c>
      <c r="C13" s="340" t="s">
        <v>1455</v>
      </c>
      <c r="D13" s="343"/>
      <c r="E13" s="335"/>
      <c r="F13" s="335"/>
      <c r="G13" s="335"/>
    </row>
    <row r="14" spans="2:7">
      <c r="B14" s="341">
        <v>43488</v>
      </c>
      <c r="C14" s="342" t="s">
        <v>1454</v>
      </c>
      <c r="D14" s="339">
        <v>6000</v>
      </c>
      <c r="E14" s="335"/>
      <c r="F14" s="335"/>
      <c r="G14" s="335"/>
    </row>
    <row r="15" spans="2:7">
      <c r="B15" s="341">
        <v>43490</v>
      </c>
      <c r="C15" s="340" t="s">
        <v>667</v>
      </c>
      <c r="D15" s="339">
        <v>3000</v>
      </c>
      <c r="E15" s="335"/>
      <c r="F15" s="335"/>
      <c r="G15" s="335"/>
    </row>
    <row r="16" spans="2:7">
      <c r="B16" s="341">
        <v>43492</v>
      </c>
      <c r="C16" s="340" t="s">
        <v>670</v>
      </c>
      <c r="D16" s="339">
        <v>5000</v>
      </c>
      <c r="E16" s="335"/>
      <c r="F16" s="335"/>
      <c r="G16" s="335"/>
    </row>
    <row r="17" spans="2:7" ht="18" thickBot="1">
      <c r="B17" s="338">
        <v>43494</v>
      </c>
      <c r="C17" s="337" t="s">
        <v>1453</v>
      </c>
      <c r="D17" s="336">
        <v>15000</v>
      </c>
      <c r="E17" s="335"/>
      <c r="F17" s="335"/>
      <c r="G17" s="335"/>
    </row>
  </sheetData>
  <mergeCells count="1">
    <mergeCell ref="B1:D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zoomScale="130" zoomScaleNormal="130" workbookViewId="0">
      <selection activeCell="H7" sqref="H7"/>
    </sheetView>
  </sheetViews>
  <sheetFormatPr defaultColWidth="9" defaultRowHeight="17.399999999999999"/>
  <cols>
    <col min="1" max="1" width="3" style="323" customWidth="1"/>
    <col min="2" max="5" width="9" style="323"/>
    <col min="6" max="6" width="3.796875" style="323" customWidth="1"/>
    <col min="7" max="7" width="19.19921875" style="352" customWidth="1"/>
    <col min="8" max="16384" width="9" style="323"/>
  </cols>
  <sheetData>
    <row r="1" spans="2:8" ht="21">
      <c r="B1" s="589" t="s">
        <v>1484</v>
      </c>
      <c r="C1" s="589"/>
      <c r="D1" s="589"/>
      <c r="E1" s="589"/>
    </row>
    <row r="3" spans="2:8" ht="18" thickBot="1">
      <c r="B3" s="368" t="s">
        <v>1483</v>
      </c>
      <c r="C3" s="368" t="s">
        <v>1482</v>
      </c>
      <c r="D3" s="368" t="s">
        <v>1481</v>
      </c>
      <c r="E3" s="367" t="s">
        <v>1480</v>
      </c>
    </row>
    <row r="4" spans="2:8" ht="18" thickTop="1">
      <c r="B4" s="358" t="s">
        <v>1479</v>
      </c>
      <c r="C4" s="357"/>
      <c r="D4" s="357"/>
      <c r="E4" s="356">
        <f t="shared" ref="E4:E13" si="0">SUM(C4:D4)</f>
        <v>0</v>
      </c>
      <c r="G4" s="363" t="s">
        <v>1478</v>
      </c>
      <c r="H4" s="366">
        <f>COUNTA(B4:B13)</f>
        <v>10</v>
      </c>
    </row>
    <row r="5" spans="2:8">
      <c r="B5" s="361" t="s">
        <v>1477</v>
      </c>
      <c r="C5" s="360">
        <v>30</v>
      </c>
      <c r="D5" s="360">
        <v>100</v>
      </c>
      <c r="E5" s="359">
        <f t="shared" si="0"/>
        <v>130</v>
      </c>
      <c r="G5" s="365" t="s">
        <v>1476</v>
      </c>
      <c r="H5" s="366">
        <f>COUNT(C4:C13)</f>
        <v>8</v>
      </c>
    </row>
    <row r="6" spans="2:8">
      <c r="B6" s="358" t="s">
        <v>1475</v>
      </c>
      <c r="C6" s="357">
        <v>65</v>
      </c>
      <c r="D6" s="357">
        <v>50</v>
      </c>
      <c r="E6" s="356">
        <f t="shared" si="0"/>
        <v>115</v>
      </c>
      <c r="G6" s="363" t="s">
        <v>1474</v>
      </c>
      <c r="H6" s="366">
        <f>COUNTBLANK(D4:D13)</f>
        <v>3</v>
      </c>
    </row>
    <row r="7" spans="2:8">
      <c r="B7" s="361" t="s">
        <v>1473</v>
      </c>
      <c r="C7" s="360">
        <v>86</v>
      </c>
      <c r="D7" s="360">
        <v>60</v>
      </c>
      <c r="E7" s="359">
        <f t="shared" si="0"/>
        <v>146</v>
      </c>
      <c r="G7" s="365" t="s">
        <v>1472</v>
      </c>
      <c r="H7" s="364">
        <f>COUNTIF(E4:E13,"&gt;=100")</f>
        <v>7</v>
      </c>
    </row>
    <row r="8" spans="2:8">
      <c r="B8" s="358" t="s">
        <v>1471</v>
      </c>
      <c r="C8" s="357">
        <v>40</v>
      </c>
      <c r="D8" s="357">
        <v>75</v>
      </c>
      <c r="E8" s="356">
        <f t="shared" si="0"/>
        <v>115</v>
      </c>
      <c r="G8" s="363" t="s">
        <v>1470</v>
      </c>
      <c r="H8" s="362">
        <f>COUNTIFS(C4:C13,"&gt;=60",D4:D13,"&gt;=60")</f>
        <v>2</v>
      </c>
    </row>
    <row r="9" spans="2:8">
      <c r="B9" s="361" t="s">
        <v>1469</v>
      </c>
      <c r="C9" s="360">
        <v>100</v>
      </c>
      <c r="D9" s="360"/>
      <c r="E9" s="359">
        <f t="shared" si="0"/>
        <v>100</v>
      </c>
    </row>
    <row r="10" spans="2:8">
      <c r="B10" s="358" t="s">
        <v>1468</v>
      </c>
      <c r="C10" s="357">
        <v>84</v>
      </c>
      <c r="D10" s="357">
        <v>90</v>
      </c>
      <c r="E10" s="356">
        <f t="shared" si="0"/>
        <v>174</v>
      </c>
    </row>
    <row r="11" spans="2:8">
      <c r="B11" s="361" t="s">
        <v>1467</v>
      </c>
      <c r="C11" s="360"/>
      <c r="D11" s="360">
        <v>65</v>
      </c>
      <c r="E11" s="359">
        <f t="shared" si="0"/>
        <v>65</v>
      </c>
    </row>
    <row r="12" spans="2:8">
      <c r="B12" s="358" t="s">
        <v>1466</v>
      </c>
      <c r="C12" s="357">
        <v>80</v>
      </c>
      <c r="D12" s="357"/>
      <c r="E12" s="356">
        <f t="shared" si="0"/>
        <v>80</v>
      </c>
    </row>
    <row r="13" spans="2:8">
      <c r="B13" s="355" t="s">
        <v>1465</v>
      </c>
      <c r="C13" s="354">
        <v>50</v>
      </c>
      <c r="D13" s="354">
        <v>90</v>
      </c>
      <c r="E13" s="353">
        <f t="shared" si="0"/>
        <v>140</v>
      </c>
    </row>
  </sheetData>
  <mergeCells count="1">
    <mergeCell ref="B1:E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topLeftCell="A10" zoomScale="115" zoomScaleNormal="115" workbookViewId="0">
      <selection activeCell="L21" sqref="L21"/>
    </sheetView>
  </sheetViews>
  <sheetFormatPr defaultColWidth="8.8984375" defaultRowHeight="17.399999999999999"/>
  <cols>
    <col min="1" max="1" width="1.09765625" style="8" customWidth="1"/>
    <col min="2" max="2" width="9.796875" style="8" bestFit="1" customWidth="1"/>
    <col min="3" max="5" width="8.8984375" style="8"/>
    <col min="6" max="6" width="10.3984375" style="8" customWidth="1"/>
    <col min="7" max="7" width="8.8984375" style="8"/>
    <col min="8" max="8" width="4" style="8" customWidth="1"/>
    <col min="9" max="9" width="0.69921875" style="260" customWidth="1"/>
    <col min="10" max="10" width="3.3984375" style="8" customWidth="1"/>
    <col min="11" max="11" width="16.09765625" style="8" customWidth="1"/>
    <col min="12" max="12" width="10.3984375" style="8" customWidth="1"/>
    <col min="13" max="13" width="10.69921875" style="8" customWidth="1"/>
    <col min="14" max="14" width="11.19921875" style="8" customWidth="1"/>
    <col min="15" max="16384" width="8.8984375" style="8"/>
  </cols>
  <sheetData>
    <row r="1" spans="2:14" ht="27.6">
      <c r="B1" s="219" t="s">
        <v>1708</v>
      </c>
      <c r="C1" s="9"/>
      <c r="D1" s="9"/>
      <c r="E1" s="9"/>
      <c r="F1" s="9"/>
      <c r="L1" s="9"/>
      <c r="N1" s="9"/>
    </row>
    <row r="2" spans="2:14">
      <c r="B2" s="9"/>
      <c r="C2" s="9"/>
      <c r="D2" s="9"/>
      <c r="E2" s="9"/>
      <c r="F2" s="9"/>
      <c r="K2" s="9"/>
      <c r="L2" s="9"/>
      <c r="M2" s="9"/>
      <c r="N2" s="9"/>
    </row>
    <row r="3" spans="2:14">
      <c r="B3" s="211" t="s">
        <v>68</v>
      </c>
      <c r="C3" s="212" t="s">
        <v>67</v>
      </c>
      <c r="D3" s="212" t="s">
        <v>66</v>
      </c>
      <c r="E3" s="212" t="s">
        <v>65</v>
      </c>
      <c r="F3" s="212" t="s">
        <v>64</v>
      </c>
      <c r="G3" s="213" t="s">
        <v>63</v>
      </c>
      <c r="H3"/>
      <c r="K3" s="214" t="s">
        <v>62</v>
      </c>
      <c r="L3" s="320">
        <f>COUNTA(C4:C21)</f>
        <v>18</v>
      </c>
      <c r="M3" s="9"/>
    </row>
    <row r="4" spans="2:14">
      <c r="B4" s="15" t="s">
        <v>57</v>
      </c>
      <c r="C4" s="14" t="s">
        <v>61</v>
      </c>
      <c r="D4" s="14">
        <v>88</v>
      </c>
      <c r="E4" s="14" t="s">
        <v>21</v>
      </c>
      <c r="F4" s="14" t="s">
        <v>24</v>
      </c>
      <c r="G4" s="13" t="str">
        <f t="shared" ref="G4:G21" si="0">IF(AND(D4&gt;=80,OR(E4="A",E4="B")),"합격","불합격")</f>
        <v>합격</v>
      </c>
      <c r="H4" s="259"/>
      <c r="K4" s="215" t="s">
        <v>60</v>
      </c>
      <c r="L4" s="320">
        <f>COUNT(D4:D21)</f>
        <v>15</v>
      </c>
      <c r="M4" s="9"/>
    </row>
    <row r="5" spans="2:14">
      <c r="B5" s="15" t="s">
        <v>57</v>
      </c>
      <c r="C5" s="14" t="s">
        <v>59</v>
      </c>
      <c r="D5" s="14">
        <v>91</v>
      </c>
      <c r="E5" s="14" t="s">
        <v>25</v>
      </c>
      <c r="F5" s="14" t="s">
        <v>29</v>
      </c>
      <c r="G5" s="13" t="str">
        <f t="shared" si="0"/>
        <v>합격</v>
      </c>
      <c r="H5" s="259"/>
      <c r="K5" s="215" t="s">
        <v>58</v>
      </c>
      <c r="L5" s="320">
        <f>COUNTBLANK(D4:D21)</f>
        <v>3</v>
      </c>
      <c r="M5" s="9"/>
    </row>
    <row r="6" spans="2:14">
      <c r="B6" s="15" t="s">
        <v>57</v>
      </c>
      <c r="C6" s="14" t="s">
        <v>56</v>
      </c>
      <c r="D6" s="14">
        <v>65</v>
      </c>
      <c r="E6" s="14" t="s">
        <v>31</v>
      </c>
      <c r="F6" s="14" t="s">
        <v>29</v>
      </c>
      <c r="G6" s="13" t="str">
        <f t="shared" si="0"/>
        <v>불합격</v>
      </c>
      <c r="H6" s="259"/>
      <c r="K6" s="215" t="s">
        <v>55</v>
      </c>
      <c r="L6" s="320">
        <f>COUNTIF(G4:G21,"=합격")</f>
        <v>6</v>
      </c>
      <c r="M6" s="9"/>
    </row>
    <row r="7" spans="2:14">
      <c r="B7" s="15" t="s">
        <v>49</v>
      </c>
      <c r="C7" s="14" t="s">
        <v>54</v>
      </c>
      <c r="D7" s="14">
        <v>55</v>
      </c>
      <c r="E7" s="14" t="s">
        <v>21</v>
      </c>
      <c r="F7" s="14" t="s">
        <v>24</v>
      </c>
      <c r="G7" s="13" t="str">
        <f t="shared" si="0"/>
        <v>불합격</v>
      </c>
      <c r="H7" s="259"/>
      <c r="K7" s="215" t="s">
        <v>53</v>
      </c>
      <c r="L7" s="216"/>
      <c r="M7" s="320">
        <f>COUNTIF(D4:D21,"&gt;=80")</f>
        <v>7</v>
      </c>
    </row>
    <row r="8" spans="2:14">
      <c r="B8" s="15" t="s">
        <v>49</v>
      </c>
      <c r="C8" s="14" t="s">
        <v>52</v>
      </c>
      <c r="D8" s="14">
        <v>67</v>
      </c>
      <c r="E8" s="14" t="s">
        <v>35</v>
      </c>
      <c r="F8" s="14" t="s">
        <v>29</v>
      </c>
      <c r="G8" s="13" t="str">
        <f t="shared" si="0"/>
        <v>불합격</v>
      </c>
      <c r="H8" s="259"/>
      <c r="K8" s="215" t="s">
        <v>51</v>
      </c>
      <c r="L8" s="217"/>
      <c r="M8" s="320">
        <f>COUNTIFS(D4:D21,"&gt;=80",E4:E21,"=A")</f>
        <v>3</v>
      </c>
      <c r="N8" s="18"/>
    </row>
    <row r="9" spans="2:14">
      <c r="B9" s="15" t="s">
        <v>49</v>
      </c>
      <c r="C9" s="14" t="s">
        <v>50</v>
      </c>
      <c r="D9" s="14"/>
      <c r="E9" s="14" t="s">
        <v>31</v>
      </c>
      <c r="F9" s="14" t="s">
        <v>27</v>
      </c>
      <c r="G9" s="13" t="str">
        <f t="shared" si="0"/>
        <v>불합격</v>
      </c>
      <c r="H9" s="259"/>
    </row>
    <row r="10" spans="2:14" ht="19.2">
      <c r="B10" s="15" t="s">
        <v>49</v>
      </c>
      <c r="C10" s="14" t="s">
        <v>48</v>
      </c>
      <c r="D10" s="14">
        <v>91</v>
      </c>
      <c r="E10" s="14" t="s">
        <v>31</v>
      </c>
      <c r="F10" s="14" t="s">
        <v>24</v>
      </c>
      <c r="G10" s="13" t="str">
        <f t="shared" si="0"/>
        <v>불합격</v>
      </c>
      <c r="H10" s="259"/>
      <c r="K10" s="17" t="s">
        <v>47</v>
      </c>
    </row>
    <row r="11" spans="2:14">
      <c r="B11" s="15" t="s">
        <v>41</v>
      </c>
      <c r="C11" s="14" t="s">
        <v>46</v>
      </c>
      <c r="D11" s="14">
        <v>84</v>
      </c>
      <c r="E11" s="14" t="s">
        <v>21</v>
      </c>
      <c r="F11" s="14" t="s">
        <v>29</v>
      </c>
      <c r="G11" s="13" t="str">
        <f t="shared" si="0"/>
        <v>합격</v>
      </c>
      <c r="H11" s="259"/>
      <c r="K11" s="594" t="s">
        <v>45</v>
      </c>
      <c r="L11" s="590" t="s">
        <v>24</v>
      </c>
      <c r="M11" s="590" t="s">
        <v>29</v>
      </c>
      <c r="N11" s="592" t="s">
        <v>27</v>
      </c>
    </row>
    <row r="12" spans="2:14">
      <c r="B12" s="15" t="s">
        <v>41</v>
      </c>
      <c r="C12" s="14" t="s">
        <v>44</v>
      </c>
      <c r="D12" s="14"/>
      <c r="E12" s="14" t="s">
        <v>35</v>
      </c>
      <c r="F12" s="14" t="s">
        <v>24</v>
      </c>
      <c r="G12" s="13" t="str">
        <f t="shared" si="0"/>
        <v>불합격</v>
      </c>
      <c r="H12" s="259"/>
      <c r="K12" s="595"/>
      <c r="L12" s="591"/>
      <c r="M12" s="591"/>
      <c r="N12" s="593"/>
    </row>
    <row r="13" spans="2:14">
      <c r="B13" s="15" t="s">
        <v>41</v>
      </c>
      <c r="C13" s="14" t="s">
        <v>43</v>
      </c>
      <c r="D13" s="14">
        <v>88</v>
      </c>
      <c r="E13" s="14" t="s">
        <v>25</v>
      </c>
      <c r="F13" s="14" t="s">
        <v>29</v>
      </c>
      <c r="G13" s="13" t="str">
        <f t="shared" si="0"/>
        <v>합격</v>
      </c>
      <c r="H13" s="259"/>
      <c r="K13" s="16" t="s">
        <v>42</v>
      </c>
      <c r="L13" s="218">
        <f>COUNTIFS($E$4:$E$21,K13,$F$4:$F$21,$L$11)</f>
        <v>1</v>
      </c>
      <c r="M13" s="218">
        <f>COUNTIFS($E$4:$E$21,K13,$F$4:$F$21,$M$11)</f>
        <v>3</v>
      </c>
      <c r="N13" s="218">
        <f>COUNTIFS($E$4:$E$21,K13,$F$4:$F$21,$N$11)</f>
        <v>2</v>
      </c>
    </row>
    <row r="14" spans="2:14">
      <c r="B14" s="15" t="s">
        <v>41</v>
      </c>
      <c r="C14" s="14" t="s">
        <v>40</v>
      </c>
      <c r="D14" s="14">
        <v>56</v>
      </c>
      <c r="E14" s="14" t="s">
        <v>25</v>
      </c>
      <c r="F14" s="14" t="s">
        <v>27</v>
      </c>
      <c r="G14" s="13" t="str">
        <f t="shared" si="0"/>
        <v>불합격</v>
      </c>
      <c r="H14" s="259"/>
      <c r="K14" s="16" t="s">
        <v>39</v>
      </c>
      <c r="L14" s="218">
        <f t="shared" ref="L14:L16" si="1">COUNTIFS($E$4:$E$21,K14,$F$4:$F$21,$L$11)</f>
        <v>2</v>
      </c>
      <c r="M14" s="218">
        <f t="shared" ref="M14:M16" si="2">COUNTIFS($E$4:$E$21,K14,$F$4:$F$21,$M$11)</f>
        <v>2</v>
      </c>
      <c r="N14" s="218">
        <f t="shared" ref="N14:N16" si="3">COUNTIFS($E$4:$E$21,K14,$F$4:$F$21,$N$11)</f>
        <v>1</v>
      </c>
    </row>
    <row r="15" spans="2:14">
      <c r="B15" s="15" t="s">
        <v>33</v>
      </c>
      <c r="C15" s="14" t="s">
        <v>38</v>
      </c>
      <c r="D15" s="14"/>
      <c r="E15" s="14" t="s">
        <v>21</v>
      </c>
      <c r="F15" s="14" t="s">
        <v>27</v>
      </c>
      <c r="G15" s="13" t="str">
        <f t="shared" si="0"/>
        <v>불합격</v>
      </c>
      <c r="H15" s="259"/>
      <c r="K15" s="16" t="s">
        <v>37</v>
      </c>
      <c r="L15" s="218">
        <f t="shared" si="1"/>
        <v>1</v>
      </c>
      <c r="M15" s="218">
        <f t="shared" si="2"/>
        <v>2</v>
      </c>
      <c r="N15" s="218">
        <f t="shared" si="3"/>
        <v>0</v>
      </c>
    </row>
    <row r="16" spans="2:14">
      <c r="B16" s="15" t="s">
        <v>33</v>
      </c>
      <c r="C16" s="14" t="s">
        <v>36</v>
      </c>
      <c r="D16" s="14">
        <v>68</v>
      </c>
      <c r="E16" s="14" t="s">
        <v>35</v>
      </c>
      <c r="F16" s="14" t="s">
        <v>29</v>
      </c>
      <c r="G16" s="13" t="str">
        <f t="shared" si="0"/>
        <v>불합격</v>
      </c>
      <c r="H16" s="259"/>
      <c r="K16" s="16" t="s">
        <v>34</v>
      </c>
      <c r="L16" s="218">
        <f t="shared" si="1"/>
        <v>2</v>
      </c>
      <c r="M16" s="218">
        <f t="shared" si="2"/>
        <v>1</v>
      </c>
      <c r="N16" s="218">
        <f t="shared" si="3"/>
        <v>1</v>
      </c>
    </row>
    <row r="17" spans="2:15">
      <c r="B17" s="15" t="s">
        <v>33</v>
      </c>
      <c r="C17" s="14" t="s">
        <v>32</v>
      </c>
      <c r="D17" s="14">
        <v>53</v>
      </c>
      <c r="E17" s="14" t="s">
        <v>31</v>
      </c>
      <c r="F17" s="14" t="s">
        <v>24</v>
      </c>
      <c r="G17" s="13" t="str">
        <f t="shared" si="0"/>
        <v>불합격</v>
      </c>
      <c r="H17" s="259"/>
      <c r="K17" s="9"/>
      <c r="L17" s="9"/>
      <c r="M17" s="9"/>
      <c r="N17" s="9"/>
    </row>
    <row r="18" spans="2:15">
      <c r="B18" s="15" t="s">
        <v>23</v>
      </c>
      <c r="C18" s="14" t="s">
        <v>30</v>
      </c>
      <c r="D18" s="14">
        <v>85</v>
      </c>
      <c r="E18" s="14" t="s">
        <v>25</v>
      </c>
      <c r="F18" s="14" t="s">
        <v>29</v>
      </c>
      <c r="G18" s="13" t="str">
        <f t="shared" si="0"/>
        <v>합격</v>
      </c>
      <c r="H18" s="259"/>
      <c r="K18" s="9"/>
      <c r="L18" s="9"/>
      <c r="M18" s="9"/>
      <c r="N18" s="9"/>
    </row>
    <row r="19" spans="2:15" ht="19.2">
      <c r="B19" s="15" t="s">
        <v>23</v>
      </c>
      <c r="C19" s="14" t="s">
        <v>28</v>
      </c>
      <c r="D19" s="14">
        <v>79</v>
      </c>
      <c r="E19" s="14" t="s">
        <v>25</v>
      </c>
      <c r="F19" s="14" t="s">
        <v>27</v>
      </c>
      <c r="G19" s="13" t="str">
        <f t="shared" si="0"/>
        <v>불합격</v>
      </c>
      <c r="H19" s="259"/>
      <c r="K19" s="17" t="s">
        <v>71</v>
      </c>
      <c r="L19" s="18"/>
      <c r="M19" s="583" t="s">
        <v>1863</v>
      </c>
      <c r="N19"/>
      <c r="O19"/>
    </row>
    <row r="20" spans="2:15">
      <c r="B20" s="15" t="s">
        <v>23</v>
      </c>
      <c r="C20" s="14" t="s">
        <v>26</v>
      </c>
      <c r="D20" s="14">
        <v>70</v>
      </c>
      <c r="E20" s="14" t="s">
        <v>25</v>
      </c>
      <c r="F20" s="14" t="s">
        <v>24</v>
      </c>
      <c r="G20" s="13" t="str">
        <f t="shared" si="0"/>
        <v>불합격</v>
      </c>
      <c r="H20" s="259"/>
      <c r="K20" s="16" t="s">
        <v>69</v>
      </c>
      <c r="L20" s="16" t="s">
        <v>70</v>
      </c>
      <c r="M20" s="9"/>
      <c r="N20"/>
      <c r="O20"/>
    </row>
    <row r="21" spans="2:15">
      <c r="B21" s="12" t="s">
        <v>23</v>
      </c>
      <c r="C21" s="11" t="s">
        <v>22</v>
      </c>
      <c r="D21" s="11">
        <v>91</v>
      </c>
      <c r="E21" s="11" t="s">
        <v>21</v>
      </c>
      <c r="F21" s="11" t="s">
        <v>20</v>
      </c>
      <c r="G21" s="10" t="str">
        <f t="shared" si="0"/>
        <v>합격</v>
      </c>
      <c r="H21" s="259"/>
      <c r="K21" s="171">
        <v>50</v>
      </c>
      <c r="L21" s="218">
        <f t="array" ref="L21:L26">FREQUENCY(D4:D21,K21:K26)</f>
        <v>0</v>
      </c>
      <c r="M21" s="9"/>
      <c r="N21"/>
      <c r="O21"/>
    </row>
    <row r="22" spans="2:15">
      <c r="K22" s="171">
        <v>60</v>
      </c>
      <c r="L22" s="218">
        <v>3</v>
      </c>
      <c r="N22"/>
      <c r="O22"/>
    </row>
    <row r="23" spans="2:15">
      <c r="K23" s="171">
        <v>70</v>
      </c>
      <c r="L23" s="218">
        <v>4</v>
      </c>
      <c r="N23"/>
      <c r="O23"/>
    </row>
    <row r="24" spans="2:15">
      <c r="K24" s="171">
        <v>80</v>
      </c>
      <c r="L24" s="218">
        <v>1</v>
      </c>
      <c r="N24"/>
      <c r="O24"/>
    </row>
    <row r="25" spans="2:15">
      <c r="K25" s="171">
        <v>90</v>
      </c>
      <c r="L25" s="218">
        <v>4</v>
      </c>
      <c r="N25"/>
      <c r="O25"/>
    </row>
    <row r="26" spans="2:15">
      <c r="K26" s="171">
        <v>100</v>
      </c>
      <c r="L26" s="218">
        <v>3</v>
      </c>
      <c r="N26"/>
      <c r="O26"/>
    </row>
  </sheetData>
  <mergeCells count="4">
    <mergeCell ref="M11:M12"/>
    <mergeCell ref="N11:N12"/>
    <mergeCell ref="K11:K12"/>
    <mergeCell ref="L11:L1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zoomScale="130" zoomScaleNormal="130" workbookViewId="0">
      <selection activeCell="G11" sqref="G11:H11"/>
    </sheetView>
  </sheetViews>
  <sheetFormatPr defaultColWidth="9" defaultRowHeight="17.399999999999999"/>
  <cols>
    <col min="1" max="1" width="2" style="323" customWidth="1"/>
    <col min="2" max="2" width="10.09765625" style="323" customWidth="1"/>
    <col min="3" max="3" width="10.3984375" style="323" customWidth="1"/>
    <col min="4" max="4" width="9" style="323"/>
    <col min="5" max="5" width="12" style="323" customWidth="1"/>
    <col min="6" max="6" width="2.296875" style="323" customWidth="1"/>
    <col min="7" max="7" width="15.296875" style="323" customWidth="1"/>
    <col min="8" max="8" width="16.8984375" style="323" customWidth="1"/>
    <col min="9" max="16384" width="9" style="323"/>
  </cols>
  <sheetData>
    <row r="1" spans="2:8" ht="21">
      <c r="B1" s="589" t="s">
        <v>1498</v>
      </c>
      <c r="C1" s="589"/>
      <c r="D1" s="589"/>
      <c r="E1" s="589"/>
    </row>
    <row r="3" spans="2:8">
      <c r="B3" s="385" t="s">
        <v>1497</v>
      </c>
      <c r="C3" s="385" t="s">
        <v>1496</v>
      </c>
      <c r="D3" s="385" t="s">
        <v>1495</v>
      </c>
      <c r="E3" s="384" t="s">
        <v>1494</v>
      </c>
    </row>
    <row r="4" spans="2:8">
      <c r="B4" s="371" t="s">
        <v>1486</v>
      </c>
      <c r="C4" s="370">
        <v>538890</v>
      </c>
      <c r="D4" s="370">
        <v>17.142857142857142</v>
      </c>
      <c r="E4" s="369">
        <f t="shared" ref="E4:E14" si="0">C4*D4</f>
        <v>9238114.2857142854</v>
      </c>
      <c r="G4" s="383" t="s">
        <v>1493</v>
      </c>
      <c r="H4" s="382">
        <f ca="1">SUMIF($B$4:$E$14,B4,$E$4:$E$14)</f>
        <v>83987588.571428582</v>
      </c>
    </row>
    <row r="5" spans="2:8">
      <c r="B5" s="376" t="s">
        <v>1490</v>
      </c>
      <c r="C5" s="375">
        <v>458850</v>
      </c>
      <c r="D5" s="375">
        <v>19.285714285714285</v>
      </c>
      <c r="E5" s="374">
        <f t="shared" si="0"/>
        <v>8849250</v>
      </c>
      <c r="G5" s="381" t="s">
        <v>1492</v>
      </c>
      <c r="H5" s="380">
        <f ca="1">SUMIF($B$4:$E$14,B5,$E$4:$E$14)</f>
        <v>48932335.714285716</v>
      </c>
    </row>
    <row r="6" spans="2:8">
      <c r="B6" s="371" t="s">
        <v>1488</v>
      </c>
      <c r="C6" s="370">
        <v>498985</v>
      </c>
      <c r="D6" s="370">
        <v>92.857142857142861</v>
      </c>
      <c r="E6" s="369">
        <f t="shared" si="0"/>
        <v>46334321.428571433</v>
      </c>
      <c r="G6" s="383" t="s">
        <v>1491</v>
      </c>
      <c r="H6" s="382">
        <f ca="1">SUMIF($B$4:$E$14,B11,$E$4:$E$14)</f>
        <v>75816608.571428567</v>
      </c>
    </row>
    <row r="7" spans="2:8">
      <c r="B7" s="376" t="s">
        <v>1490</v>
      </c>
      <c r="C7" s="375">
        <v>584545</v>
      </c>
      <c r="D7" s="375">
        <v>68.571428571428569</v>
      </c>
      <c r="E7" s="374">
        <f t="shared" si="0"/>
        <v>40083085.714285716</v>
      </c>
      <c r="G7" s="381" t="s">
        <v>1489</v>
      </c>
      <c r="H7" s="380">
        <f ca="1">SUMIF($B$4:$E$14,B6,$E$4:$E$14)</f>
        <v>83495750</v>
      </c>
    </row>
    <row r="8" spans="2:8">
      <c r="B8" s="379" t="s">
        <v>1486</v>
      </c>
      <c r="C8" s="370">
        <v>616170</v>
      </c>
      <c r="D8" s="370">
        <v>45.857142857142854</v>
      </c>
      <c r="E8" s="369">
        <f t="shared" si="0"/>
        <v>28255795.714285713</v>
      </c>
    </row>
    <row r="9" spans="2:8">
      <c r="B9" s="376" t="s">
        <v>1486</v>
      </c>
      <c r="C9" s="375">
        <v>483920</v>
      </c>
      <c r="D9" s="375">
        <v>28.571428571428573</v>
      </c>
      <c r="E9" s="374">
        <f t="shared" si="0"/>
        <v>13826285.714285715</v>
      </c>
    </row>
    <row r="10" spans="2:8">
      <c r="B10" s="371" t="s">
        <v>1488</v>
      </c>
      <c r="C10" s="370">
        <v>867100</v>
      </c>
      <c r="D10" s="370">
        <v>42.857142857142854</v>
      </c>
      <c r="E10" s="369">
        <f t="shared" si="0"/>
        <v>37161428.571428567</v>
      </c>
      <c r="G10" s="352" t="s">
        <v>1487</v>
      </c>
    </row>
    <row r="11" spans="2:8">
      <c r="B11" s="376" t="s">
        <v>1485</v>
      </c>
      <c r="C11" s="375">
        <v>604900</v>
      </c>
      <c r="D11" s="375">
        <v>50</v>
      </c>
      <c r="E11" s="374">
        <f t="shared" si="0"/>
        <v>30245000</v>
      </c>
      <c r="G11" s="596">
        <f>SUMIFS(E4:E14,C4:C14,"&gt;=500000",D4:D14,"&gt;=50")</f>
        <v>115899694.28571428</v>
      </c>
      <c r="H11" s="596"/>
    </row>
    <row r="12" spans="2:8">
      <c r="B12" s="371" t="s">
        <v>1486</v>
      </c>
      <c r="C12" s="370">
        <v>505655</v>
      </c>
      <c r="D12" s="370">
        <v>35.714285714285715</v>
      </c>
      <c r="E12" s="369">
        <f t="shared" si="0"/>
        <v>18059107.142857142</v>
      </c>
      <c r="G12" s="378"/>
      <c r="H12" s="377"/>
    </row>
    <row r="13" spans="2:8">
      <c r="B13" s="376" t="s">
        <v>1486</v>
      </c>
      <c r="C13" s="375">
        <v>852150</v>
      </c>
      <c r="D13" s="375">
        <v>17.142857142857142</v>
      </c>
      <c r="E13" s="374">
        <f t="shared" si="0"/>
        <v>14608285.714285715</v>
      </c>
      <c r="G13" s="373"/>
      <c r="H13" s="372"/>
    </row>
    <row r="14" spans="2:8">
      <c r="B14" s="371" t="s">
        <v>1485</v>
      </c>
      <c r="C14" s="370">
        <v>705755</v>
      </c>
      <c r="D14" s="370">
        <v>64.571428571428569</v>
      </c>
      <c r="E14" s="369">
        <f t="shared" si="0"/>
        <v>45571608.571428567</v>
      </c>
    </row>
  </sheetData>
  <mergeCells count="2">
    <mergeCell ref="B1:E1"/>
    <mergeCell ref="G11:H1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showGridLines="0" topLeftCell="B10" workbookViewId="0">
      <selection activeCell="L14" sqref="L14"/>
    </sheetView>
  </sheetViews>
  <sheetFormatPr defaultColWidth="8.8984375" defaultRowHeight="15.6"/>
  <cols>
    <col min="1" max="1" width="3.69921875" style="19" customWidth="1"/>
    <col min="2" max="2" width="8.296875" style="19" customWidth="1"/>
    <col min="3" max="3" width="5.8984375" style="19" customWidth="1"/>
    <col min="4" max="4" width="9.8984375" style="19" bestFit="1" customWidth="1"/>
    <col min="5" max="5" width="13.69921875" style="19" customWidth="1"/>
    <col min="6" max="6" width="10.19921875" style="19" bestFit="1" customWidth="1"/>
    <col min="7" max="7" width="8.8984375" style="19"/>
    <col min="8" max="8" width="0.8984375" style="257" customWidth="1"/>
    <col min="9" max="9" width="8.8984375" style="19"/>
    <col min="10" max="10" width="11.796875" style="19" customWidth="1"/>
    <col min="11" max="12" width="14.09765625" style="19" customWidth="1"/>
    <col min="13" max="16384" width="8.8984375" style="19"/>
  </cols>
  <sheetData>
    <row r="1" spans="2:12" ht="47.25" customHeight="1"/>
    <row r="2" spans="2:12" ht="29.25" customHeight="1">
      <c r="B2" s="28" t="s">
        <v>119</v>
      </c>
      <c r="C2" s="28"/>
      <c r="D2" s="28"/>
      <c r="E2" s="28"/>
      <c r="F2" s="28"/>
    </row>
    <row r="3" spans="2:12" s="20" customFormat="1" ht="19.2">
      <c r="B3" s="220" t="s">
        <v>118</v>
      </c>
      <c r="C3" s="220" t="s">
        <v>117</v>
      </c>
      <c r="D3" s="220" t="s">
        <v>101</v>
      </c>
      <c r="E3" s="220" t="s">
        <v>116</v>
      </c>
      <c r="F3" s="220" t="s">
        <v>115</v>
      </c>
      <c r="H3" s="258"/>
      <c r="J3" s="26" t="s">
        <v>114</v>
      </c>
    </row>
    <row r="4" spans="2:12" s="20" customFormat="1" ht="17.399999999999999">
      <c r="B4" s="23" t="s">
        <v>113</v>
      </c>
      <c r="C4" s="23" t="s">
        <v>73</v>
      </c>
      <c r="D4" s="22" t="s">
        <v>72</v>
      </c>
      <c r="E4" s="21">
        <v>2399000</v>
      </c>
      <c r="F4" s="21">
        <v>269600</v>
      </c>
      <c r="H4" s="258"/>
      <c r="J4" s="221" t="s">
        <v>101</v>
      </c>
      <c r="K4" s="221" t="s">
        <v>112</v>
      </c>
      <c r="L4" s="221" t="s">
        <v>111</v>
      </c>
    </row>
    <row r="5" spans="2:12" s="20" customFormat="1" ht="17.399999999999999">
      <c r="B5" s="23" t="s">
        <v>110</v>
      </c>
      <c r="C5" s="23" t="s">
        <v>73</v>
      </c>
      <c r="D5" s="22" t="s">
        <v>96</v>
      </c>
      <c r="E5" s="21">
        <v>2359000</v>
      </c>
      <c r="F5" s="21">
        <v>265600</v>
      </c>
      <c r="H5" s="258"/>
      <c r="J5" s="27" t="s">
        <v>72</v>
      </c>
      <c r="K5" s="24">
        <f ca="1">SUMIF($D$4:$F$32,J5,$E$4:$E$32)</f>
        <v>14743000</v>
      </c>
      <c r="L5" s="24">
        <f ca="1">SUMIF($D$4:$F$32,J5,$F$4:$F$32)</f>
        <v>1711900</v>
      </c>
    </row>
    <row r="6" spans="2:12" s="20" customFormat="1" ht="17.399999999999999">
      <c r="B6" s="23" t="s">
        <v>109</v>
      </c>
      <c r="C6" s="23" t="s">
        <v>73</v>
      </c>
      <c r="D6" s="22" t="s">
        <v>76</v>
      </c>
      <c r="E6" s="21">
        <v>1701000</v>
      </c>
      <c r="F6" s="21">
        <v>199800</v>
      </c>
      <c r="H6" s="258"/>
      <c r="J6" s="27" t="s">
        <v>96</v>
      </c>
      <c r="K6" s="24">
        <f t="shared" ref="K6:K10" ca="1" si="0">SUMIF($D$4:$F$32,J6,$E$4:$E$32)</f>
        <v>2359000</v>
      </c>
      <c r="L6" s="24">
        <f t="shared" ref="L6:L10" ca="1" si="1">SUMIF($D$4:$F$32,J6,$F$4:$F$32)</f>
        <v>265600</v>
      </c>
    </row>
    <row r="7" spans="2:12" s="20" customFormat="1" ht="17.399999999999999">
      <c r="B7" s="23" t="s">
        <v>74</v>
      </c>
      <c r="C7" s="23" t="s">
        <v>73</v>
      </c>
      <c r="D7" s="22" t="s">
        <v>82</v>
      </c>
      <c r="E7" s="21">
        <v>1701000</v>
      </c>
      <c r="F7" s="21">
        <v>199800</v>
      </c>
      <c r="H7" s="258"/>
      <c r="J7" s="27" t="s">
        <v>91</v>
      </c>
      <c r="K7" s="24">
        <f t="shared" ca="1" si="0"/>
        <v>4400000</v>
      </c>
      <c r="L7" s="24">
        <f t="shared" ca="1" si="1"/>
        <v>499400</v>
      </c>
    </row>
    <row r="8" spans="2:12" s="20" customFormat="1" ht="17.399999999999999">
      <c r="B8" s="23" t="s">
        <v>108</v>
      </c>
      <c r="C8" s="23" t="s">
        <v>78</v>
      </c>
      <c r="D8" s="22" t="s">
        <v>76</v>
      </c>
      <c r="E8" s="21">
        <v>1694000</v>
      </c>
      <c r="F8" s="21">
        <v>199100</v>
      </c>
      <c r="H8" s="258"/>
      <c r="J8" s="27" t="s">
        <v>76</v>
      </c>
      <c r="K8" s="24">
        <f t="shared" ca="1" si="0"/>
        <v>26961000</v>
      </c>
      <c r="L8" s="24">
        <f t="shared" ca="1" si="1"/>
        <v>3141600</v>
      </c>
    </row>
    <row r="9" spans="2:12" s="20" customFormat="1" ht="17.399999999999999">
      <c r="B9" s="23" t="s">
        <v>107</v>
      </c>
      <c r="C9" s="23" t="s">
        <v>73</v>
      </c>
      <c r="D9" s="22" t="s">
        <v>76</v>
      </c>
      <c r="E9" s="21">
        <v>1198000</v>
      </c>
      <c r="F9" s="21">
        <v>149500</v>
      </c>
      <c r="H9" s="258"/>
      <c r="J9" s="27" t="s">
        <v>82</v>
      </c>
      <c r="K9" s="24">
        <f t="shared" ca="1" si="0"/>
        <v>3402000</v>
      </c>
      <c r="L9" s="24">
        <f t="shared" ca="1" si="1"/>
        <v>399600</v>
      </c>
    </row>
    <row r="10" spans="2:12" s="20" customFormat="1" ht="17.399999999999999">
      <c r="B10" s="23" t="s">
        <v>106</v>
      </c>
      <c r="C10" s="23" t="s">
        <v>73</v>
      </c>
      <c r="D10" s="22" t="s">
        <v>76</v>
      </c>
      <c r="E10" s="21">
        <v>1891000</v>
      </c>
      <c r="F10" s="21">
        <v>218800</v>
      </c>
      <c r="H10" s="258"/>
      <c r="J10" s="27" t="s">
        <v>87</v>
      </c>
      <c r="K10" s="24">
        <f t="shared" ca="1" si="0"/>
        <v>1694000</v>
      </c>
      <c r="L10" s="24">
        <f t="shared" ca="1" si="1"/>
        <v>199100</v>
      </c>
    </row>
    <row r="11" spans="2:12" s="20" customFormat="1" ht="17.399999999999999">
      <c r="B11" s="23" t="s">
        <v>105</v>
      </c>
      <c r="C11" s="23" t="s">
        <v>78</v>
      </c>
      <c r="D11" s="22" t="s">
        <v>76</v>
      </c>
      <c r="E11" s="21">
        <v>2577000</v>
      </c>
      <c r="F11" s="21">
        <v>287400</v>
      </c>
      <c r="H11" s="258"/>
    </row>
    <row r="12" spans="2:12" s="20" customFormat="1" ht="19.2">
      <c r="B12" s="23" t="s">
        <v>104</v>
      </c>
      <c r="C12" s="23" t="s">
        <v>78</v>
      </c>
      <c r="D12" s="22" t="s">
        <v>72</v>
      </c>
      <c r="E12" s="21">
        <v>1198000</v>
      </c>
      <c r="F12" s="21">
        <v>149500</v>
      </c>
      <c r="H12" s="258"/>
      <c r="J12" s="26" t="s">
        <v>103</v>
      </c>
    </row>
    <row r="13" spans="2:12" s="20" customFormat="1" ht="17.399999999999999">
      <c r="B13" s="23" t="s">
        <v>102</v>
      </c>
      <c r="C13" s="23" t="s">
        <v>78</v>
      </c>
      <c r="D13" s="22" t="s">
        <v>91</v>
      </c>
      <c r="E13" s="21">
        <v>2200000</v>
      </c>
      <c r="F13" s="21">
        <v>249700</v>
      </c>
      <c r="H13" s="258"/>
      <c r="J13" s="221" t="s">
        <v>101</v>
      </c>
      <c r="K13" s="221" t="s">
        <v>100</v>
      </c>
      <c r="L13" s="221" t="s">
        <v>99</v>
      </c>
    </row>
    <row r="14" spans="2:12" s="20" customFormat="1" ht="17.399999999999999">
      <c r="B14" s="23" t="s">
        <v>98</v>
      </c>
      <c r="C14" s="23" t="s">
        <v>73</v>
      </c>
      <c r="D14" s="22" t="s">
        <v>72</v>
      </c>
      <c r="E14" s="21">
        <v>1541000</v>
      </c>
      <c r="F14" s="21">
        <v>183800</v>
      </c>
      <c r="H14" s="258"/>
      <c r="J14" s="25" t="s">
        <v>72</v>
      </c>
      <c r="K14" s="24">
        <f>SUMIFS($E$4:$E$32,$D$4:$D$32,J14,$C$4:$C$32,$C$4)</f>
        <v>11186000</v>
      </c>
      <c r="L14" s="24">
        <f>SUMIFS($E$4:$E$32,$D$4:$D$32,J14,$C$4:$C$32,$C$8)</f>
        <v>3557000</v>
      </c>
    </row>
    <row r="15" spans="2:12" s="20" customFormat="1" ht="17.399999999999999">
      <c r="B15" s="23" t="s">
        <v>97</v>
      </c>
      <c r="C15" s="23" t="s">
        <v>78</v>
      </c>
      <c r="D15" s="22" t="s">
        <v>76</v>
      </c>
      <c r="E15" s="21">
        <v>1678000</v>
      </c>
      <c r="F15" s="21">
        <v>197500</v>
      </c>
      <c r="H15" s="258"/>
      <c r="J15" s="25" t="s">
        <v>96</v>
      </c>
      <c r="K15" s="24">
        <f t="shared" ref="K15:K19" si="2">SUMIFS($E$4:$E$32,$D$4:$D$32,J15,$C$4:$C$32,$C$4)</f>
        <v>2359000</v>
      </c>
      <c r="L15" s="24">
        <f t="shared" ref="L15:L19" si="3">SUMIFS($E$4:$E$32,$D$4:$D$32,J15,$C$4:$C$32,$C$8)</f>
        <v>0</v>
      </c>
    </row>
    <row r="16" spans="2:12" s="20" customFormat="1" ht="17.399999999999999">
      <c r="B16" s="23" t="s">
        <v>95</v>
      </c>
      <c r="C16" s="23" t="s">
        <v>73</v>
      </c>
      <c r="D16" s="22" t="s">
        <v>76</v>
      </c>
      <c r="E16" s="21">
        <v>2399000</v>
      </c>
      <c r="F16" s="21">
        <v>269600</v>
      </c>
      <c r="H16" s="258"/>
      <c r="J16" s="25" t="s">
        <v>91</v>
      </c>
      <c r="K16" s="24">
        <f t="shared" si="2"/>
        <v>2200000</v>
      </c>
      <c r="L16" s="24">
        <f t="shared" si="3"/>
        <v>2200000</v>
      </c>
    </row>
    <row r="17" spans="2:12" s="20" customFormat="1" ht="17.399999999999999">
      <c r="B17" s="23" t="s">
        <v>94</v>
      </c>
      <c r="C17" s="23" t="s">
        <v>73</v>
      </c>
      <c r="D17" s="22" t="s">
        <v>76</v>
      </c>
      <c r="E17" s="21">
        <v>1201000</v>
      </c>
      <c r="F17" s="21">
        <v>149800</v>
      </c>
      <c r="H17" s="258"/>
      <c r="J17" s="25" t="s">
        <v>76</v>
      </c>
      <c r="K17" s="24">
        <f t="shared" si="2"/>
        <v>17155000</v>
      </c>
      <c r="L17" s="24">
        <f t="shared" si="3"/>
        <v>9806000</v>
      </c>
    </row>
    <row r="18" spans="2:12" s="20" customFormat="1" ht="17.399999999999999">
      <c r="B18" s="23" t="s">
        <v>93</v>
      </c>
      <c r="C18" s="23" t="s">
        <v>73</v>
      </c>
      <c r="D18" s="22" t="s">
        <v>76</v>
      </c>
      <c r="E18" s="21">
        <v>1891000</v>
      </c>
      <c r="F18" s="21">
        <v>218800</v>
      </c>
      <c r="H18" s="258"/>
      <c r="J18" s="25" t="s">
        <v>82</v>
      </c>
      <c r="K18" s="24">
        <f t="shared" si="2"/>
        <v>3402000</v>
      </c>
      <c r="L18" s="24">
        <f t="shared" si="3"/>
        <v>0</v>
      </c>
    </row>
    <row r="19" spans="2:12" s="20" customFormat="1" ht="17.399999999999999">
      <c r="B19" s="23" t="s">
        <v>92</v>
      </c>
      <c r="C19" s="23" t="s">
        <v>73</v>
      </c>
      <c r="D19" s="22" t="s">
        <v>91</v>
      </c>
      <c r="E19" s="21">
        <v>2200000</v>
      </c>
      <c r="F19" s="21">
        <v>249700</v>
      </c>
      <c r="H19" s="258"/>
      <c r="J19" s="25" t="s">
        <v>87</v>
      </c>
      <c r="K19" s="24">
        <f t="shared" si="2"/>
        <v>0</v>
      </c>
      <c r="L19" s="24">
        <f t="shared" si="3"/>
        <v>1694000</v>
      </c>
    </row>
    <row r="20" spans="2:12" s="20" customFormat="1" ht="17.399999999999999">
      <c r="B20" s="23" t="s">
        <v>90</v>
      </c>
      <c r="C20" s="23" t="s">
        <v>73</v>
      </c>
      <c r="D20" s="22" t="s">
        <v>76</v>
      </c>
      <c r="E20" s="21">
        <v>1499000</v>
      </c>
      <c r="F20" s="21">
        <v>179600</v>
      </c>
      <c r="H20" s="258"/>
    </row>
    <row r="21" spans="2:12" s="20" customFormat="1" ht="17.399999999999999">
      <c r="B21" s="23" t="s">
        <v>89</v>
      </c>
      <c r="C21" s="23" t="s">
        <v>73</v>
      </c>
      <c r="D21" s="22" t="s">
        <v>76</v>
      </c>
      <c r="E21" s="21">
        <v>2179000</v>
      </c>
      <c r="F21" s="21">
        <v>247600</v>
      </c>
      <c r="H21" s="258"/>
    </row>
    <row r="22" spans="2:12" s="20" customFormat="1" ht="17.399999999999999">
      <c r="B22" s="23" t="s">
        <v>88</v>
      </c>
      <c r="C22" s="23" t="s">
        <v>78</v>
      </c>
      <c r="D22" s="22" t="s">
        <v>87</v>
      </c>
      <c r="E22" s="21">
        <v>1694000</v>
      </c>
      <c r="F22" s="21">
        <v>199100</v>
      </c>
      <c r="H22" s="258"/>
    </row>
    <row r="23" spans="2:12" s="20" customFormat="1" ht="17.399999999999999">
      <c r="B23" s="23" t="s">
        <v>86</v>
      </c>
      <c r="C23" s="23" t="s">
        <v>73</v>
      </c>
      <c r="D23" s="22" t="s">
        <v>72</v>
      </c>
      <c r="E23" s="21">
        <v>1694000</v>
      </c>
      <c r="F23" s="21">
        <v>199100</v>
      </c>
      <c r="H23" s="258"/>
    </row>
    <row r="24" spans="2:12" s="20" customFormat="1" ht="17.399999999999999">
      <c r="B24" s="23" t="s">
        <v>85</v>
      </c>
      <c r="C24" s="23" t="s">
        <v>73</v>
      </c>
      <c r="D24" s="22" t="s">
        <v>76</v>
      </c>
      <c r="E24" s="21">
        <v>1700000</v>
      </c>
      <c r="F24" s="21">
        <v>199700</v>
      </c>
      <c r="H24" s="258"/>
    </row>
    <row r="25" spans="2:12" s="20" customFormat="1" ht="17.399999999999999">
      <c r="B25" s="23" t="s">
        <v>84</v>
      </c>
      <c r="C25" s="23" t="s">
        <v>73</v>
      </c>
      <c r="D25" s="22" t="s">
        <v>72</v>
      </c>
      <c r="E25" s="21">
        <v>1499000</v>
      </c>
      <c r="F25" s="21">
        <v>179600</v>
      </c>
      <c r="H25" s="258"/>
    </row>
    <row r="26" spans="2:12" s="20" customFormat="1" ht="17.399999999999999">
      <c r="B26" s="23" t="s">
        <v>83</v>
      </c>
      <c r="C26" s="23" t="s">
        <v>73</v>
      </c>
      <c r="D26" s="22" t="s">
        <v>82</v>
      </c>
      <c r="E26" s="21">
        <v>1701000</v>
      </c>
      <c r="F26" s="21">
        <v>199800</v>
      </c>
      <c r="H26" s="258"/>
    </row>
    <row r="27" spans="2:12" s="20" customFormat="1" ht="17.399999999999999">
      <c r="B27" s="23" t="s">
        <v>81</v>
      </c>
      <c r="C27" s="23" t="s">
        <v>78</v>
      </c>
      <c r="D27" s="22" t="s">
        <v>76</v>
      </c>
      <c r="E27" s="21">
        <v>1678000</v>
      </c>
      <c r="F27" s="21">
        <v>197500</v>
      </c>
      <c r="H27" s="258"/>
    </row>
    <row r="28" spans="2:12" s="20" customFormat="1" ht="17.399999999999999">
      <c r="B28" s="23" t="s">
        <v>80</v>
      </c>
      <c r="C28" s="23" t="s">
        <v>78</v>
      </c>
      <c r="D28" s="22" t="s">
        <v>72</v>
      </c>
      <c r="E28" s="21">
        <v>2359000</v>
      </c>
      <c r="F28" s="21">
        <v>265600</v>
      </c>
      <c r="H28" s="258"/>
    </row>
    <row r="29" spans="2:12" s="20" customFormat="1" ht="17.399999999999999">
      <c r="B29" s="23" t="s">
        <v>79</v>
      </c>
      <c r="C29" s="23" t="s">
        <v>78</v>
      </c>
      <c r="D29" s="22" t="s">
        <v>76</v>
      </c>
      <c r="E29" s="21">
        <v>2179000</v>
      </c>
      <c r="F29" s="21">
        <v>247600</v>
      </c>
      <c r="H29" s="258"/>
    </row>
    <row r="30" spans="2:12" s="20" customFormat="1" ht="17.399999999999999">
      <c r="B30" s="23" t="s">
        <v>77</v>
      </c>
      <c r="C30" s="23" t="s">
        <v>73</v>
      </c>
      <c r="D30" s="22" t="s">
        <v>76</v>
      </c>
      <c r="E30" s="21">
        <v>1496000</v>
      </c>
      <c r="F30" s="21">
        <v>179300</v>
      </c>
      <c r="H30" s="258"/>
    </row>
    <row r="31" spans="2:12" s="20" customFormat="1" ht="17.399999999999999">
      <c r="B31" s="23" t="s">
        <v>75</v>
      </c>
      <c r="C31" s="23" t="s">
        <v>73</v>
      </c>
      <c r="D31" s="22" t="s">
        <v>72</v>
      </c>
      <c r="E31" s="21">
        <v>1694000</v>
      </c>
      <c r="F31" s="21">
        <v>199100</v>
      </c>
      <c r="H31" s="258"/>
    </row>
    <row r="32" spans="2:12" s="20" customFormat="1" ht="17.399999999999999">
      <c r="B32" s="23" t="s">
        <v>74</v>
      </c>
      <c r="C32" s="23" t="s">
        <v>73</v>
      </c>
      <c r="D32" s="22" t="s">
        <v>72</v>
      </c>
      <c r="E32" s="21">
        <v>2359000</v>
      </c>
      <c r="F32" s="21">
        <v>265600</v>
      </c>
      <c r="H32" s="258"/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15" zoomScaleNormal="115" workbookViewId="0">
      <selection activeCell="H5" sqref="H5"/>
    </sheetView>
  </sheetViews>
  <sheetFormatPr defaultColWidth="9" defaultRowHeight="17.399999999999999"/>
  <cols>
    <col min="1" max="1" width="9" style="323"/>
    <col min="2" max="2" width="13.796875" style="323" bestFit="1" customWidth="1"/>
    <col min="3" max="4" width="9" style="323"/>
    <col min="5" max="5" width="14" style="323" customWidth="1"/>
    <col min="6" max="6" width="3.09765625" style="323" customWidth="1"/>
    <col min="7" max="7" width="27.3984375" style="323" bestFit="1" customWidth="1"/>
    <col min="8" max="8" width="14.8984375" style="323" customWidth="1"/>
    <col min="9" max="16384" width="9" style="323"/>
  </cols>
  <sheetData>
    <row r="1" spans="1:8" ht="21">
      <c r="A1" s="597" t="s">
        <v>1513</v>
      </c>
      <c r="B1" s="597"/>
      <c r="C1" s="597"/>
      <c r="D1" s="597"/>
      <c r="E1" s="597"/>
      <c r="F1" s="386"/>
      <c r="G1" s="386"/>
      <c r="H1" s="386"/>
    </row>
    <row r="2" spans="1:8" ht="18" thickBot="1">
      <c r="A2" s="386"/>
      <c r="B2" s="401"/>
      <c r="C2" s="386"/>
      <c r="D2" s="386"/>
      <c r="E2" s="400"/>
      <c r="F2" s="386"/>
      <c r="G2" s="386"/>
      <c r="H2" s="386"/>
    </row>
    <row r="3" spans="1:8" ht="18" thickBot="1">
      <c r="A3" s="399" t="s">
        <v>1512</v>
      </c>
      <c r="B3" s="399" t="s">
        <v>1511</v>
      </c>
      <c r="C3" s="399" t="s">
        <v>564</v>
      </c>
      <c r="D3" s="399" t="s">
        <v>565</v>
      </c>
      <c r="E3" s="399" t="s">
        <v>566</v>
      </c>
      <c r="F3" s="386"/>
      <c r="G3" s="398" t="s">
        <v>1510</v>
      </c>
      <c r="H3" s="397">
        <f>AVERAGE(D4:D18)</f>
        <v>123.26666666666667</v>
      </c>
    </row>
    <row r="4" spans="1:8">
      <c r="A4" s="392" t="s">
        <v>1507</v>
      </c>
      <c r="B4" s="392" t="s">
        <v>1501</v>
      </c>
      <c r="C4" s="391">
        <v>188500</v>
      </c>
      <c r="D4" s="391">
        <v>85</v>
      </c>
      <c r="E4" s="391">
        <v>16022500</v>
      </c>
      <c r="F4" s="386"/>
      <c r="G4" s="396" t="s">
        <v>1509</v>
      </c>
      <c r="H4" s="395">
        <f>AVERAGEIF(A4:A18,A6,D4:D18)</f>
        <v>120</v>
      </c>
    </row>
    <row r="5" spans="1:8" ht="18" thickBot="1">
      <c r="A5" s="390" t="s">
        <v>1507</v>
      </c>
      <c r="B5" s="390" t="s">
        <v>1506</v>
      </c>
      <c r="C5" s="389">
        <v>765000</v>
      </c>
      <c r="D5" s="389">
        <v>7</v>
      </c>
      <c r="E5" s="389">
        <v>5355000</v>
      </c>
      <c r="F5" s="386"/>
      <c r="G5" s="394" t="s">
        <v>1508</v>
      </c>
      <c r="H5" s="393">
        <f>AVERAGEIFS(E4:E18,A4:A18,A4,B4:B18,B5)</f>
        <v>13453666.666666666</v>
      </c>
    </row>
    <row r="6" spans="1:8">
      <c r="A6" s="392" t="s">
        <v>1504</v>
      </c>
      <c r="B6" s="392" t="s">
        <v>1503</v>
      </c>
      <c r="C6" s="391">
        <v>43000</v>
      </c>
      <c r="D6" s="391">
        <v>80</v>
      </c>
      <c r="E6" s="391">
        <v>3440000</v>
      </c>
      <c r="F6" s="386"/>
    </row>
    <row r="7" spans="1:8">
      <c r="A7" s="390" t="s">
        <v>1502</v>
      </c>
      <c r="B7" s="390" t="s">
        <v>1499</v>
      </c>
      <c r="C7" s="389">
        <v>20000</v>
      </c>
      <c r="D7" s="389">
        <v>350</v>
      </c>
      <c r="E7" s="389">
        <v>7000000</v>
      </c>
      <c r="F7" s="386"/>
    </row>
    <row r="8" spans="1:8">
      <c r="A8" s="392" t="s">
        <v>1505</v>
      </c>
      <c r="B8" s="392" t="s">
        <v>1506</v>
      </c>
      <c r="C8" s="391">
        <v>782000</v>
      </c>
      <c r="D8" s="391">
        <v>6</v>
      </c>
      <c r="E8" s="391">
        <v>4692000</v>
      </c>
      <c r="F8" s="386"/>
    </row>
    <row r="9" spans="1:8">
      <c r="A9" s="390" t="s">
        <v>1504</v>
      </c>
      <c r="B9" s="390" t="s">
        <v>1503</v>
      </c>
      <c r="C9" s="389">
        <v>43000</v>
      </c>
      <c r="D9" s="389">
        <v>250</v>
      </c>
      <c r="E9" s="389">
        <v>10750000</v>
      </c>
      <c r="F9" s="386"/>
    </row>
    <row r="10" spans="1:8">
      <c r="A10" s="392" t="s">
        <v>1507</v>
      </c>
      <c r="B10" s="392" t="s">
        <v>1506</v>
      </c>
      <c r="C10" s="391">
        <v>761000</v>
      </c>
      <c r="D10" s="391">
        <v>9</v>
      </c>
      <c r="E10" s="391">
        <v>6849000</v>
      </c>
      <c r="F10" s="386"/>
    </row>
    <row r="11" spans="1:8">
      <c r="A11" s="390" t="s">
        <v>1500</v>
      </c>
      <c r="B11" s="390" t="s">
        <v>1501</v>
      </c>
      <c r="C11" s="389">
        <v>188500</v>
      </c>
      <c r="D11" s="389">
        <v>85</v>
      </c>
      <c r="E11" s="389">
        <v>16022500</v>
      </c>
      <c r="F11" s="386"/>
    </row>
    <row r="12" spans="1:8">
      <c r="A12" s="392" t="s">
        <v>1502</v>
      </c>
      <c r="B12" s="392" t="s">
        <v>1506</v>
      </c>
      <c r="C12" s="391">
        <v>800000</v>
      </c>
      <c r="D12" s="391">
        <v>25</v>
      </c>
      <c r="E12" s="391">
        <v>20000000</v>
      </c>
      <c r="F12" s="386"/>
    </row>
    <row r="13" spans="1:8">
      <c r="A13" s="390" t="s">
        <v>1504</v>
      </c>
      <c r="B13" s="390" t="s">
        <v>1501</v>
      </c>
      <c r="C13" s="389">
        <v>188500</v>
      </c>
      <c r="D13" s="389">
        <v>85</v>
      </c>
      <c r="E13" s="389">
        <v>16022500</v>
      </c>
      <c r="F13" s="386"/>
    </row>
    <row r="14" spans="1:8">
      <c r="A14" s="392" t="s">
        <v>1507</v>
      </c>
      <c r="B14" s="392" t="s">
        <v>1506</v>
      </c>
      <c r="C14" s="391">
        <v>761000</v>
      </c>
      <c r="D14" s="391">
        <v>37</v>
      </c>
      <c r="E14" s="391">
        <v>28157000</v>
      </c>
      <c r="F14" s="386"/>
    </row>
    <row r="15" spans="1:8">
      <c r="A15" s="390" t="s">
        <v>1505</v>
      </c>
      <c r="B15" s="390" t="s">
        <v>1503</v>
      </c>
      <c r="C15" s="389">
        <v>43000</v>
      </c>
      <c r="D15" s="389">
        <v>480</v>
      </c>
      <c r="E15" s="389">
        <v>20640000</v>
      </c>
      <c r="F15" s="386"/>
      <c r="G15" s="386"/>
      <c r="H15" s="386"/>
    </row>
    <row r="16" spans="1:8">
      <c r="A16" s="392" t="s">
        <v>1504</v>
      </c>
      <c r="B16" s="392" t="s">
        <v>1503</v>
      </c>
      <c r="C16" s="391">
        <v>43000</v>
      </c>
      <c r="D16" s="391">
        <v>65</v>
      </c>
      <c r="E16" s="391">
        <v>2795000</v>
      </c>
      <c r="F16" s="386"/>
      <c r="G16" s="386"/>
      <c r="H16" s="386"/>
    </row>
    <row r="17" spans="1:8">
      <c r="A17" s="390" t="s">
        <v>1502</v>
      </c>
      <c r="B17" s="390" t="s">
        <v>1501</v>
      </c>
      <c r="C17" s="389">
        <v>188500</v>
      </c>
      <c r="D17" s="389">
        <v>85</v>
      </c>
      <c r="E17" s="389">
        <v>16022500</v>
      </c>
      <c r="F17" s="386"/>
      <c r="G17" s="386"/>
      <c r="H17" s="386"/>
    </row>
    <row r="18" spans="1:8" ht="18" thickBot="1">
      <c r="A18" s="388" t="s">
        <v>1500</v>
      </c>
      <c r="B18" s="388" t="s">
        <v>1499</v>
      </c>
      <c r="C18" s="387">
        <v>20000</v>
      </c>
      <c r="D18" s="387">
        <v>200</v>
      </c>
      <c r="E18" s="387">
        <v>4000000</v>
      </c>
      <c r="F18" s="386"/>
      <c r="G18" s="386"/>
      <c r="H18" s="386"/>
    </row>
    <row r="19" spans="1:8">
      <c r="C19" s="386"/>
      <c r="D19" s="386"/>
      <c r="E19" s="386"/>
      <c r="F19" s="386"/>
      <c r="G19" s="386"/>
      <c r="H19" s="386"/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selection activeCell="M13" sqref="M13"/>
    </sheetView>
  </sheetViews>
  <sheetFormatPr defaultColWidth="8.8984375" defaultRowHeight="19.2"/>
  <cols>
    <col min="1" max="1" width="6.8984375" style="29" bestFit="1" customWidth="1"/>
    <col min="2" max="2" width="6.796875" style="29" bestFit="1" customWidth="1"/>
    <col min="3" max="3" width="10.3984375" style="29" bestFit="1" customWidth="1"/>
    <col min="4" max="4" width="6.8984375" style="29" bestFit="1" customWidth="1"/>
    <col min="5" max="6" width="7.8984375" style="29" customWidth="1"/>
    <col min="7" max="7" width="8.296875" style="29" customWidth="1"/>
    <col min="8" max="8" width="4" style="29" customWidth="1"/>
    <col min="9" max="9" width="0.296875" style="261" customWidth="1"/>
    <col min="10" max="10" width="3.296875" style="30" customWidth="1"/>
    <col min="11" max="11" width="13.3984375" style="29" customWidth="1"/>
    <col min="12" max="14" width="10.796875" style="29" customWidth="1"/>
    <col min="15" max="16384" width="8.8984375" style="29"/>
  </cols>
  <sheetData>
    <row r="1" spans="1:14" ht="28.5" customHeight="1">
      <c r="A1"/>
      <c r="B1"/>
      <c r="C1"/>
      <c r="D1"/>
      <c r="E1"/>
      <c r="F1"/>
      <c r="G1"/>
    </row>
    <row r="2" spans="1:14" ht="7.5" customHeight="1"/>
    <row r="3" spans="1:14" ht="21" customHeight="1">
      <c r="A3" s="222" t="s">
        <v>165</v>
      </c>
      <c r="B3" s="222" t="s">
        <v>164</v>
      </c>
      <c r="C3" s="222" t="s">
        <v>158</v>
      </c>
      <c r="D3" s="222" t="s">
        <v>163</v>
      </c>
      <c r="E3" s="222" t="s">
        <v>162</v>
      </c>
      <c r="F3" s="222" t="s">
        <v>161</v>
      </c>
      <c r="G3" s="222" t="s">
        <v>157</v>
      </c>
      <c r="J3" s="34"/>
      <c r="K3" s="31" t="s">
        <v>160</v>
      </c>
    </row>
    <row r="4" spans="1:14" ht="21" customHeight="1">
      <c r="A4" s="223" t="s">
        <v>159</v>
      </c>
      <c r="B4" s="223" t="s">
        <v>129</v>
      </c>
      <c r="C4" s="223" t="s">
        <v>154</v>
      </c>
      <c r="D4" s="223" t="s">
        <v>149</v>
      </c>
      <c r="E4" s="224">
        <v>92.5</v>
      </c>
      <c r="F4" s="224">
        <v>97.2</v>
      </c>
      <c r="G4" s="225">
        <f t="shared" ref="G4:G22" si="0">AVERAGE(E4:F4)</f>
        <v>94.85</v>
      </c>
      <c r="J4" s="33"/>
      <c r="K4" s="226" t="s">
        <v>158</v>
      </c>
      <c r="L4" s="226" t="s">
        <v>157</v>
      </c>
    </row>
    <row r="5" spans="1:14" ht="21" customHeight="1">
      <c r="A5" s="223" t="s">
        <v>156</v>
      </c>
      <c r="B5" s="223" t="s">
        <v>151</v>
      </c>
      <c r="C5" s="223" t="s">
        <v>150</v>
      </c>
      <c r="D5" s="223" t="s">
        <v>149</v>
      </c>
      <c r="E5" s="224">
        <v>95</v>
      </c>
      <c r="F5" s="224">
        <v>96.5</v>
      </c>
      <c r="G5" s="225">
        <f t="shared" si="0"/>
        <v>95.75</v>
      </c>
      <c r="J5" s="32"/>
      <c r="K5" s="223" t="s">
        <v>154</v>
      </c>
      <c r="L5" s="227">
        <f>AVERAGEIF($C$4:$C$22,K5,$G$4:$G$22)</f>
        <v>96.48571428571428</v>
      </c>
    </row>
    <row r="6" spans="1:14" ht="21" customHeight="1">
      <c r="A6" s="223" t="s">
        <v>155</v>
      </c>
      <c r="B6" s="223" t="s">
        <v>129</v>
      </c>
      <c r="C6" s="223" t="s">
        <v>154</v>
      </c>
      <c r="D6" s="223" t="s">
        <v>149</v>
      </c>
      <c r="E6" s="224">
        <v>92.5</v>
      </c>
      <c r="F6" s="224">
        <v>95.2</v>
      </c>
      <c r="G6" s="225">
        <f t="shared" si="0"/>
        <v>93.85</v>
      </c>
      <c r="J6" s="32"/>
      <c r="K6" s="223" t="s">
        <v>150</v>
      </c>
      <c r="L6" s="227">
        <f t="shared" ref="L6:L8" si="1">AVERAGEIF($C$4:$C$22,K6,$G$4:$G$22)</f>
        <v>96.75833333333334</v>
      </c>
    </row>
    <row r="7" spans="1:14" ht="21" customHeight="1">
      <c r="A7" s="223" t="s">
        <v>153</v>
      </c>
      <c r="B7" s="223" t="s">
        <v>151</v>
      </c>
      <c r="C7" s="223" t="s">
        <v>150</v>
      </c>
      <c r="D7" s="223" t="s">
        <v>149</v>
      </c>
      <c r="E7" s="224">
        <v>92.5</v>
      </c>
      <c r="F7" s="224">
        <v>98</v>
      </c>
      <c r="G7" s="225">
        <f t="shared" si="0"/>
        <v>95.25</v>
      </c>
      <c r="J7" s="32"/>
      <c r="K7" s="223" t="s">
        <v>136</v>
      </c>
      <c r="L7" s="227">
        <f t="shared" si="1"/>
        <v>93.616666666666674</v>
      </c>
    </row>
    <row r="8" spans="1:14" ht="21" customHeight="1">
      <c r="A8" s="223" t="s">
        <v>152</v>
      </c>
      <c r="B8" s="223" t="s">
        <v>151</v>
      </c>
      <c r="C8" s="223" t="s">
        <v>150</v>
      </c>
      <c r="D8" s="223" t="s">
        <v>149</v>
      </c>
      <c r="E8" s="224">
        <v>95</v>
      </c>
      <c r="F8" s="224">
        <v>98.7</v>
      </c>
      <c r="G8" s="225">
        <f t="shared" si="0"/>
        <v>96.85</v>
      </c>
      <c r="J8" s="32"/>
      <c r="K8" s="223" t="s">
        <v>148</v>
      </c>
      <c r="L8" s="227">
        <f t="shared" si="1"/>
        <v>96.016666666666652</v>
      </c>
    </row>
    <row r="9" spans="1:14" ht="21" customHeight="1">
      <c r="A9" s="223" t="s">
        <v>147</v>
      </c>
      <c r="B9" s="223" t="s">
        <v>126</v>
      </c>
      <c r="C9" s="223" t="s">
        <v>146</v>
      </c>
      <c r="D9" s="223" t="s">
        <v>132</v>
      </c>
      <c r="E9" s="224">
        <v>85</v>
      </c>
      <c r="F9" s="224">
        <v>95.999999999999986</v>
      </c>
      <c r="G9" s="225">
        <f t="shared" si="0"/>
        <v>90.5</v>
      </c>
    </row>
    <row r="10" spans="1:14" ht="21" customHeight="1">
      <c r="A10" s="223" t="s">
        <v>145</v>
      </c>
      <c r="B10" s="223" t="s">
        <v>126</v>
      </c>
      <c r="C10" s="223" t="s">
        <v>125</v>
      </c>
      <c r="D10" s="223" t="s">
        <v>120</v>
      </c>
      <c r="E10" s="224">
        <v>90</v>
      </c>
      <c r="F10" s="224">
        <v>96.7</v>
      </c>
      <c r="G10" s="225">
        <f t="shared" si="0"/>
        <v>93.35</v>
      </c>
    </row>
    <row r="11" spans="1:14" ht="21" customHeight="1">
      <c r="A11" s="223" t="s">
        <v>144</v>
      </c>
      <c r="B11" s="223" t="s">
        <v>139</v>
      </c>
      <c r="C11" s="223" t="s">
        <v>136</v>
      </c>
      <c r="D11" s="223" t="s">
        <v>120</v>
      </c>
      <c r="E11" s="224">
        <v>87.5</v>
      </c>
      <c r="F11" s="224">
        <v>93.2</v>
      </c>
      <c r="G11" s="225">
        <f t="shared" si="0"/>
        <v>90.35</v>
      </c>
      <c r="K11" s="31" t="s">
        <v>143</v>
      </c>
    </row>
    <row r="12" spans="1:14" ht="21" customHeight="1">
      <c r="A12" s="223" t="s">
        <v>142</v>
      </c>
      <c r="B12" s="223" t="s">
        <v>129</v>
      </c>
      <c r="C12" s="223" t="s">
        <v>128</v>
      </c>
      <c r="D12" s="223" t="s">
        <v>124</v>
      </c>
      <c r="E12" s="224">
        <v>85</v>
      </c>
      <c r="F12" s="224">
        <v>98</v>
      </c>
      <c r="G12" s="225">
        <f t="shared" si="0"/>
        <v>91.5</v>
      </c>
      <c r="K12" s="228" t="s">
        <v>141</v>
      </c>
      <c r="L12" s="228" t="s">
        <v>120</v>
      </c>
      <c r="M12" s="228" t="s">
        <v>124</v>
      </c>
      <c r="N12" s="228" t="s">
        <v>132</v>
      </c>
    </row>
    <row r="13" spans="1:14" ht="21" customHeight="1">
      <c r="A13" s="223" t="s">
        <v>140</v>
      </c>
      <c r="B13" s="223" t="s">
        <v>139</v>
      </c>
      <c r="C13" s="223" t="s">
        <v>136</v>
      </c>
      <c r="D13" s="223" t="s">
        <v>124</v>
      </c>
      <c r="E13" s="224">
        <v>100</v>
      </c>
      <c r="F13" s="224">
        <v>100</v>
      </c>
      <c r="G13" s="225">
        <f t="shared" si="0"/>
        <v>100</v>
      </c>
      <c r="K13" s="229" t="s">
        <v>1408</v>
      </c>
      <c r="L13" s="230">
        <f>AVERAGEIFS($G$4:$G$22,$D$4:$D$22,$L$12,$C$4:$C$22,K13)</f>
        <v>94.35</v>
      </c>
      <c r="M13" s="230">
        <f>AVERAGEIFS($G$4:$G$22,$D$4:$D$22,$M$12,$C$4:$C$22,K13)</f>
        <v>96.316666666666663</v>
      </c>
      <c r="N13" s="230">
        <f>AVERAGEIFS($G$4:$G$22,$D$4:$D$22,$N$12,$C$4:$C$22,K13)</f>
        <v>98.875</v>
      </c>
    </row>
    <row r="14" spans="1:14" ht="21" customHeight="1">
      <c r="A14" s="223" t="s">
        <v>138</v>
      </c>
      <c r="B14" s="223" t="s">
        <v>122</v>
      </c>
      <c r="C14" s="223" t="s">
        <v>121</v>
      </c>
      <c r="D14" s="223" t="s">
        <v>124</v>
      </c>
      <c r="E14" s="224">
        <v>87.5</v>
      </c>
      <c r="F14" s="224">
        <v>95.2</v>
      </c>
      <c r="G14" s="225">
        <f t="shared" si="0"/>
        <v>91.35</v>
      </c>
      <c r="K14" s="229" t="s">
        <v>125</v>
      </c>
      <c r="L14" s="230">
        <f t="shared" ref="L14:L16" si="2">AVERAGEIFS($G$4:$G$22,$D$4:$D$22,$L$12,$C$4:$C$22,K14)</f>
        <v>95.300000000000011</v>
      </c>
      <c r="M14" s="230">
        <f t="shared" ref="M14:M16" si="3">AVERAGEIFS($G$4:$G$22,$D$4:$D$22,$M$12,$C$4:$C$22,K14)</f>
        <v>100</v>
      </c>
      <c r="N14" s="230">
        <f t="shared" ref="N14:N16" si="4">AVERAGEIFS($G$4:$G$22,$D$4:$D$22,$N$12,$C$4:$C$22,K14)</f>
        <v>99.35</v>
      </c>
    </row>
    <row r="15" spans="1:14" ht="21" customHeight="1">
      <c r="A15" s="223" t="s">
        <v>137</v>
      </c>
      <c r="B15" s="223" t="s">
        <v>129</v>
      </c>
      <c r="C15" s="223" t="s">
        <v>128</v>
      </c>
      <c r="D15" s="223" t="s">
        <v>132</v>
      </c>
      <c r="E15" s="224">
        <v>100</v>
      </c>
      <c r="F15" s="224">
        <v>100</v>
      </c>
      <c r="G15" s="225">
        <f t="shared" si="0"/>
        <v>100</v>
      </c>
      <c r="K15" s="229" t="s">
        <v>136</v>
      </c>
      <c r="L15" s="230">
        <f t="shared" si="2"/>
        <v>90.35</v>
      </c>
      <c r="M15" s="230">
        <f t="shared" si="3"/>
        <v>100</v>
      </c>
      <c r="N15" s="230">
        <f t="shared" si="4"/>
        <v>90.5</v>
      </c>
    </row>
    <row r="16" spans="1:14" ht="21" customHeight="1">
      <c r="A16" s="223" t="s">
        <v>135</v>
      </c>
      <c r="B16" s="223" t="s">
        <v>126</v>
      </c>
      <c r="C16" s="223" t="s">
        <v>125</v>
      </c>
      <c r="D16" s="223" t="s">
        <v>132</v>
      </c>
      <c r="E16" s="224">
        <v>100</v>
      </c>
      <c r="F16" s="224">
        <v>98.7</v>
      </c>
      <c r="G16" s="225">
        <f t="shared" si="0"/>
        <v>99.35</v>
      </c>
      <c r="K16" s="229" t="s">
        <v>121</v>
      </c>
      <c r="L16" s="230">
        <f t="shared" si="2"/>
        <v>99.6</v>
      </c>
      <c r="M16" s="230">
        <f t="shared" si="3"/>
        <v>91.35</v>
      </c>
      <c r="N16" s="230">
        <f t="shared" si="4"/>
        <v>97.1</v>
      </c>
    </row>
    <row r="17" spans="1:7" ht="21" customHeight="1">
      <c r="A17" s="223" t="s">
        <v>134</v>
      </c>
      <c r="B17" s="223" t="s">
        <v>129</v>
      </c>
      <c r="C17" s="223" t="s">
        <v>128</v>
      </c>
      <c r="D17" s="223" t="s">
        <v>132</v>
      </c>
      <c r="E17" s="224">
        <v>97.5</v>
      </c>
      <c r="F17" s="224">
        <v>98</v>
      </c>
      <c r="G17" s="225">
        <f t="shared" si="0"/>
        <v>97.75</v>
      </c>
    </row>
    <row r="18" spans="1:7" ht="21" customHeight="1">
      <c r="A18" s="223" t="s">
        <v>133</v>
      </c>
      <c r="B18" s="223" t="s">
        <v>129</v>
      </c>
      <c r="C18" s="223" t="s">
        <v>121</v>
      </c>
      <c r="D18" s="223" t="s">
        <v>132</v>
      </c>
      <c r="E18" s="224">
        <v>95</v>
      </c>
      <c r="F18" s="224">
        <v>99.2</v>
      </c>
      <c r="G18" s="225">
        <f t="shared" si="0"/>
        <v>97.1</v>
      </c>
    </row>
    <row r="19" spans="1:7" ht="21" customHeight="1">
      <c r="A19" s="223" t="s">
        <v>131</v>
      </c>
      <c r="B19" s="223" t="s">
        <v>129</v>
      </c>
      <c r="C19" s="223" t="s">
        <v>128</v>
      </c>
      <c r="D19" s="223" t="s">
        <v>124</v>
      </c>
      <c r="E19" s="224">
        <v>97.5</v>
      </c>
      <c r="F19" s="224">
        <v>98.7</v>
      </c>
      <c r="G19" s="225">
        <f t="shared" si="0"/>
        <v>98.1</v>
      </c>
    </row>
    <row r="20" spans="1:7" ht="21" customHeight="1">
      <c r="A20" s="223" t="s">
        <v>130</v>
      </c>
      <c r="B20" s="223" t="s">
        <v>129</v>
      </c>
      <c r="C20" s="223" t="s">
        <v>128</v>
      </c>
      <c r="D20" s="223" t="s">
        <v>124</v>
      </c>
      <c r="E20" s="224">
        <v>100</v>
      </c>
      <c r="F20" s="224">
        <v>98.7</v>
      </c>
      <c r="G20" s="225">
        <f t="shared" si="0"/>
        <v>99.35</v>
      </c>
    </row>
    <row r="21" spans="1:7" ht="21" customHeight="1">
      <c r="A21" s="223" t="s">
        <v>127</v>
      </c>
      <c r="B21" s="223" t="s">
        <v>126</v>
      </c>
      <c r="C21" s="223" t="s">
        <v>125</v>
      </c>
      <c r="D21" s="223" t="s">
        <v>124</v>
      </c>
      <c r="E21" s="224">
        <v>100</v>
      </c>
      <c r="F21" s="224">
        <v>100</v>
      </c>
      <c r="G21" s="225">
        <f t="shared" si="0"/>
        <v>100</v>
      </c>
    </row>
    <row r="22" spans="1:7" ht="21" customHeight="1">
      <c r="A22" s="223" t="s">
        <v>123</v>
      </c>
      <c r="B22" s="223" t="s">
        <v>122</v>
      </c>
      <c r="C22" s="223" t="s">
        <v>121</v>
      </c>
      <c r="D22" s="223" t="s">
        <v>120</v>
      </c>
      <c r="E22" s="224">
        <v>100</v>
      </c>
      <c r="F22" s="224">
        <v>99.2</v>
      </c>
      <c r="G22" s="225">
        <f t="shared" si="0"/>
        <v>99.6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showGridLines="0" workbookViewId="0">
      <selection activeCell="L11" sqref="C11:L11"/>
    </sheetView>
  </sheetViews>
  <sheetFormatPr defaultColWidth="8.8984375" defaultRowHeight="17.399999999999999"/>
  <cols>
    <col min="1" max="1" width="3.69921875" style="8" customWidth="1"/>
    <col min="2" max="2" width="8.8984375" style="8"/>
    <col min="3" max="6" width="11.19921875" style="8" bestFit="1" customWidth="1"/>
    <col min="7" max="7" width="15.8984375" style="8" bestFit="1" customWidth="1"/>
    <col min="8" max="8" width="9.296875" style="8" customWidth="1"/>
    <col min="9" max="9" width="11.19921875" style="8" bestFit="1" customWidth="1"/>
    <col min="10" max="10" width="12.8984375" style="8" bestFit="1" customWidth="1"/>
    <col min="11" max="11" width="11.19921875" style="8" bestFit="1" customWidth="1"/>
    <col min="12" max="12" width="9.296875" style="8" customWidth="1"/>
    <col min="13" max="16384" width="8.8984375" style="8"/>
  </cols>
  <sheetData>
    <row r="2" spans="2:12" ht="30">
      <c r="B2" s="598" t="s">
        <v>182</v>
      </c>
      <c r="C2" s="598"/>
      <c r="D2" s="598"/>
      <c r="E2" s="598"/>
      <c r="F2" s="598"/>
      <c r="G2" s="598"/>
      <c r="H2" s="598"/>
      <c r="I2" s="598"/>
      <c r="J2" s="598"/>
      <c r="K2" s="598"/>
      <c r="L2" s="598"/>
    </row>
    <row r="4" spans="2:12" ht="25.2">
      <c r="B4" s="599" t="s">
        <v>181</v>
      </c>
      <c r="C4" s="600"/>
      <c r="D4" s="601">
        <f>SUMPRODUCT(C8:L8,C9:L9,(1-C10:L10))</f>
        <v>2043895</v>
      </c>
      <c r="E4" s="602"/>
    </row>
    <row r="6" spans="2:12" ht="24" customHeight="1">
      <c r="B6" s="40" t="s">
        <v>180</v>
      </c>
    </row>
    <row r="7" spans="2:12" ht="26.25" customHeight="1">
      <c r="B7" s="36" t="s">
        <v>179</v>
      </c>
      <c r="C7" s="39" t="s">
        <v>178</v>
      </c>
      <c r="D7" s="39" t="s">
        <v>177</v>
      </c>
      <c r="E7" s="39" t="s">
        <v>173</v>
      </c>
      <c r="F7" s="39" t="s">
        <v>176</v>
      </c>
      <c r="G7" s="39" t="s">
        <v>175</v>
      </c>
      <c r="H7" s="39" t="s">
        <v>174</v>
      </c>
      <c r="I7" s="39" t="s">
        <v>173</v>
      </c>
      <c r="J7" s="39" t="s">
        <v>172</v>
      </c>
      <c r="K7" s="39" t="s">
        <v>171</v>
      </c>
      <c r="L7" s="39" t="s">
        <v>170</v>
      </c>
    </row>
    <row r="8" spans="2:12" ht="26.25" customHeight="1">
      <c r="B8" s="36" t="s">
        <v>169</v>
      </c>
      <c r="C8" s="38">
        <v>10</v>
      </c>
      <c r="D8" s="38">
        <v>10</v>
      </c>
      <c r="E8" s="38">
        <v>10</v>
      </c>
      <c r="F8" s="38">
        <v>10</v>
      </c>
      <c r="G8" s="38">
        <v>10</v>
      </c>
      <c r="H8" s="38">
        <v>10</v>
      </c>
      <c r="I8" s="38">
        <v>20</v>
      </c>
      <c r="J8" s="38">
        <v>10</v>
      </c>
      <c r="K8" s="38">
        <v>20</v>
      </c>
      <c r="L8" s="38">
        <v>10</v>
      </c>
    </row>
    <row r="9" spans="2:12" ht="26.25" customHeight="1">
      <c r="B9" s="36" t="s">
        <v>168</v>
      </c>
      <c r="C9" s="35">
        <v>41600</v>
      </c>
      <c r="D9" s="35">
        <v>30600</v>
      </c>
      <c r="E9" s="35">
        <v>30600</v>
      </c>
      <c r="F9" s="35">
        <v>25000</v>
      </c>
      <c r="G9" s="35">
        <v>13300</v>
      </c>
      <c r="H9" s="35">
        <v>800</v>
      </c>
      <c r="I9" s="35">
        <v>18400</v>
      </c>
      <c r="J9" s="35">
        <v>4350</v>
      </c>
      <c r="K9" s="35">
        <v>14500</v>
      </c>
      <c r="L9" s="35">
        <v>4800</v>
      </c>
    </row>
    <row r="10" spans="2:12" ht="26.25" customHeight="1">
      <c r="B10" s="36" t="s">
        <v>167</v>
      </c>
      <c r="C10" s="37">
        <v>0.05</v>
      </c>
      <c r="D10" s="37">
        <v>0.05</v>
      </c>
      <c r="E10" s="37">
        <v>0.05</v>
      </c>
      <c r="F10" s="37">
        <v>7.0000000000000007E-2</v>
      </c>
      <c r="G10" s="37">
        <v>0.04</v>
      </c>
      <c r="H10" s="37">
        <v>0.03</v>
      </c>
      <c r="I10" s="37">
        <v>0.05</v>
      </c>
      <c r="J10" s="37">
        <v>0.03</v>
      </c>
      <c r="K10" s="37">
        <v>0.1</v>
      </c>
      <c r="L10" s="37">
        <v>0.03</v>
      </c>
    </row>
    <row r="11" spans="2:12" ht="26.25" customHeight="1">
      <c r="B11" s="36" t="s">
        <v>166</v>
      </c>
      <c r="C11" s="35">
        <f>C8*C9*(1-C10)</f>
        <v>395200</v>
      </c>
      <c r="D11" s="35">
        <f t="shared" ref="D11:L11" si="0">D8*D9*(1-D10)</f>
        <v>290700</v>
      </c>
      <c r="E11" s="35">
        <f t="shared" si="0"/>
        <v>290700</v>
      </c>
      <c r="F11" s="35">
        <f t="shared" si="0"/>
        <v>232499.99999999997</v>
      </c>
      <c r="G11" s="35">
        <f t="shared" si="0"/>
        <v>127680</v>
      </c>
      <c r="H11" s="35">
        <f t="shared" si="0"/>
        <v>7760</v>
      </c>
      <c r="I11" s="35">
        <f t="shared" si="0"/>
        <v>349600</v>
      </c>
      <c r="J11" s="35">
        <f t="shared" si="0"/>
        <v>42195</v>
      </c>
      <c r="K11" s="35">
        <f t="shared" si="0"/>
        <v>261000</v>
      </c>
      <c r="L11" s="35">
        <f t="shared" si="0"/>
        <v>46560</v>
      </c>
    </row>
  </sheetData>
  <mergeCells count="3">
    <mergeCell ref="B2:L2"/>
    <mergeCell ref="B4:C4"/>
    <mergeCell ref="D4:E4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workbookViewId="0">
      <selection activeCell="R10" sqref="R10"/>
    </sheetView>
  </sheetViews>
  <sheetFormatPr defaultColWidth="8.8984375" defaultRowHeight="17.399999999999999"/>
  <cols>
    <col min="1" max="1" width="8.8984375" style="59"/>
    <col min="2" max="2" width="17" style="59" customWidth="1"/>
    <col min="3" max="3" width="9.3984375" style="59" customWidth="1"/>
    <col min="4" max="4" width="11" style="59" customWidth="1"/>
    <col min="5" max="5" width="9" style="59" bestFit="1" customWidth="1"/>
    <col min="6" max="8" width="13.3984375" style="59" customWidth="1"/>
    <col min="9" max="9" width="2.296875" style="59" customWidth="1"/>
    <col min="10" max="16384" width="8.8984375" style="59"/>
  </cols>
  <sheetData>
    <row r="1" spans="1:10" ht="27.6">
      <c r="A1" s="62"/>
      <c r="B1" s="62"/>
      <c r="C1"/>
      <c r="D1"/>
      <c r="E1"/>
      <c r="F1"/>
      <c r="G1" s="62"/>
    </row>
    <row r="3" spans="1:10" s="61" customFormat="1" ht="21" customHeight="1">
      <c r="A3" s="314" t="s">
        <v>284</v>
      </c>
      <c r="B3" s="314" t="s">
        <v>283</v>
      </c>
      <c r="C3" s="314" t="s">
        <v>282</v>
      </c>
      <c r="D3" s="314" t="s">
        <v>281</v>
      </c>
      <c r="E3" s="314" t="s">
        <v>280</v>
      </c>
      <c r="F3" s="315" t="s">
        <v>279</v>
      </c>
      <c r="G3" s="315" t="s">
        <v>278</v>
      </c>
      <c r="H3" s="315" t="s">
        <v>277</v>
      </c>
    </row>
    <row r="4" spans="1:10" s="60" customFormat="1">
      <c r="A4" s="316" t="s">
        <v>267</v>
      </c>
      <c r="B4" s="316" t="s">
        <v>276</v>
      </c>
      <c r="C4" s="316">
        <v>3</v>
      </c>
      <c r="D4" s="317">
        <v>960243</v>
      </c>
      <c r="E4" s="316">
        <v>3.4000000000000002E-2</v>
      </c>
      <c r="F4" s="584">
        <f>ROUND(D4*E4,1)</f>
        <v>32648.3</v>
      </c>
      <c r="G4" s="585">
        <f>ROUNDUP(F4*C4,1)</f>
        <v>97944.9</v>
      </c>
      <c r="H4" s="585">
        <f>ROUNDDOWN(D4-F4,-3)</f>
        <v>927000</v>
      </c>
      <c r="J4" s="59" t="s">
        <v>275</v>
      </c>
    </row>
    <row r="5" spans="1:10" s="60" customFormat="1">
      <c r="A5" s="316" t="s">
        <v>267</v>
      </c>
      <c r="B5" s="316" t="s">
        <v>274</v>
      </c>
      <c r="C5" s="316">
        <v>4</v>
      </c>
      <c r="D5" s="317">
        <v>77455</v>
      </c>
      <c r="E5" s="316">
        <v>3.4000000000000002E-2</v>
      </c>
      <c r="F5" s="584">
        <f t="shared" ref="F5:F25" si="0">ROUND(D5*E5,1)</f>
        <v>2633.5</v>
      </c>
      <c r="G5" s="585">
        <f t="shared" ref="G5:G25" si="1">ROUNDUP(F5*C5,1)</f>
        <v>10534</v>
      </c>
      <c r="H5" s="585">
        <f t="shared" ref="H5:H25" si="2">ROUNDDOWN(D5-F5,-3)</f>
        <v>74000</v>
      </c>
      <c r="J5" s="59" t="s">
        <v>273</v>
      </c>
    </row>
    <row r="6" spans="1:10" s="60" customFormat="1">
      <c r="A6" s="316" t="s">
        <v>267</v>
      </c>
      <c r="B6" s="316" t="s">
        <v>272</v>
      </c>
      <c r="C6" s="316">
        <v>5</v>
      </c>
      <c r="D6" s="317">
        <v>41400</v>
      </c>
      <c r="E6" s="316">
        <v>3.4000000000000002E-2</v>
      </c>
      <c r="F6" s="584">
        <f t="shared" si="0"/>
        <v>1407.6</v>
      </c>
      <c r="G6" s="585">
        <f t="shared" si="1"/>
        <v>7038</v>
      </c>
      <c r="H6" s="585">
        <f t="shared" si="2"/>
        <v>39000</v>
      </c>
      <c r="J6" s="59" t="s">
        <v>271</v>
      </c>
    </row>
    <row r="7" spans="1:10" s="60" customFormat="1">
      <c r="A7" s="316" t="s">
        <v>267</v>
      </c>
      <c r="B7" s="316" t="s">
        <v>270</v>
      </c>
      <c r="C7" s="316">
        <v>3</v>
      </c>
      <c r="D7" s="317">
        <v>3445</v>
      </c>
      <c r="E7" s="316">
        <v>3.4000000000000002E-2</v>
      </c>
      <c r="F7" s="584">
        <f t="shared" si="0"/>
        <v>117.1</v>
      </c>
      <c r="G7" s="585">
        <f t="shared" si="1"/>
        <v>351.3</v>
      </c>
      <c r="H7" s="585">
        <f t="shared" si="2"/>
        <v>3000</v>
      </c>
    </row>
    <row r="8" spans="1:10" s="60" customFormat="1">
      <c r="A8" s="316" t="s">
        <v>267</v>
      </c>
      <c r="B8" s="316" t="s">
        <v>269</v>
      </c>
      <c r="C8" s="316">
        <v>4</v>
      </c>
      <c r="D8" s="317">
        <v>6044</v>
      </c>
      <c r="E8" s="316">
        <v>3.4000000000000002E-2</v>
      </c>
      <c r="F8" s="584">
        <f t="shared" si="0"/>
        <v>205.5</v>
      </c>
      <c r="G8" s="585">
        <f t="shared" si="1"/>
        <v>822</v>
      </c>
      <c r="H8" s="585">
        <f t="shared" si="2"/>
        <v>5000</v>
      </c>
    </row>
    <row r="9" spans="1:10" s="60" customFormat="1">
      <c r="A9" s="316" t="s">
        <v>267</v>
      </c>
      <c r="B9" s="316" t="s">
        <v>268</v>
      </c>
      <c r="C9" s="316">
        <v>2</v>
      </c>
      <c r="D9" s="317">
        <v>239147</v>
      </c>
      <c r="E9" s="316">
        <v>3.4000000000000002E-2</v>
      </c>
      <c r="F9" s="584">
        <f t="shared" si="0"/>
        <v>8131</v>
      </c>
      <c r="G9" s="585">
        <f t="shared" si="1"/>
        <v>16262</v>
      </c>
      <c r="H9" s="585">
        <f t="shared" si="2"/>
        <v>231000</v>
      </c>
    </row>
    <row r="10" spans="1:10" s="60" customFormat="1">
      <c r="A10" s="316" t="s">
        <v>267</v>
      </c>
      <c r="B10" s="316" t="s">
        <v>266</v>
      </c>
      <c r="C10" s="316">
        <v>3</v>
      </c>
      <c r="D10" s="317">
        <v>15695</v>
      </c>
      <c r="E10" s="316">
        <v>3.4000000000000002E-2</v>
      </c>
      <c r="F10" s="584">
        <f t="shared" si="0"/>
        <v>533.6</v>
      </c>
      <c r="G10" s="585">
        <f t="shared" si="1"/>
        <v>1600.8</v>
      </c>
      <c r="H10" s="585">
        <f t="shared" si="2"/>
        <v>15000</v>
      </c>
    </row>
    <row r="11" spans="1:10" s="60" customFormat="1">
      <c r="A11" s="316" t="s">
        <v>258</v>
      </c>
      <c r="B11" s="316" t="s">
        <v>265</v>
      </c>
      <c r="C11" s="316">
        <v>5</v>
      </c>
      <c r="D11" s="317">
        <v>2850</v>
      </c>
      <c r="E11" s="316">
        <v>6.6000000000000003E-2</v>
      </c>
      <c r="F11" s="584">
        <f t="shared" si="0"/>
        <v>188.1</v>
      </c>
      <c r="G11" s="585">
        <f t="shared" si="1"/>
        <v>940.5</v>
      </c>
      <c r="H11" s="585">
        <f t="shared" si="2"/>
        <v>2000</v>
      </c>
    </row>
    <row r="12" spans="1:10" s="60" customFormat="1">
      <c r="A12" s="316" t="s">
        <v>258</v>
      </c>
      <c r="B12" s="316" t="s">
        <v>264</v>
      </c>
      <c r="C12" s="316">
        <v>3</v>
      </c>
      <c r="D12" s="317">
        <v>1423</v>
      </c>
      <c r="E12" s="316">
        <v>6.6000000000000003E-2</v>
      </c>
      <c r="F12" s="584">
        <f t="shared" si="0"/>
        <v>93.9</v>
      </c>
      <c r="G12" s="585">
        <f t="shared" si="1"/>
        <v>281.7</v>
      </c>
      <c r="H12" s="585">
        <f t="shared" si="2"/>
        <v>1000</v>
      </c>
    </row>
    <row r="13" spans="1:10" s="60" customFormat="1">
      <c r="A13" s="316" t="s">
        <v>258</v>
      </c>
      <c r="B13" s="316" t="s">
        <v>263</v>
      </c>
      <c r="C13" s="316">
        <v>5</v>
      </c>
      <c r="D13" s="317">
        <v>15918</v>
      </c>
      <c r="E13" s="316">
        <v>6.6000000000000003E-2</v>
      </c>
      <c r="F13" s="584">
        <f t="shared" si="0"/>
        <v>1050.5999999999999</v>
      </c>
      <c r="G13" s="585">
        <f t="shared" si="1"/>
        <v>5253</v>
      </c>
      <c r="H13" s="585">
        <f t="shared" si="2"/>
        <v>14000</v>
      </c>
    </row>
    <row r="14" spans="1:10" s="60" customFormat="1">
      <c r="A14" s="316" t="s">
        <v>258</v>
      </c>
      <c r="B14" s="316" t="s">
        <v>262</v>
      </c>
      <c r="C14" s="316">
        <v>3</v>
      </c>
      <c r="D14" s="317">
        <v>3971</v>
      </c>
      <c r="E14" s="316">
        <v>6.6000000000000003E-2</v>
      </c>
      <c r="F14" s="584">
        <f t="shared" si="0"/>
        <v>262.10000000000002</v>
      </c>
      <c r="G14" s="585">
        <f t="shared" si="1"/>
        <v>786.3</v>
      </c>
      <c r="H14" s="585">
        <f t="shared" si="2"/>
        <v>3000</v>
      </c>
    </row>
    <row r="15" spans="1:10" s="60" customFormat="1">
      <c r="A15" s="316" t="s">
        <v>258</v>
      </c>
      <c r="B15" s="316" t="s">
        <v>261</v>
      </c>
      <c r="C15" s="316">
        <v>2</v>
      </c>
      <c r="D15" s="317">
        <v>136596</v>
      </c>
      <c r="E15" s="316">
        <v>6.6000000000000003E-2</v>
      </c>
      <c r="F15" s="584">
        <f t="shared" si="0"/>
        <v>9015.2999999999993</v>
      </c>
      <c r="G15" s="585">
        <f t="shared" si="1"/>
        <v>18030.599999999999</v>
      </c>
      <c r="H15" s="585">
        <f t="shared" si="2"/>
        <v>127000</v>
      </c>
    </row>
    <row r="16" spans="1:10" s="60" customFormat="1">
      <c r="A16" s="316" t="s">
        <v>258</v>
      </c>
      <c r="B16" s="318" t="s">
        <v>260</v>
      </c>
      <c r="C16" s="318">
        <v>1</v>
      </c>
      <c r="D16" s="319">
        <v>1488</v>
      </c>
      <c r="E16" s="316">
        <v>6.6000000000000003E-2</v>
      </c>
      <c r="F16" s="584">
        <f t="shared" si="0"/>
        <v>98.2</v>
      </c>
      <c r="G16" s="585">
        <f t="shared" si="1"/>
        <v>98.2</v>
      </c>
      <c r="H16" s="585">
        <f t="shared" si="2"/>
        <v>1000</v>
      </c>
    </row>
    <row r="17" spans="1:8" s="60" customFormat="1">
      <c r="A17" s="316" t="s">
        <v>258</v>
      </c>
      <c r="B17" s="316" t="s">
        <v>259</v>
      </c>
      <c r="C17" s="316">
        <v>4</v>
      </c>
      <c r="D17" s="317">
        <v>12603</v>
      </c>
      <c r="E17" s="316">
        <v>6.6000000000000003E-2</v>
      </c>
      <c r="F17" s="584">
        <f t="shared" si="0"/>
        <v>831.8</v>
      </c>
      <c r="G17" s="585">
        <f t="shared" si="1"/>
        <v>3327.2</v>
      </c>
      <c r="H17" s="585">
        <f t="shared" si="2"/>
        <v>11000</v>
      </c>
    </row>
    <row r="18" spans="1:8" s="60" customFormat="1">
      <c r="A18" s="316" t="s">
        <v>258</v>
      </c>
      <c r="B18" s="316" t="s">
        <v>257</v>
      </c>
      <c r="C18" s="316">
        <v>5</v>
      </c>
      <c r="D18" s="317">
        <v>18082</v>
      </c>
      <c r="E18" s="316">
        <v>6.6000000000000003E-2</v>
      </c>
      <c r="F18" s="584">
        <f t="shared" si="0"/>
        <v>1193.4000000000001</v>
      </c>
      <c r="G18" s="585">
        <f t="shared" si="1"/>
        <v>5967</v>
      </c>
      <c r="H18" s="585">
        <f t="shared" si="2"/>
        <v>16000</v>
      </c>
    </row>
    <row r="19" spans="1:8" s="60" customFormat="1">
      <c r="A19" s="316" t="s">
        <v>250</v>
      </c>
      <c r="B19" s="316" t="s">
        <v>256</v>
      </c>
      <c r="C19" s="316">
        <v>2</v>
      </c>
      <c r="D19" s="317">
        <v>6602</v>
      </c>
      <c r="E19" s="316">
        <v>0.313</v>
      </c>
      <c r="F19" s="584">
        <f t="shared" si="0"/>
        <v>2066.4</v>
      </c>
      <c r="G19" s="585">
        <f t="shared" si="1"/>
        <v>4132.8</v>
      </c>
      <c r="H19" s="585">
        <f t="shared" si="2"/>
        <v>4000</v>
      </c>
    </row>
    <row r="20" spans="1:8" s="60" customFormat="1">
      <c r="A20" s="316" t="s">
        <v>250</v>
      </c>
      <c r="B20" s="316" t="s">
        <v>255</v>
      </c>
      <c r="C20" s="316">
        <v>2</v>
      </c>
      <c r="D20" s="317">
        <v>4295</v>
      </c>
      <c r="E20" s="316">
        <v>0.313</v>
      </c>
      <c r="F20" s="584">
        <f t="shared" si="0"/>
        <v>1344.3</v>
      </c>
      <c r="G20" s="585">
        <f t="shared" si="1"/>
        <v>2688.6</v>
      </c>
      <c r="H20" s="585">
        <f t="shared" si="2"/>
        <v>2000</v>
      </c>
    </row>
    <row r="21" spans="1:8" s="60" customFormat="1">
      <c r="A21" s="316" t="s">
        <v>250</v>
      </c>
      <c r="B21" s="316" t="s">
        <v>254</v>
      </c>
      <c r="C21" s="316">
        <v>1</v>
      </c>
      <c r="D21" s="317">
        <v>2097</v>
      </c>
      <c r="E21" s="316">
        <v>0.313</v>
      </c>
      <c r="F21" s="584">
        <f t="shared" si="0"/>
        <v>656.4</v>
      </c>
      <c r="G21" s="585">
        <f t="shared" si="1"/>
        <v>656.4</v>
      </c>
      <c r="H21" s="585">
        <f t="shared" si="2"/>
        <v>1000</v>
      </c>
    </row>
    <row r="22" spans="1:8" s="60" customFormat="1">
      <c r="A22" s="316" t="s">
        <v>250</v>
      </c>
      <c r="B22" s="316" t="s">
        <v>253</v>
      </c>
      <c r="C22" s="316">
        <v>1</v>
      </c>
      <c r="D22" s="317">
        <v>130119</v>
      </c>
      <c r="E22" s="316">
        <v>0.313</v>
      </c>
      <c r="F22" s="584">
        <f t="shared" si="0"/>
        <v>40727.199999999997</v>
      </c>
      <c r="G22" s="585">
        <f t="shared" si="1"/>
        <v>40727.199999999997</v>
      </c>
      <c r="H22" s="585">
        <f t="shared" si="2"/>
        <v>89000</v>
      </c>
    </row>
    <row r="23" spans="1:8" s="60" customFormat="1">
      <c r="A23" s="316" t="s">
        <v>250</v>
      </c>
      <c r="B23" s="316" t="s">
        <v>252</v>
      </c>
      <c r="C23" s="316">
        <v>2</v>
      </c>
      <c r="D23" s="317">
        <v>33169</v>
      </c>
      <c r="E23" s="316">
        <v>0.313</v>
      </c>
      <c r="F23" s="584">
        <f t="shared" si="0"/>
        <v>10381.9</v>
      </c>
      <c r="G23" s="585">
        <f t="shared" si="1"/>
        <v>20763.8</v>
      </c>
      <c r="H23" s="585">
        <f t="shared" si="2"/>
        <v>22000</v>
      </c>
    </row>
    <row r="24" spans="1:8" s="60" customFormat="1">
      <c r="A24" s="316" t="s">
        <v>250</v>
      </c>
      <c r="B24" s="316" t="s">
        <v>251</v>
      </c>
      <c r="C24" s="316">
        <v>2</v>
      </c>
      <c r="D24" s="317">
        <v>233415</v>
      </c>
      <c r="E24" s="316">
        <v>0.313</v>
      </c>
      <c r="F24" s="584">
        <f t="shared" si="0"/>
        <v>73058.899999999994</v>
      </c>
      <c r="G24" s="585">
        <f t="shared" si="1"/>
        <v>146117.79999999999</v>
      </c>
      <c r="H24" s="585">
        <f t="shared" si="2"/>
        <v>160000</v>
      </c>
    </row>
    <row r="25" spans="1:8" s="60" customFormat="1">
      <c r="A25" s="316" t="s">
        <v>250</v>
      </c>
      <c r="B25" s="316" t="s">
        <v>249</v>
      </c>
      <c r="C25" s="316">
        <v>3</v>
      </c>
      <c r="D25" s="317">
        <v>296380</v>
      </c>
      <c r="E25" s="316">
        <v>0.313</v>
      </c>
      <c r="F25" s="584">
        <f t="shared" si="0"/>
        <v>92766.9</v>
      </c>
      <c r="G25" s="585">
        <f t="shared" si="1"/>
        <v>278300.7</v>
      </c>
      <c r="H25" s="585">
        <f t="shared" si="2"/>
        <v>203000</v>
      </c>
    </row>
    <row r="26" spans="1:8" s="60" customFormat="1"/>
  </sheetData>
  <phoneticPr fontId="8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4" sqref="G4"/>
    </sheetView>
  </sheetViews>
  <sheetFormatPr defaultColWidth="9" defaultRowHeight="17.399999999999999"/>
  <cols>
    <col min="1" max="4" width="9" style="323"/>
    <col min="5" max="5" width="11.8984375" style="323" bestFit="1" customWidth="1"/>
    <col min="6" max="16384" width="9" style="323"/>
  </cols>
  <sheetData>
    <row r="1" spans="1:8" ht="25.2">
      <c r="A1" s="603" t="s">
        <v>1570</v>
      </c>
      <c r="B1" s="603"/>
      <c r="C1" s="603"/>
      <c r="D1" s="603"/>
      <c r="E1" s="603"/>
      <c r="F1" s="603"/>
      <c r="G1" s="603"/>
      <c r="H1" s="603"/>
    </row>
    <row r="2" spans="1:8">
      <c r="A2" s="335"/>
      <c r="B2" s="335"/>
      <c r="C2" s="335"/>
      <c r="D2" s="335"/>
      <c r="E2" s="335"/>
      <c r="F2" s="335"/>
      <c r="G2" s="335"/>
    </row>
    <row r="3" spans="1:8">
      <c r="A3" s="335"/>
      <c r="B3" s="335"/>
      <c r="C3" s="335"/>
      <c r="D3" s="335"/>
      <c r="E3" s="335"/>
      <c r="F3" s="444" t="s">
        <v>1569</v>
      </c>
      <c r="G3" s="604">
        <v>44013</v>
      </c>
      <c r="H3" s="604"/>
    </row>
    <row r="4" spans="1:8">
      <c r="A4" s="335"/>
      <c r="B4" s="335"/>
      <c r="C4" s="335"/>
      <c r="D4" s="335"/>
      <c r="E4" s="335"/>
      <c r="F4" s="444" t="s">
        <v>1568</v>
      </c>
      <c r="G4" s="443" t="s">
        <v>1567</v>
      </c>
    </row>
    <row r="5" spans="1:8">
      <c r="A5" s="335"/>
      <c r="B5" s="335"/>
      <c r="C5" s="335"/>
      <c r="D5" s="335"/>
      <c r="E5" s="335"/>
      <c r="F5" s="335"/>
      <c r="G5" s="335"/>
    </row>
    <row r="6" spans="1:8" ht="19.2">
      <c r="A6" s="442" t="s">
        <v>1517</v>
      </c>
      <c r="B6" s="442" t="s">
        <v>68</v>
      </c>
      <c r="C6" s="442" t="s">
        <v>605</v>
      </c>
      <c r="D6" s="442" t="s">
        <v>606</v>
      </c>
      <c r="E6" s="442" t="s">
        <v>607</v>
      </c>
      <c r="F6" s="442" t="s">
        <v>1566</v>
      </c>
      <c r="G6" s="442" t="s">
        <v>608</v>
      </c>
      <c r="H6" s="442" t="s">
        <v>5</v>
      </c>
    </row>
    <row r="7" spans="1:8" ht="19.2">
      <c r="A7" s="441" t="s">
        <v>653</v>
      </c>
      <c r="B7" s="441" t="s">
        <v>1565</v>
      </c>
      <c r="C7" s="440">
        <v>92</v>
      </c>
      <c r="D7" s="440">
        <v>90</v>
      </c>
      <c r="E7" s="440">
        <v>90</v>
      </c>
      <c r="F7" s="440">
        <v>94</v>
      </c>
      <c r="G7" s="439">
        <v>366</v>
      </c>
      <c r="H7" s="438"/>
    </row>
    <row r="8" spans="1:8" ht="19.2">
      <c r="A8" s="441" t="s">
        <v>659</v>
      </c>
      <c r="B8" s="441" t="s">
        <v>1565</v>
      </c>
      <c r="C8" s="440">
        <v>98</v>
      </c>
      <c r="D8" s="440">
        <v>96</v>
      </c>
      <c r="E8" s="440">
        <v>94</v>
      </c>
      <c r="F8" s="440">
        <v>90</v>
      </c>
      <c r="G8" s="439">
        <v>378</v>
      </c>
      <c r="H8" s="438"/>
    </row>
    <row r="9" spans="1:8" ht="19.2">
      <c r="A9" s="441" t="s">
        <v>661</v>
      </c>
      <c r="B9" s="441" t="s">
        <v>1565</v>
      </c>
      <c r="C9" s="440">
        <v>70</v>
      </c>
      <c r="D9" s="440">
        <v>90</v>
      </c>
      <c r="E9" s="440">
        <v>80</v>
      </c>
      <c r="F9" s="440">
        <v>94</v>
      </c>
      <c r="G9" s="439">
        <v>334</v>
      </c>
      <c r="H9" s="438"/>
    </row>
    <row r="10" spans="1:8" ht="19.2">
      <c r="A10" s="441" t="s">
        <v>664</v>
      </c>
      <c r="B10" s="441" t="s">
        <v>1564</v>
      </c>
      <c r="C10" s="440">
        <v>80</v>
      </c>
      <c r="D10" s="440">
        <v>89</v>
      </c>
      <c r="E10" s="440">
        <v>76</v>
      </c>
      <c r="F10" s="440">
        <v>90</v>
      </c>
      <c r="G10" s="439">
        <v>335</v>
      </c>
      <c r="H10" s="438"/>
    </row>
    <row r="11" spans="1:8" ht="19.2">
      <c r="A11" s="441" t="s">
        <v>666</v>
      </c>
      <c r="B11" s="441" t="s">
        <v>1563</v>
      </c>
      <c r="C11" s="440">
        <v>87</v>
      </c>
      <c r="D11" s="440">
        <v>82</v>
      </c>
      <c r="E11" s="440">
        <v>88</v>
      </c>
      <c r="F11" s="440">
        <v>86</v>
      </c>
      <c r="G11" s="439">
        <v>343</v>
      </c>
      <c r="H11" s="438"/>
    </row>
    <row r="12" spans="1:8" ht="19.2">
      <c r="A12" s="441" t="s">
        <v>667</v>
      </c>
      <c r="B12" s="441" t="s">
        <v>1563</v>
      </c>
      <c r="C12" s="440">
        <v>76</v>
      </c>
      <c r="D12" s="440">
        <v>90</v>
      </c>
      <c r="E12" s="440">
        <v>92</v>
      </c>
      <c r="F12" s="440">
        <v>88</v>
      </c>
      <c r="G12" s="439">
        <v>346</v>
      </c>
      <c r="H12" s="438"/>
    </row>
    <row r="13" spans="1:8" ht="19.2">
      <c r="A13" s="441" t="s">
        <v>670</v>
      </c>
      <c r="B13" s="441" t="s">
        <v>1562</v>
      </c>
      <c r="C13" s="440">
        <v>85</v>
      </c>
      <c r="D13" s="440">
        <v>80</v>
      </c>
      <c r="E13" s="440">
        <v>92</v>
      </c>
      <c r="F13" s="440">
        <v>88</v>
      </c>
      <c r="G13" s="439">
        <v>345</v>
      </c>
      <c r="H13" s="438"/>
    </row>
    <row r="14" spans="1:8" ht="19.2">
      <c r="A14" s="441" t="s">
        <v>671</v>
      </c>
      <c r="B14" s="441" t="s">
        <v>1561</v>
      </c>
      <c r="C14" s="440">
        <v>78</v>
      </c>
      <c r="D14" s="440">
        <v>90</v>
      </c>
      <c r="E14" s="440">
        <v>90</v>
      </c>
      <c r="F14" s="440">
        <v>90</v>
      </c>
      <c r="G14" s="439">
        <v>348</v>
      </c>
      <c r="H14" s="438"/>
    </row>
    <row r="15" spans="1:8" ht="19.2">
      <c r="A15" s="441" t="s">
        <v>1456</v>
      </c>
      <c r="B15" s="441" t="s">
        <v>1561</v>
      </c>
      <c r="C15" s="440">
        <v>82</v>
      </c>
      <c r="D15" s="440">
        <v>80</v>
      </c>
      <c r="E15" s="440">
        <v>84</v>
      </c>
      <c r="F15" s="440">
        <v>92</v>
      </c>
      <c r="G15" s="439">
        <v>338</v>
      </c>
      <c r="H15" s="438"/>
    </row>
    <row r="16" spans="1:8" ht="19.2">
      <c r="A16" s="441" t="s">
        <v>1455</v>
      </c>
      <c r="B16" s="441" t="s">
        <v>1561</v>
      </c>
      <c r="C16" s="440">
        <v>88</v>
      </c>
      <c r="D16" s="440">
        <v>92</v>
      </c>
      <c r="E16" s="440">
        <v>82</v>
      </c>
      <c r="F16" s="440">
        <v>96</v>
      </c>
      <c r="G16" s="439">
        <v>358</v>
      </c>
      <c r="H16" s="438"/>
    </row>
  </sheetData>
  <mergeCells count="2">
    <mergeCell ref="A1:H1"/>
    <mergeCell ref="G3:H3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5" sqref="E5:E16"/>
    </sheetView>
  </sheetViews>
  <sheetFormatPr defaultColWidth="8.8984375" defaultRowHeight="19.2"/>
  <cols>
    <col min="1" max="6" width="14.796875" style="1" customWidth="1"/>
    <col min="7" max="16384" width="8.8984375" style="1"/>
  </cols>
  <sheetData>
    <row r="1" spans="1:6" ht="25.2">
      <c r="A1" s="605" t="s">
        <v>0</v>
      </c>
      <c r="B1" s="605"/>
      <c r="C1" s="605"/>
      <c r="D1" s="605"/>
      <c r="E1" s="605"/>
      <c r="F1" s="605"/>
    </row>
    <row r="2" spans="1:6" ht="10.5" customHeight="1">
      <c r="A2" s="2"/>
      <c r="B2" s="2"/>
      <c r="C2" s="2"/>
      <c r="D2" s="3"/>
    </row>
    <row r="3" spans="1:6" ht="23.25" customHeight="1">
      <c r="A3" s="606" t="s">
        <v>1</v>
      </c>
      <c r="B3" s="606" t="s">
        <v>2</v>
      </c>
      <c r="C3" s="606" t="s">
        <v>3</v>
      </c>
      <c r="D3" s="606" t="s">
        <v>4</v>
      </c>
      <c r="E3" s="608" t="s">
        <v>5</v>
      </c>
      <c r="F3" s="609"/>
    </row>
    <row r="4" spans="1:6" ht="23.25" customHeight="1">
      <c r="A4" s="607"/>
      <c r="B4" s="607"/>
      <c r="C4" s="607"/>
      <c r="D4" s="607"/>
      <c r="E4" s="4" t="s">
        <v>6</v>
      </c>
      <c r="F4" s="4" t="s">
        <v>7</v>
      </c>
    </row>
    <row r="5" spans="1:6">
      <c r="A5" s="5" t="s">
        <v>8</v>
      </c>
      <c r="B5" s="6">
        <v>37510</v>
      </c>
      <c r="C5" s="6">
        <v>30230</v>
      </c>
      <c r="D5" s="7">
        <f t="shared" ref="D5:D16" si="0">SUM(B5:C5)</f>
        <v>67740</v>
      </c>
      <c r="E5" s="5"/>
      <c r="F5" s="5"/>
    </row>
    <row r="6" spans="1:6">
      <c r="A6" s="5" t="s">
        <v>9</v>
      </c>
      <c r="B6" s="6">
        <v>12780</v>
      </c>
      <c r="C6" s="6">
        <v>33170</v>
      </c>
      <c r="D6" s="7">
        <f t="shared" si="0"/>
        <v>45950</v>
      </c>
      <c r="E6" s="5"/>
      <c r="F6" s="5"/>
    </row>
    <row r="7" spans="1:6">
      <c r="A7" s="5" t="s">
        <v>10</v>
      </c>
      <c r="B7" s="6">
        <v>20300</v>
      </c>
      <c r="C7" s="6">
        <v>44400</v>
      </c>
      <c r="D7" s="7">
        <f t="shared" si="0"/>
        <v>64700</v>
      </c>
      <c r="E7" s="5"/>
      <c r="F7" s="5"/>
    </row>
    <row r="8" spans="1:6">
      <c r="A8" s="5" t="s">
        <v>11</v>
      </c>
      <c r="B8" s="6">
        <v>30230</v>
      </c>
      <c r="C8" s="6">
        <v>34470</v>
      </c>
      <c r="D8" s="7">
        <f t="shared" si="0"/>
        <v>64700</v>
      </c>
      <c r="E8" s="5"/>
      <c r="F8" s="5"/>
    </row>
    <row r="9" spans="1:6">
      <c r="A9" s="5" t="s">
        <v>12</v>
      </c>
      <c r="B9" s="6">
        <v>33040</v>
      </c>
      <c r="C9" s="6">
        <v>39580</v>
      </c>
      <c r="D9" s="7">
        <f t="shared" si="0"/>
        <v>72620</v>
      </c>
      <c r="E9" s="5"/>
      <c r="F9" s="5"/>
    </row>
    <row r="10" spans="1:6">
      <c r="A10" s="5" t="s">
        <v>13</v>
      </c>
      <c r="B10" s="6">
        <v>9490</v>
      </c>
      <c r="C10" s="6">
        <v>55210</v>
      </c>
      <c r="D10" s="7">
        <f t="shared" si="0"/>
        <v>64700</v>
      </c>
      <c r="E10" s="5"/>
      <c r="F10" s="5"/>
    </row>
    <row r="11" spans="1:6">
      <c r="A11" s="5" t="s">
        <v>14</v>
      </c>
      <c r="B11" s="6">
        <v>33490</v>
      </c>
      <c r="C11" s="6">
        <v>35160</v>
      </c>
      <c r="D11" s="7">
        <f t="shared" si="0"/>
        <v>68650</v>
      </c>
      <c r="E11" s="5"/>
      <c r="F11" s="5"/>
    </row>
    <row r="12" spans="1:6">
      <c r="A12" s="5" t="s">
        <v>15</v>
      </c>
      <c r="B12" s="6">
        <v>21770</v>
      </c>
      <c r="C12" s="6">
        <v>37070</v>
      </c>
      <c r="D12" s="7">
        <f t="shared" si="0"/>
        <v>58840</v>
      </c>
      <c r="E12" s="5"/>
      <c r="F12" s="5"/>
    </row>
    <row r="13" spans="1:6">
      <c r="A13" s="5" t="s">
        <v>16</v>
      </c>
      <c r="B13" s="6">
        <v>29720</v>
      </c>
      <c r="C13" s="6">
        <v>56060</v>
      </c>
      <c r="D13" s="7">
        <f t="shared" si="0"/>
        <v>85780</v>
      </c>
      <c r="E13" s="5"/>
      <c r="F13" s="5"/>
    </row>
    <row r="14" spans="1:6">
      <c r="A14" s="5" t="s">
        <v>17</v>
      </c>
      <c r="B14" s="6">
        <v>28500</v>
      </c>
      <c r="C14" s="6">
        <v>45950</v>
      </c>
      <c r="D14" s="7">
        <f t="shared" si="0"/>
        <v>74450</v>
      </c>
      <c r="E14" s="5"/>
      <c r="F14" s="5"/>
    </row>
    <row r="15" spans="1:6">
      <c r="A15" s="5" t="s">
        <v>18</v>
      </c>
      <c r="B15" s="6">
        <v>29060</v>
      </c>
      <c r="C15" s="6">
        <v>29780</v>
      </c>
      <c r="D15" s="7">
        <f t="shared" si="0"/>
        <v>58840</v>
      </c>
      <c r="E15" s="5"/>
      <c r="F15" s="5"/>
    </row>
    <row r="16" spans="1:6">
      <c r="A16" s="5" t="s">
        <v>19</v>
      </c>
      <c r="B16" s="6">
        <v>33420</v>
      </c>
      <c r="C16" s="6">
        <v>52010</v>
      </c>
      <c r="D16" s="7">
        <f t="shared" si="0"/>
        <v>85430</v>
      </c>
      <c r="E16" s="5"/>
      <c r="F16" s="5"/>
    </row>
  </sheetData>
  <mergeCells count="6">
    <mergeCell ref="A1:F1"/>
    <mergeCell ref="A3:A4"/>
    <mergeCell ref="B3:B4"/>
    <mergeCell ref="C3:C4"/>
    <mergeCell ref="D3:D4"/>
    <mergeCell ref="E3:F3"/>
  </mergeCells>
  <phoneticPr fontId="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zoomScale="115" zoomScaleNormal="115" workbookViewId="0">
      <selection activeCell="A6" sqref="A6:XFD6"/>
    </sheetView>
  </sheetViews>
  <sheetFormatPr defaultColWidth="8.8984375" defaultRowHeight="14.4"/>
  <cols>
    <col min="1" max="2" width="7" style="166" customWidth="1"/>
    <col min="3" max="3" width="10.3984375" style="166" customWidth="1"/>
    <col min="4" max="4" width="59.796875" style="166" bestFit="1" customWidth="1"/>
    <col min="5" max="5" width="9.3984375" style="158" customWidth="1"/>
    <col min="6" max="6" width="17.19921875" style="158" customWidth="1"/>
    <col min="7" max="7" width="5.09765625" style="166" customWidth="1"/>
    <col min="8" max="8" width="9.796875" style="166" bestFit="1" customWidth="1"/>
    <col min="9" max="9" width="3.296875" style="158" customWidth="1"/>
    <col min="10" max="16384" width="8.8984375" style="158"/>
  </cols>
  <sheetData>
    <row r="1" spans="1:8" ht="25.8">
      <c r="A1" s="159"/>
      <c r="B1" s="159"/>
      <c r="C1" s="159"/>
      <c r="D1" s="159"/>
      <c r="E1" s="159"/>
      <c r="F1" s="159"/>
      <c r="G1" s="159"/>
      <c r="H1" s="159"/>
    </row>
    <row r="2" spans="1:8" ht="21.75" customHeight="1">
      <c r="A2" s="302" t="s">
        <v>1411</v>
      </c>
      <c r="B2" s="302" t="s">
        <v>681</v>
      </c>
      <c r="C2" s="302" t="s">
        <v>682</v>
      </c>
      <c r="D2" s="302" t="s">
        <v>683</v>
      </c>
      <c r="E2" s="302" t="s">
        <v>684</v>
      </c>
      <c r="F2" s="302" t="s">
        <v>685</v>
      </c>
      <c r="G2" s="302" t="s">
        <v>686</v>
      </c>
      <c r="H2" s="302" t="s">
        <v>687</v>
      </c>
    </row>
    <row r="3" spans="1:8" ht="19.5" customHeight="1">
      <c r="A3" s="160">
        <v>1</v>
      </c>
      <c r="B3" s="160">
        <f>ROW()-2</f>
        <v>1</v>
      </c>
      <c r="C3" s="160" t="s">
        <v>688</v>
      </c>
      <c r="D3" s="161" t="s">
        <v>689</v>
      </c>
      <c r="E3" s="162" t="s">
        <v>690</v>
      </c>
      <c r="F3" s="163" t="s">
        <v>691</v>
      </c>
      <c r="G3" s="161">
        <v>1</v>
      </c>
      <c r="H3" s="164">
        <v>28000</v>
      </c>
    </row>
    <row r="4" spans="1:8" ht="19.5" customHeight="1">
      <c r="A4" s="160">
        <v>2</v>
      </c>
      <c r="B4" s="160">
        <f t="shared" ref="B4:B66" si="0">ROW()-2</f>
        <v>2</v>
      </c>
      <c r="C4" s="160" t="s">
        <v>688</v>
      </c>
      <c r="D4" s="161" t="s">
        <v>692</v>
      </c>
      <c r="E4" s="162" t="s">
        <v>693</v>
      </c>
      <c r="F4" s="163" t="s">
        <v>694</v>
      </c>
      <c r="G4" s="161">
        <v>1</v>
      </c>
      <c r="H4" s="164">
        <v>25000</v>
      </c>
    </row>
    <row r="5" spans="1:8" ht="19.5" customHeight="1">
      <c r="A5" s="160">
        <v>3</v>
      </c>
      <c r="B5" s="160">
        <f t="shared" si="0"/>
        <v>3</v>
      </c>
      <c r="C5" s="160" t="s">
        <v>688</v>
      </c>
      <c r="D5" s="161" t="s">
        <v>695</v>
      </c>
      <c r="E5" s="162" t="s">
        <v>696</v>
      </c>
      <c r="F5" s="163" t="s">
        <v>697</v>
      </c>
      <c r="G5" s="161">
        <v>1</v>
      </c>
      <c r="H5" s="164">
        <v>25000</v>
      </c>
    </row>
    <row r="6" spans="1:8" ht="19.5" customHeight="1">
      <c r="A6" s="160">
        <v>5</v>
      </c>
      <c r="B6" s="160">
        <f t="shared" si="0"/>
        <v>4</v>
      </c>
      <c r="C6" s="160" t="s">
        <v>688</v>
      </c>
      <c r="D6" s="161" t="s">
        <v>698</v>
      </c>
      <c r="E6" s="162" t="s">
        <v>699</v>
      </c>
      <c r="F6" s="163" t="s">
        <v>700</v>
      </c>
      <c r="G6" s="161">
        <v>3</v>
      </c>
      <c r="H6" s="164">
        <v>25000</v>
      </c>
    </row>
    <row r="7" spans="1:8" ht="19.5" customHeight="1">
      <c r="A7" s="160">
        <v>6</v>
      </c>
      <c r="B7" s="160">
        <f t="shared" si="0"/>
        <v>5</v>
      </c>
      <c r="C7" s="160" t="s">
        <v>688</v>
      </c>
      <c r="D7" s="161" t="s">
        <v>701</v>
      </c>
      <c r="E7" s="162" t="s">
        <v>702</v>
      </c>
      <c r="F7" s="163" t="s">
        <v>703</v>
      </c>
      <c r="G7" s="161">
        <v>6</v>
      </c>
      <c r="H7" s="164">
        <v>23000</v>
      </c>
    </row>
    <row r="8" spans="1:8" ht="19.5" customHeight="1">
      <c r="A8" s="160">
        <v>7</v>
      </c>
      <c r="B8" s="160">
        <f t="shared" si="0"/>
        <v>6</v>
      </c>
      <c r="C8" s="160" t="s">
        <v>688</v>
      </c>
      <c r="D8" s="161" t="s">
        <v>704</v>
      </c>
      <c r="E8" s="162" t="s">
        <v>705</v>
      </c>
      <c r="F8" s="163" t="s">
        <v>706</v>
      </c>
      <c r="G8" s="161">
        <v>3</v>
      </c>
      <c r="H8" s="164">
        <v>23000</v>
      </c>
    </row>
    <row r="9" spans="1:8" ht="19.5" customHeight="1">
      <c r="A9" s="160">
        <v>8</v>
      </c>
      <c r="B9" s="160">
        <f t="shared" si="0"/>
        <v>7</v>
      </c>
      <c r="C9" s="160" t="s">
        <v>688</v>
      </c>
      <c r="D9" s="161" t="s">
        <v>707</v>
      </c>
      <c r="E9" s="162" t="s">
        <v>708</v>
      </c>
      <c r="F9" s="163" t="s">
        <v>709</v>
      </c>
      <c r="G9" s="161">
        <v>1</v>
      </c>
      <c r="H9" s="164">
        <v>21000</v>
      </c>
    </row>
    <row r="10" spans="1:8" ht="19.5" customHeight="1">
      <c r="A10" s="160">
        <v>9</v>
      </c>
      <c r="B10" s="160">
        <f t="shared" si="0"/>
        <v>8</v>
      </c>
      <c r="C10" s="160" t="s">
        <v>688</v>
      </c>
      <c r="D10" s="161" t="s">
        <v>710</v>
      </c>
      <c r="E10" s="162" t="s">
        <v>711</v>
      </c>
      <c r="F10" s="163" t="s">
        <v>712</v>
      </c>
      <c r="G10" s="161">
        <v>1</v>
      </c>
      <c r="H10" s="164">
        <v>20000</v>
      </c>
    </row>
    <row r="11" spans="1:8" ht="19.5" customHeight="1">
      <c r="A11" s="160">
        <v>10</v>
      </c>
      <c r="B11" s="160">
        <f t="shared" si="0"/>
        <v>9</v>
      </c>
      <c r="C11" s="160" t="s">
        <v>688</v>
      </c>
      <c r="D11" s="161" t="s">
        <v>713</v>
      </c>
      <c r="E11" s="162" t="s">
        <v>714</v>
      </c>
      <c r="F11" s="163" t="s">
        <v>715</v>
      </c>
      <c r="G11" s="161">
        <v>1</v>
      </c>
      <c r="H11" s="164">
        <v>20000</v>
      </c>
    </row>
    <row r="12" spans="1:8" ht="19.5" customHeight="1">
      <c r="A12" s="160">
        <v>11</v>
      </c>
      <c r="B12" s="160">
        <f t="shared" si="0"/>
        <v>10</v>
      </c>
      <c r="C12" s="160" t="s">
        <v>688</v>
      </c>
      <c r="D12" s="161" t="s">
        <v>716</v>
      </c>
      <c r="E12" s="162" t="s">
        <v>717</v>
      </c>
      <c r="F12" s="163" t="s">
        <v>718</v>
      </c>
      <c r="G12" s="161">
        <v>1</v>
      </c>
      <c r="H12" s="164">
        <v>20000</v>
      </c>
    </row>
    <row r="13" spans="1:8" ht="19.5" customHeight="1">
      <c r="A13" s="160">
        <v>12</v>
      </c>
      <c r="B13" s="160">
        <f t="shared" si="0"/>
        <v>11</v>
      </c>
      <c r="C13" s="160" t="s">
        <v>688</v>
      </c>
      <c r="D13" s="161" t="s">
        <v>719</v>
      </c>
      <c r="E13" s="162" t="s">
        <v>720</v>
      </c>
      <c r="F13" s="163" t="s">
        <v>721</v>
      </c>
      <c r="G13" s="161">
        <v>1</v>
      </c>
      <c r="H13" s="164">
        <v>20000</v>
      </c>
    </row>
    <row r="14" spans="1:8" ht="19.5" customHeight="1">
      <c r="A14" s="160">
        <v>13</v>
      </c>
      <c r="B14" s="160">
        <f t="shared" si="0"/>
        <v>12</v>
      </c>
      <c r="C14" s="160" t="s">
        <v>688</v>
      </c>
      <c r="D14" s="161" t="s">
        <v>722</v>
      </c>
      <c r="E14" s="162" t="s">
        <v>723</v>
      </c>
      <c r="F14" s="163" t="s">
        <v>724</v>
      </c>
      <c r="G14" s="161">
        <v>1</v>
      </c>
      <c r="H14" s="164">
        <v>20000</v>
      </c>
    </row>
    <row r="15" spans="1:8" ht="19.5" customHeight="1">
      <c r="A15" s="160">
        <v>14</v>
      </c>
      <c r="B15" s="160">
        <f t="shared" si="0"/>
        <v>13</v>
      </c>
      <c r="C15" s="160" t="s">
        <v>688</v>
      </c>
      <c r="D15" s="161" t="s">
        <v>725</v>
      </c>
      <c r="E15" s="162" t="s">
        <v>726</v>
      </c>
      <c r="F15" s="163" t="s">
        <v>724</v>
      </c>
      <c r="G15" s="161">
        <v>3</v>
      </c>
      <c r="H15" s="164">
        <v>20000</v>
      </c>
    </row>
    <row r="16" spans="1:8" ht="19.5" customHeight="1">
      <c r="A16" s="160">
        <v>15</v>
      </c>
      <c r="B16" s="160">
        <f t="shared" si="0"/>
        <v>14</v>
      </c>
      <c r="C16" s="160" t="s">
        <v>688</v>
      </c>
      <c r="D16" s="161" t="s">
        <v>727</v>
      </c>
      <c r="E16" s="162" t="s">
        <v>728</v>
      </c>
      <c r="F16" s="163" t="s">
        <v>729</v>
      </c>
      <c r="G16" s="161">
        <v>4</v>
      </c>
      <c r="H16" s="164">
        <v>19000</v>
      </c>
    </row>
    <row r="17" spans="1:8" ht="19.5" customHeight="1">
      <c r="A17" s="160">
        <v>16</v>
      </c>
      <c r="B17" s="160">
        <f t="shared" si="0"/>
        <v>15</v>
      </c>
      <c r="C17" s="160" t="s">
        <v>688</v>
      </c>
      <c r="D17" s="161" t="s">
        <v>730</v>
      </c>
      <c r="E17" s="162" t="s">
        <v>731</v>
      </c>
      <c r="F17" s="163" t="s">
        <v>724</v>
      </c>
      <c r="G17" s="161">
        <v>1</v>
      </c>
      <c r="H17" s="164">
        <v>18000</v>
      </c>
    </row>
    <row r="18" spans="1:8" ht="19.5" customHeight="1">
      <c r="A18" s="160">
        <v>17</v>
      </c>
      <c r="B18" s="160">
        <f t="shared" si="0"/>
        <v>16</v>
      </c>
      <c r="C18" s="160" t="s">
        <v>688</v>
      </c>
      <c r="D18" s="161" t="s">
        <v>732</v>
      </c>
      <c r="E18" s="162" t="s">
        <v>733</v>
      </c>
      <c r="F18" s="163" t="s">
        <v>734</v>
      </c>
      <c r="G18" s="161">
        <v>3</v>
      </c>
      <c r="H18" s="164">
        <v>15000</v>
      </c>
    </row>
    <row r="19" spans="1:8" ht="19.5" customHeight="1">
      <c r="A19" s="160">
        <v>18</v>
      </c>
      <c r="B19" s="160">
        <f t="shared" si="0"/>
        <v>17</v>
      </c>
      <c r="C19" s="160" t="s">
        <v>688</v>
      </c>
      <c r="D19" s="161" t="s">
        <v>735</v>
      </c>
      <c r="E19" s="162" t="s">
        <v>736</v>
      </c>
      <c r="F19" s="163" t="s">
        <v>737</v>
      </c>
      <c r="G19" s="161">
        <v>3</v>
      </c>
      <c r="H19" s="164">
        <v>15000</v>
      </c>
    </row>
    <row r="20" spans="1:8" ht="19.5" customHeight="1">
      <c r="A20" s="160">
        <v>19</v>
      </c>
      <c r="B20" s="160">
        <f t="shared" si="0"/>
        <v>18</v>
      </c>
      <c r="C20" s="160" t="s">
        <v>688</v>
      </c>
      <c r="D20" s="161" t="s">
        <v>738</v>
      </c>
      <c r="E20" s="162" t="s">
        <v>739</v>
      </c>
      <c r="F20" s="163" t="s">
        <v>740</v>
      </c>
      <c r="G20" s="161">
        <v>1</v>
      </c>
      <c r="H20" s="164">
        <v>14000</v>
      </c>
    </row>
    <row r="21" spans="1:8" ht="19.5" customHeight="1">
      <c r="A21" s="160">
        <v>20</v>
      </c>
      <c r="B21" s="160">
        <f t="shared" si="0"/>
        <v>19</v>
      </c>
      <c r="C21" s="160" t="s">
        <v>688</v>
      </c>
      <c r="D21" s="161" t="s">
        <v>741</v>
      </c>
      <c r="E21" s="162" t="s">
        <v>742</v>
      </c>
      <c r="F21" s="163" t="s">
        <v>743</v>
      </c>
      <c r="G21" s="161">
        <v>2</v>
      </c>
      <c r="H21" s="164">
        <v>13000</v>
      </c>
    </row>
    <row r="22" spans="1:8" ht="19.5" customHeight="1">
      <c r="A22" s="160">
        <v>21</v>
      </c>
      <c r="B22" s="160">
        <f t="shared" si="0"/>
        <v>20</v>
      </c>
      <c r="C22" s="160" t="s">
        <v>688</v>
      </c>
      <c r="D22" s="161" t="s">
        <v>744</v>
      </c>
      <c r="E22" s="162" t="s">
        <v>745</v>
      </c>
      <c r="F22" s="163" t="s">
        <v>746</v>
      </c>
      <c r="G22" s="161">
        <v>1</v>
      </c>
      <c r="H22" s="164">
        <v>12800</v>
      </c>
    </row>
    <row r="23" spans="1:8" ht="19.5" customHeight="1">
      <c r="A23" s="160">
        <v>22</v>
      </c>
      <c r="B23" s="160">
        <f t="shared" si="0"/>
        <v>21</v>
      </c>
      <c r="C23" s="160" t="s">
        <v>688</v>
      </c>
      <c r="D23" s="161" t="s">
        <v>747</v>
      </c>
      <c r="E23" s="162" t="s">
        <v>748</v>
      </c>
      <c r="F23" s="163" t="s">
        <v>749</v>
      </c>
      <c r="G23" s="161">
        <v>1</v>
      </c>
      <c r="H23" s="164">
        <v>7000</v>
      </c>
    </row>
    <row r="24" spans="1:8" ht="19.5" customHeight="1">
      <c r="A24" s="160">
        <v>23</v>
      </c>
      <c r="B24" s="160">
        <f t="shared" si="0"/>
        <v>22</v>
      </c>
      <c r="C24" s="160" t="s">
        <v>750</v>
      </c>
      <c r="D24" s="161" t="s">
        <v>751</v>
      </c>
      <c r="E24" s="162" t="s">
        <v>752</v>
      </c>
      <c r="F24" s="163" t="s">
        <v>753</v>
      </c>
      <c r="G24" s="161">
        <v>1</v>
      </c>
      <c r="H24" s="164">
        <v>18000</v>
      </c>
    </row>
    <row r="25" spans="1:8" ht="19.5" customHeight="1">
      <c r="A25" s="160">
        <v>24</v>
      </c>
      <c r="B25" s="160">
        <f t="shared" si="0"/>
        <v>23</v>
      </c>
      <c r="C25" s="160" t="s">
        <v>750</v>
      </c>
      <c r="D25" s="161" t="s">
        <v>754</v>
      </c>
      <c r="E25" s="162" t="s">
        <v>755</v>
      </c>
      <c r="F25" s="163" t="s">
        <v>756</v>
      </c>
      <c r="G25" s="161">
        <v>1</v>
      </c>
      <c r="H25" s="164">
        <v>15000</v>
      </c>
    </row>
    <row r="26" spans="1:8" ht="19.5" customHeight="1">
      <c r="A26" s="160">
        <v>25</v>
      </c>
      <c r="B26" s="160">
        <f t="shared" si="0"/>
        <v>24</v>
      </c>
      <c r="C26" s="160" t="s">
        <v>750</v>
      </c>
      <c r="D26" s="161" t="s">
        <v>757</v>
      </c>
      <c r="E26" s="162" t="s">
        <v>758</v>
      </c>
      <c r="F26" s="163" t="s">
        <v>759</v>
      </c>
      <c r="G26" s="161">
        <v>1</v>
      </c>
      <c r="H26" s="164">
        <v>12000</v>
      </c>
    </row>
    <row r="27" spans="1:8" ht="19.5" customHeight="1">
      <c r="A27" s="160">
        <v>26</v>
      </c>
      <c r="B27" s="160">
        <f t="shared" si="0"/>
        <v>25</v>
      </c>
      <c r="C27" s="160" t="s">
        <v>750</v>
      </c>
      <c r="D27" s="161" t="s">
        <v>760</v>
      </c>
      <c r="E27" s="162" t="s">
        <v>761</v>
      </c>
      <c r="F27" s="163" t="s">
        <v>762</v>
      </c>
      <c r="G27" s="161">
        <v>2</v>
      </c>
      <c r="H27" s="164">
        <v>12000</v>
      </c>
    </row>
    <row r="28" spans="1:8" ht="19.5" customHeight="1">
      <c r="A28" s="160">
        <v>27</v>
      </c>
      <c r="B28" s="160">
        <f t="shared" si="0"/>
        <v>26</v>
      </c>
      <c r="C28" s="160" t="s">
        <v>750</v>
      </c>
      <c r="D28" s="161" t="s">
        <v>763</v>
      </c>
      <c r="E28" s="162" t="s">
        <v>764</v>
      </c>
      <c r="F28" s="163" t="s">
        <v>765</v>
      </c>
      <c r="G28" s="161">
        <v>1</v>
      </c>
      <c r="H28" s="164">
        <v>12000</v>
      </c>
    </row>
    <row r="29" spans="1:8" ht="19.5" customHeight="1">
      <c r="A29" s="160">
        <v>28</v>
      </c>
      <c r="B29" s="160">
        <f t="shared" si="0"/>
        <v>27</v>
      </c>
      <c r="C29" s="160" t="s">
        <v>750</v>
      </c>
      <c r="D29" s="161" t="s">
        <v>766</v>
      </c>
      <c r="E29" s="162" t="s">
        <v>767</v>
      </c>
      <c r="F29" s="163" t="s">
        <v>768</v>
      </c>
      <c r="G29" s="161">
        <v>3</v>
      </c>
      <c r="H29" s="164">
        <v>12000</v>
      </c>
    </row>
    <row r="30" spans="1:8" ht="19.5" customHeight="1">
      <c r="A30" s="160">
        <v>29</v>
      </c>
      <c r="B30" s="160">
        <f t="shared" si="0"/>
        <v>28</v>
      </c>
      <c r="C30" s="160" t="s">
        <v>750</v>
      </c>
      <c r="D30" s="161" t="s">
        <v>769</v>
      </c>
      <c r="E30" s="162" t="s">
        <v>770</v>
      </c>
      <c r="F30" s="163" t="s">
        <v>771</v>
      </c>
      <c r="G30" s="161">
        <v>6</v>
      </c>
      <c r="H30" s="164">
        <v>12000</v>
      </c>
    </row>
    <row r="31" spans="1:8" ht="19.5" customHeight="1">
      <c r="A31" s="160">
        <v>30</v>
      </c>
      <c r="B31" s="160">
        <f t="shared" si="0"/>
        <v>29</v>
      </c>
      <c r="C31" s="160" t="s">
        <v>750</v>
      </c>
      <c r="D31" s="161" t="s">
        <v>772</v>
      </c>
      <c r="E31" s="162" t="s">
        <v>773</v>
      </c>
      <c r="F31" s="163" t="s">
        <v>774</v>
      </c>
      <c r="G31" s="161">
        <v>2</v>
      </c>
      <c r="H31" s="164">
        <v>11000</v>
      </c>
    </row>
    <row r="32" spans="1:8" ht="19.5" customHeight="1">
      <c r="A32" s="160">
        <v>31</v>
      </c>
      <c r="B32" s="160">
        <f t="shared" si="0"/>
        <v>30</v>
      </c>
      <c r="C32" s="160" t="s">
        <v>750</v>
      </c>
      <c r="D32" s="161" t="s">
        <v>775</v>
      </c>
      <c r="E32" s="162" t="s">
        <v>776</v>
      </c>
      <c r="F32" s="163" t="s">
        <v>777</v>
      </c>
      <c r="G32" s="161">
        <v>1</v>
      </c>
      <c r="H32" s="164">
        <v>10000</v>
      </c>
    </row>
    <row r="33" spans="1:8" ht="19.5" customHeight="1">
      <c r="A33" s="160">
        <v>32</v>
      </c>
      <c r="B33" s="160">
        <f t="shared" si="0"/>
        <v>31</v>
      </c>
      <c r="C33" s="160" t="s">
        <v>750</v>
      </c>
      <c r="D33" s="161" t="s">
        <v>778</v>
      </c>
      <c r="E33" s="162" t="s">
        <v>779</v>
      </c>
      <c r="F33" s="163" t="s">
        <v>771</v>
      </c>
      <c r="G33" s="161">
        <v>1</v>
      </c>
      <c r="H33" s="164">
        <v>10000</v>
      </c>
    </row>
    <row r="34" spans="1:8" ht="19.5" customHeight="1">
      <c r="A34" s="160">
        <v>33</v>
      </c>
      <c r="B34" s="160">
        <f t="shared" si="0"/>
        <v>32</v>
      </c>
      <c r="C34" s="160" t="s">
        <v>750</v>
      </c>
      <c r="D34" s="161" t="s">
        <v>780</v>
      </c>
      <c r="E34" s="162" t="s">
        <v>781</v>
      </c>
      <c r="F34" s="163" t="s">
        <v>782</v>
      </c>
      <c r="G34" s="161">
        <v>1</v>
      </c>
      <c r="H34" s="164">
        <v>10000</v>
      </c>
    </row>
    <row r="35" spans="1:8" ht="19.5" customHeight="1">
      <c r="A35" s="160">
        <v>34</v>
      </c>
      <c r="B35" s="160">
        <f t="shared" si="0"/>
        <v>33</v>
      </c>
      <c r="C35" s="160" t="s">
        <v>750</v>
      </c>
      <c r="D35" s="161" t="s">
        <v>783</v>
      </c>
      <c r="E35" s="162" t="s">
        <v>784</v>
      </c>
      <c r="F35" s="163" t="s">
        <v>785</v>
      </c>
      <c r="G35" s="161">
        <v>2</v>
      </c>
      <c r="H35" s="164">
        <v>10000</v>
      </c>
    </row>
    <row r="36" spans="1:8" ht="19.5" customHeight="1">
      <c r="A36" s="160">
        <v>35</v>
      </c>
      <c r="B36" s="160">
        <f t="shared" si="0"/>
        <v>34</v>
      </c>
      <c r="C36" s="160" t="s">
        <v>750</v>
      </c>
      <c r="D36" s="161" t="s">
        <v>786</v>
      </c>
      <c r="E36" s="162" t="s">
        <v>787</v>
      </c>
      <c r="F36" s="163" t="s">
        <v>788</v>
      </c>
      <c r="G36" s="161">
        <v>1</v>
      </c>
      <c r="H36" s="164">
        <v>10000</v>
      </c>
    </row>
    <row r="37" spans="1:8" ht="19.5" customHeight="1">
      <c r="A37" s="160">
        <v>36</v>
      </c>
      <c r="B37" s="160">
        <f t="shared" si="0"/>
        <v>35</v>
      </c>
      <c r="C37" s="160" t="s">
        <v>789</v>
      </c>
      <c r="D37" s="161" t="s">
        <v>790</v>
      </c>
      <c r="E37" s="162" t="s">
        <v>791</v>
      </c>
      <c r="F37" s="165" t="s">
        <v>792</v>
      </c>
      <c r="G37" s="161">
        <v>1</v>
      </c>
      <c r="H37" s="164">
        <v>74260</v>
      </c>
    </row>
    <row r="38" spans="1:8" ht="19.5" customHeight="1">
      <c r="A38" s="160">
        <v>37</v>
      </c>
      <c r="B38" s="160">
        <f t="shared" si="0"/>
        <v>36</v>
      </c>
      <c r="C38" s="160" t="s">
        <v>789</v>
      </c>
      <c r="D38" s="161" t="s">
        <v>793</v>
      </c>
      <c r="E38" s="162" t="s">
        <v>794</v>
      </c>
      <c r="F38" s="163" t="s">
        <v>795</v>
      </c>
      <c r="G38" s="161">
        <v>1</v>
      </c>
      <c r="H38" s="164">
        <v>41050</v>
      </c>
    </row>
    <row r="39" spans="1:8" ht="19.5" customHeight="1">
      <c r="A39" s="160">
        <v>38</v>
      </c>
      <c r="B39" s="160">
        <f t="shared" si="0"/>
        <v>37</v>
      </c>
      <c r="C39" s="160" t="s">
        <v>789</v>
      </c>
      <c r="D39" s="161" t="s">
        <v>796</v>
      </c>
      <c r="E39" s="162" t="s">
        <v>797</v>
      </c>
      <c r="F39" s="163" t="s">
        <v>798</v>
      </c>
      <c r="G39" s="161">
        <v>1</v>
      </c>
      <c r="H39" s="164">
        <v>35000</v>
      </c>
    </row>
    <row r="40" spans="1:8" ht="19.5" customHeight="1">
      <c r="A40" s="160">
        <v>39</v>
      </c>
      <c r="B40" s="160">
        <f t="shared" si="0"/>
        <v>38</v>
      </c>
      <c r="C40" s="160" t="s">
        <v>789</v>
      </c>
      <c r="D40" s="161" t="s">
        <v>799</v>
      </c>
      <c r="E40" s="162" t="s">
        <v>800</v>
      </c>
      <c r="F40" s="163" t="s">
        <v>801</v>
      </c>
      <c r="G40" s="161">
        <v>1</v>
      </c>
      <c r="H40" s="164">
        <v>33330</v>
      </c>
    </row>
    <row r="41" spans="1:8" ht="19.5" customHeight="1">
      <c r="A41" s="160">
        <v>40</v>
      </c>
      <c r="B41" s="160">
        <f t="shared" si="0"/>
        <v>39</v>
      </c>
      <c r="C41" s="160" t="s">
        <v>789</v>
      </c>
      <c r="D41" s="161" t="s">
        <v>802</v>
      </c>
      <c r="E41" s="162" t="s">
        <v>803</v>
      </c>
      <c r="F41" s="163" t="s">
        <v>804</v>
      </c>
      <c r="G41" s="161">
        <v>1</v>
      </c>
      <c r="H41" s="164">
        <v>29000</v>
      </c>
    </row>
    <row r="42" spans="1:8" ht="19.5" customHeight="1">
      <c r="A42" s="160">
        <v>41</v>
      </c>
      <c r="B42" s="160">
        <f t="shared" si="0"/>
        <v>40</v>
      </c>
      <c r="C42" s="160" t="s">
        <v>789</v>
      </c>
      <c r="D42" s="161" t="s">
        <v>805</v>
      </c>
      <c r="E42" s="162" t="s">
        <v>806</v>
      </c>
      <c r="F42" s="163" t="s">
        <v>807</v>
      </c>
      <c r="G42" s="161">
        <v>3</v>
      </c>
      <c r="H42" s="164">
        <v>28250</v>
      </c>
    </row>
    <row r="43" spans="1:8" ht="19.5" customHeight="1">
      <c r="A43" s="160">
        <v>42</v>
      </c>
      <c r="B43" s="160">
        <f t="shared" si="0"/>
        <v>41</v>
      </c>
      <c r="C43" s="160" t="s">
        <v>789</v>
      </c>
      <c r="D43" s="161" t="s">
        <v>808</v>
      </c>
      <c r="E43" s="162" t="s">
        <v>809</v>
      </c>
      <c r="F43" s="163" t="s">
        <v>810</v>
      </c>
      <c r="G43" s="161">
        <v>1</v>
      </c>
      <c r="H43" s="164">
        <v>28000</v>
      </c>
    </row>
    <row r="44" spans="1:8" ht="19.5" customHeight="1">
      <c r="A44" s="160">
        <v>43</v>
      </c>
      <c r="B44" s="160">
        <f t="shared" si="0"/>
        <v>42</v>
      </c>
      <c r="C44" s="160" t="s">
        <v>789</v>
      </c>
      <c r="D44" s="161" t="s">
        <v>811</v>
      </c>
      <c r="E44" s="162" t="s">
        <v>812</v>
      </c>
      <c r="F44" s="163" t="s">
        <v>813</v>
      </c>
      <c r="G44" s="161">
        <v>1</v>
      </c>
      <c r="H44" s="164">
        <v>25000</v>
      </c>
    </row>
    <row r="45" spans="1:8" ht="19.5" customHeight="1">
      <c r="A45" s="160">
        <v>44</v>
      </c>
      <c r="B45" s="160">
        <f t="shared" si="0"/>
        <v>43</v>
      </c>
      <c r="C45" s="160" t="s">
        <v>789</v>
      </c>
      <c r="D45" s="161" t="s">
        <v>814</v>
      </c>
      <c r="E45" s="162" t="s">
        <v>815</v>
      </c>
      <c r="F45" s="163" t="s">
        <v>759</v>
      </c>
      <c r="G45" s="161">
        <v>1</v>
      </c>
      <c r="H45" s="164">
        <v>24000</v>
      </c>
    </row>
    <row r="46" spans="1:8" ht="19.5" customHeight="1">
      <c r="A46" s="160">
        <v>45</v>
      </c>
      <c r="B46" s="160">
        <f t="shared" si="0"/>
        <v>44</v>
      </c>
      <c r="C46" s="160" t="s">
        <v>789</v>
      </c>
      <c r="D46" s="161" t="s">
        <v>816</v>
      </c>
      <c r="E46" s="162" t="s">
        <v>817</v>
      </c>
      <c r="F46" s="163" t="s">
        <v>818</v>
      </c>
      <c r="G46" s="161">
        <v>1</v>
      </c>
      <c r="H46" s="164">
        <v>23000</v>
      </c>
    </row>
    <row r="47" spans="1:8" ht="19.5" customHeight="1">
      <c r="A47" s="160">
        <v>46</v>
      </c>
      <c r="B47" s="160">
        <f t="shared" si="0"/>
        <v>45</v>
      </c>
      <c r="C47" s="160" t="s">
        <v>789</v>
      </c>
      <c r="D47" s="161" t="s">
        <v>819</v>
      </c>
      <c r="E47" s="162" t="s">
        <v>820</v>
      </c>
      <c r="F47" s="163" t="s">
        <v>821</v>
      </c>
      <c r="G47" s="161">
        <v>6</v>
      </c>
      <c r="H47" s="164">
        <v>22000</v>
      </c>
    </row>
    <row r="48" spans="1:8" ht="19.5" customHeight="1">
      <c r="A48" s="160">
        <v>47</v>
      </c>
      <c r="B48" s="160">
        <f t="shared" si="0"/>
        <v>46</v>
      </c>
      <c r="C48" s="160" t="s">
        <v>789</v>
      </c>
      <c r="D48" s="161" t="s">
        <v>822</v>
      </c>
      <c r="E48" s="162" t="s">
        <v>823</v>
      </c>
      <c r="F48" s="163" t="s">
        <v>824</v>
      </c>
      <c r="G48" s="161">
        <v>1</v>
      </c>
      <c r="H48" s="164">
        <v>22000</v>
      </c>
    </row>
    <row r="49" spans="1:8" ht="19.5" customHeight="1">
      <c r="A49" s="160">
        <v>48</v>
      </c>
      <c r="B49" s="160">
        <f t="shared" si="0"/>
        <v>47</v>
      </c>
      <c r="C49" s="160" t="s">
        <v>789</v>
      </c>
      <c r="D49" s="161" t="s">
        <v>825</v>
      </c>
      <c r="E49" s="162" t="s">
        <v>826</v>
      </c>
      <c r="F49" s="163" t="s">
        <v>821</v>
      </c>
      <c r="G49" s="161">
        <v>1</v>
      </c>
      <c r="H49" s="164">
        <v>20000</v>
      </c>
    </row>
    <row r="50" spans="1:8" ht="19.5" customHeight="1">
      <c r="A50" s="160">
        <v>49</v>
      </c>
      <c r="B50" s="160">
        <f t="shared" si="0"/>
        <v>48</v>
      </c>
      <c r="C50" s="160" t="s">
        <v>789</v>
      </c>
      <c r="D50" s="161" t="s">
        <v>827</v>
      </c>
      <c r="E50" s="162" t="s">
        <v>828</v>
      </c>
      <c r="F50" s="163" t="s">
        <v>785</v>
      </c>
      <c r="G50" s="161">
        <v>1</v>
      </c>
      <c r="H50" s="164">
        <v>20000</v>
      </c>
    </row>
    <row r="51" spans="1:8" ht="19.5" customHeight="1">
      <c r="A51" s="160">
        <v>50</v>
      </c>
      <c r="B51" s="160">
        <f t="shared" si="0"/>
        <v>49</v>
      </c>
      <c r="C51" s="160" t="s">
        <v>789</v>
      </c>
      <c r="D51" s="161" t="s">
        <v>829</v>
      </c>
      <c r="E51" s="162" t="s">
        <v>830</v>
      </c>
      <c r="F51" s="163" t="s">
        <v>729</v>
      </c>
      <c r="G51" s="161">
        <v>1</v>
      </c>
      <c r="H51" s="164">
        <v>19000</v>
      </c>
    </row>
    <row r="52" spans="1:8" ht="19.5" customHeight="1">
      <c r="A52" s="160">
        <v>51</v>
      </c>
      <c r="B52" s="160">
        <f t="shared" si="0"/>
        <v>50</v>
      </c>
      <c r="C52" s="160" t="s">
        <v>789</v>
      </c>
      <c r="D52" s="161" t="s">
        <v>831</v>
      </c>
      <c r="E52" s="162" t="s">
        <v>832</v>
      </c>
      <c r="F52" s="163" t="s">
        <v>785</v>
      </c>
      <c r="G52" s="161">
        <v>4</v>
      </c>
      <c r="H52" s="164">
        <v>17000</v>
      </c>
    </row>
    <row r="53" spans="1:8" ht="19.5" customHeight="1">
      <c r="A53" s="160">
        <v>52</v>
      </c>
      <c r="B53" s="160">
        <f t="shared" si="0"/>
        <v>51</v>
      </c>
      <c r="C53" s="160" t="s">
        <v>789</v>
      </c>
      <c r="D53" s="161" t="s">
        <v>833</v>
      </c>
      <c r="E53" s="162" t="s">
        <v>834</v>
      </c>
      <c r="F53" s="163" t="s">
        <v>835</v>
      </c>
      <c r="G53" s="161">
        <v>1</v>
      </c>
      <c r="H53" s="164">
        <v>16800</v>
      </c>
    </row>
    <row r="54" spans="1:8" ht="19.5" customHeight="1">
      <c r="A54" s="160">
        <v>53</v>
      </c>
      <c r="B54" s="160">
        <f t="shared" si="0"/>
        <v>52</v>
      </c>
      <c r="C54" s="160" t="s">
        <v>789</v>
      </c>
      <c r="D54" s="161" t="s">
        <v>836</v>
      </c>
      <c r="E54" s="162" t="s">
        <v>837</v>
      </c>
      <c r="F54" s="163" t="s">
        <v>798</v>
      </c>
      <c r="G54" s="161">
        <v>6</v>
      </c>
      <c r="H54" s="164">
        <v>16000</v>
      </c>
    </row>
    <row r="55" spans="1:8" ht="19.5" customHeight="1">
      <c r="A55" s="160">
        <v>54</v>
      </c>
      <c r="B55" s="160">
        <f t="shared" si="0"/>
        <v>53</v>
      </c>
      <c r="C55" s="160" t="s">
        <v>789</v>
      </c>
      <c r="D55" s="161" t="s">
        <v>838</v>
      </c>
      <c r="E55" s="162" t="s">
        <v>839</v>
      </c>
      <c r="F55" s="163" t="s">
        <v>840</v>
      </c>
      <c r="G55" s="161">
        <v>1</v>
      </c>
      <c r="H55" s="164">
        <v>16000</v>
      </c>
    </row>
    <row r="56" spans="1:8" ht="19.5" customHeight="1">
      <c r="A56" s="160">
        <v>55</v>
      </c>
      <c r="B56" s="160">
        <f t="shared" si="0"/>
        <v>54</v>
      </c>
      <c r="C56" s="160" t="s">
        <v>789</v>
      </c>
      <c r="D56" s="161" t="s">
        <v>841</v>
      </c>
      <c r="E56" s="162" t="s">
        <v>842</v>
      </c>
      <c r="F56" s="163" t="s">
        <v>843</v>
      </c>
      <c r="G56" s="161">
        <v>6</v>
      </c>
      <c r="H56" s="164">
        <v>15000</v>
      </c>
    </row>
    <row r="57" spans="1:8" ht="19.5" customHeight="1">
      <c r="A57" s="160">
        <v>56</v>
      </c>
      <c r="B57" s="160">
        <f t="shared" si="0"/>
        <v>55</v>
      </c>
      <c r="C57" s="160" t="s">
        <v>789</v>
      </c>
      <c r="D57" s="161" t="s">
        <v>844</v>
      </c>
      <c r="E57" s="162" t="s">
        <v>845</v>
      </c>
      <c r="F57" s="163" t="s">
        <v>846</v>
      </c>
      <c r="G57" s="161">
        <v>1</v>
      </c>
      <c r="H57" s="164">
        <v>15000</v>
      </c>
    </row>
    <row r="58" spans="1:8" ht="19.5" customHeight="1">
      <c r="A58" s="160">
        <v>57</v>
      </c>
      <c r="B58" s="160">
        <f t="shared" si="0"/>
        <v>56</v>
      </c>
      <c r="C58" s="160" t="s">
        <v>789</v>
      </c>
      <c r="D58" s="161" t="s">
        <v>847</v>
      </c>
      <c r="E58" s="162" t="s">
        <v>848</v>
      </c>
      <c r="F58" s="163" t="s">
        <v>849</v>
      </c>
      <c r="G58" s="161">
        <v>1</v>
      </c>
      <c r="H58" s="164">
        <v>15000</v>
      </c>
    </row>
    <row r="59" spans="1:8" ht="19.5" customHeight="1">
      <c r="A59" s="160">
        <v>58</v>
      </c>
      <c r="B59" s="160">
        <f t="shared" si="0"/>
        <v>57</v>
      </c>
      <c r="C59" s="160" t="s">
        <v>789</v>
      </c>
      <c r="D59" s="161" t="s">
        <v>850</v>
      </c>
      <c r="E59" s="162" t="s">
        <v>851</v>
      </c>
      <c r="F59" s="163" t="s">
        <v>849</v>
      </c>
      <c r="G59" s="161">
        <v>1</v>
      </c>
      <c r="H59" s="164">
        <v>15000</v>
      </c>
    </row>
    <row r="60" spans="1:8" ht="19.5" customHeight="1">
      <c r="A60" s="160">
        <v>59</v>
      </c>
      <c r="B60" s="160">
        <f t="shared" si="0"/>
        <v>58</v>
      </c>
      <c r="C60" s="160" t="s">
        <v>789</v>
      </c>
      <c r="D60" s="161" t="s">
        <v>852</v>
      </c>
      <c r="E60" s="162" t="s">
        <v>853</v>
      </c>
      <c r="F60" s="163" t="s">
        <v>854</v>
      </c>
      <c r="G60" s="161">
        <v>1</v>
      </c>
      <c r="H60" s="164">
        <v>14000</v>
      </c>
    </row>
    <row r="61" spans="1:8" ht="19.5" customHeight="1">
      <c r="A61" s="160">
        <v>60</v>
      </c>
      <c r="B61" s="160">
        <f t="shared" si="0"/>
        <v>59</v>
      </c>
      <c r="C61" s="160" t="s">
        <v>789</v>
      </c>
      <c r="D61" s="161" t="s">
        <v>855</v>
      </c>
      <c r="E61" s="162" t="s">
        <v>856</v>
      </c>
      <c r="F61" s="163" t="s">
        <v>857</v>
      </c>
      <c r="G61" s="161">
        <v>6</v>
      </c>
      <c r="H61" s="164">
        <v>13500</v>
      </c>
    </row>
    <row r="62" spans="1:8" ht="19.5" customHeight="1">
      <c r="A62" s="160">
        <v>61</v>
      </c>
      <c r="B62" s="160">
        <f t="shared" si="0"/>
        <v>60</v>
      </c>
      <c r="C62" s="160" t="s">
        <v>789</v>
      </c>
      <c r="D62" s="161" t="s">
        <v>858</v>
      </c>
      <c r="E62" s="162" t="s">
        <v>859</v>
      </c>
      <c r="F62" s="163" t="s">
        <v>860</v>
      </c>
      <c r="G62" s="161">
        <v>2</v>
      </c>
      <c r="H62" s="164">
        <v>13000</v>
      </c>
    </row>
    <row r="63" spans="1:8" ht="19.5" customHeight="1">
      <c r="A63" s="160">
        <v>62</v>
      </c>
      <c r="B63" s="160">
        <f t="shared" si="0"/>
        <v>61</v>
      </c>
      <c r="C63" s="160" t="s">
        <v>789</v>
      </c>
      <c r="D63" s="161" t="s">
        <v>861</v>
      </c>
      <c r="E63" s="162" t="s">
        <v>862</v>
      </c>
      <c r="F63" s="163" t="s">
        <v>863</v>
      </c>
      <c r="G63" s="161">
        <v>1</v>
      </c>
      <c r="H63" s="164">
        <v>12000</v>
      </c>
    </row>
    <row r="64" spans="1:8" ht="19.5" customHeight="1">
      <c r="A64" s="160">
        <v>63</v>
      </c>
      <c r="B64" s="160">
        <f t="shared" si="0"/>
        <v>62</v>
      </c>
      <c r="C64" s="160" t="s">
        <v>789</v>
      </c>
      <c r="D64" s="161" t="s">
        <v>864</v>
      </c>
      <c r="E64" s="162" t="s">
        <v>865</v>
      </c>
      <c r="F64" s="163" t="s">
        <v>866</v>
      </c>
      <c r="G64" s="161">
        <v>6</v>
      </c>
      <c r="H64" s="164">
        <v>12000</v>
      </c>
    </row>
    <row r="65" spans="1:8" ht="19.5" customHeight="1">
      <c r="A65" s="160">
        <v>64</v>
      </c>
      <c r="B65" s="160">
        <f t="shared" si="0"/>
        <v>63</v>
      </c>
      <c r="C65" s="160" t="s">
        <v>789</v>
      </c>
      <c r="D65" s="161" t="s">
        <v>867</v>
      </c>
      <c r="E65" s="162" t="s">
        <v>868</v>
      </c>
      <c r="F65" s="163" t="s">
        <v>869</v>
      </c>
      <c r="G65" s="161">
        <v>1</v>
      </c>
      <c r="H65" s="164">
        <v>10000</v>
      </c>
    </row>
    <row r="66" spans="1:8" ht="19.5" customHeight="1">
      <c r="A66" s="160">
        <v>65</v>
      </c>
      <c r="B66" s="160">
        <f t="shared" si="0"/>
        <v>64</v>
      </c>
      <c r="C66" s="160" t="s">
        <v>789</v>
      </c>
      <c r="D66" s="161" t="s">
        <v>870</v>
      </c>
      <c r="E66" s="162" t="s">
        <v>871</v>
      </c>
      <c r="F66" s="163" t="s">
        <v>872</v>
      </c>
      <c r="G66" s="161">
        <v>1</v>
      </c>
      <c r="H66" s="164">
        <v>10000</v>
      </c>
    </row>
    <row r="67" spans="1:8" ht="19.5" customHeight="1">
      <c r="A67" s="160">
        <v>66</v>
      </c>
      <c r="B67" s="160">
        <f t="shared" ref="B67:B97" si="1">ROW()-2</f>
        <v>65</v>
      </c>
      <c r="C67" s="160" t="s">
        <v>789</v>
      </c>
      <c r="D67" s="161" t="s">
        <v>873</v>
      </c>
      <c r="E67" s="162" t="s">
        <v>874</v>
      </c>
      <c r="F67" s="163" t="s">
        <v>875</v>
      </c>
      <c r="G67" s="161">
        <v>1</v>
      </c>
      <c r="H67" s="164">
        <v>8000</v>
      </c>
    </row>
    <row r="68" spans="1:8" ht="19.5" customHeight="1">
      <c r="A68" s="160">
        <v>67</v>
      </c>
      <c r="B68" s="160">
        <f t="shared" si="1"/>
        <v>66</v>
      </c>
      <c r="C68" s="160" t="s">
        <v>876</v>
      </c>
      <c r="D68" s="161" t="s">
        <v>877</v>
      </c>
      <c r="E68" s="162" t="s">
        <v>878</v>
      </c>
      <c r="F68" s="163" t="s">
        <v>879</v>
      </c>
      <c r="G68" s="161">
        <v>3</v>
      </c>
      <c r="H68" s="164">
        <v>42000</v>
      </c>
    </row>
    <row r="69" spans="1:8" ht="19.5" customHeight="1">
      <c r="A69" s="160">
        <v>68</v>
      </c>
      <c r="B69" s="160">
        <f t="shared" si="1"/>
        <v>67</v>
      </c>
      <c r="C69" s="160" t="s">
        <v>876</v>
      </c>
      <c r="D69" s="161" t="s">
        <v>880</v>
      </c>
      <c r="E69" s="162" t="s">
        <v>881</v>
      </c>
      <c r="F69" s="163" t="s">
        <v>882</v>
      </c>
      <c r="G69" s="161">
        <v>6</v>
      </c>
      <c r="H69" s="164">
        <v>18000</v>
      </c>
    </row>
    <row r="70" spans="1:8" ht="19.5" customHeight="1">
      <c r="A70" s="160">
        <v>69</v>
      </c>
      <c r="B70" s="160">
        <f t="shared" si="1"/>
        <v>68</v>
      </c>
      <c r="C70" s="160" t="s">
        <v>876</v>
      </c>
      <c r="D70" s="161" t="s">
        <v>883</v>
      </c>
      <c r="E70" s="162" t="s">
        <v>884</v>
      </c>
      <c r="F70" s="163" t="s">
        <v>885</v>
      </c>
      <c r="G70" s="161">
        <v>1</v>
      </c>
      <c r="H70" s="164">
        <v>12000</v>
      </c>
    </row>
    <row r="71" spans="1:8" ht="19.5" customHeight="1">
      <c r="A71" s="160">
        <v>70</v>
      </c>
      <c r="B71" s="160">
        <f t="shared" si="1"/>
        <v>69</v>
      </c>
      <c r="C71" s="160" t="s">
        <v>886</v>
      </c>
      <c r="D71" s="161" t="s">
        <v>887</v>
      </c>
      <c r="E71" s="162" t="s">
        <v>888</v>
      </c>
      <c r="F71" s="163" t="s">
        <v>889</v>
      </c>
      <c r="G71" s="161">
        <v>1</v>
      </c>
      <c r="H71" s="164">
        <v>20000</v>
      </c>
    </row>
    <row r="72" spans="1:8" ht="19.5" customHeight="1">
      <c r="A72" s="160">
        <v>71</v>
      </c>
      <c r="B72" s="160">
        <f t="shared" si="1"/>
        <v>70</v>
      </c>
      <c r="C72" s="160" t="s">
        <v>886</v>
      </c>
      <c r="D72" s="161" t="s">
        <v>890</v>
      </c>
      <c r="E72" s="162" t="s">
        <v>891</v>
      </c>
      <c r="F72" s="163" t="s">
        <v>892</v>
      </c>
      <c r="G72" s="161">
        <v>1</v>
      </c>
      <c r="H72" s="164">
        <v>18000</v>
      </c>
    </row>
    <row r="73" spans="1:8" ht="19.5" customHeight="1">
      <c r="A73" s="160">
        <v>72</v>
      </c>
      <c r="B73" s="160">
        <f t="shared" si="1"/>
        <v>71</v>
      </c>
      <c r="C73" s="160" t="s">
        <v>886</v>
      </c>
      <c r="D73" s="161" t="s">
        <v>893</v>
      </c>
      <c r="E73" s="162" t="s">
        <v>894</v>
      </c>
      <c r="F73" s="163" t="s">
        <v>895</v>
      </c>
      <c r="G73" s="161">
        <v>3</v>
      </c>
      <c r="H73" s="164">
        <v>12800</v>
      </c>
    </row>
    <row r="74" spans="1:8" ht="19.5" customHeight="1">
      <c r="A74" s="160">
        <v>73</v>
      </c>
      <c r="B74" s="160">
        <f t="shared" si="1"/>
        <v>72</v>
      </c>
      <c r="C74" s="160" t="s">
        <v>886</v>
      </c>
      <c r="D74" s="161" t="s">
        <v>896</v>
      </c>
      <c r="E74" s="162" t="s">
        <v>897</v>
      </c>
      <c r="F74" s="163" t="s">
        <v>898</v>
      </c>
      <c r="G74" s="161">
        <v>1</v>
      </c>
      <c r="H74" s="164">
        <v>12000</v>
      </c>
    </row>
    <row r="75" spans="1:8" ht="19.5" customHeight="1">
      <c r="A75" s="160">
        <v>74</v>
      </c>
      <c r="B75" s="160">
        <f t="shared" si="1"/>
        <v>73</v>
      </c>
      <c r="C75" s="160" t="s">
        <v>886</v>
      </c>
      <c r="D75" s="161" t="s">
        <v>899</v>
      </c>
      <c r="E75" s="162" t="s">
        <v>900</v>
      </c>
      <c r="F75" s="163" t="s">
        <v>901</v>
      </c>
      <c r="G75" s="161">
        <v>3</v>
      </c>
      <c r="H75" s="164">
        <v>11000</v>
      </c>
    </row>
    <row r="76" spans="1:8" ht="19.5" customHeight="1">
      <c r="A76" s="160">
        <v>75</v>
      </c>
      <c r="B76" s="160">
        <f t="shared" si="1"/>
        <v>74</v>
      </c>
      <c r="C76" s="160" t="s">
        <v>902</v>
      </c>
      <c r="D76" s="161" t="s">
        <v>903</v>
      </c>
      <c r="E76" s="162" t="s">
        <v>904</v>
      </c>
      <c r="F76" s="163" t="s">
        <v>905</v>
      </c>
      <c r="G76" s="161">
        <v>1</v>
      </c>
      <c r="H76" s="164">
        <v>20000</v>
      </c>
    </row>
    <row r="77" spans="1:8" ht="19.5" customHeight="1">
      <c r="A77" s="160">
        <v>76</v>
      </c>
      <c r="B77" s="160">
        <f t="shared" si="1"/>
        <v>75</v>
      </c>
      <c r="C77" s="160" t="s">
        <v>902</v>
      </c>
      <c r="D77" s="161" t="s">
        <v>906</v>
      </c>
      <c r="E77" s="162" t="s">
        <v>907</v>
      </c>
      <c r="F77" s="163" t="s">
        <v>908</v>
      </c>
      <c r="G77" s="161">
        <v>1</v>
      </c>
      <c r="H77" s="164">
        <v>18000</v>
      </c>
    </row>
    <row r="78" spans="1:8" ht="19.5" customHeight="1">
      <c r="A78" s="160">
        <v>77</v>
      </c>
      <c r="B78" s="160">
        <f t="shared" si="1"/>
        <v>76</v>
      </c>
      <c r="C78" s="160" t="s">
        <v>902</v>
      </c>
      <c r="D78" s="161" t="s">
        <v>909</v>
      </c>
      <c r="E78" s="162" t="s">
        <v>910</v>
      </c>
      <c r="F78" s="163" t="s">
        <v>911</v>
      </c>
      <c r="G78" s="161">
        <v>1</v>
      </c>
      <c r="H78" s="164">
        <v>13000</v>
      </c>
    </row>
    <row r="79" spans="1:8" ht="19.5" customHeight="1">
      <c r="A79" s="160">
        <v>78</v>
      </c>
      <c r="B79" s="160">
        <f t="shared" si="1"/>
        <v>77</v>
      </c>
      <c r="C79" s="160" t="s">
        <v>902</v>
      </c>
      <c r="D79" s="161" t="s">
        <v>912</v>
      </c>
      <c r="E79" s="162" t="s">
        <v>913</v>
      </c>
      <c r="F79" s="163" t="s">
        <v>914</v>
      </c>
      <c r="G79" s="161">
        <v>1</v>
      </c>
      <c r="H79" s="164">
        <v>13000</v>
      </c>
    </row>
    <row r="80" spans="1:8" ht="19.5" customHeight="1">
      <c r="A80" s="160">
        <v>79</v>
      </c>
      <c r="B80" s="160">
        <f t="shared" si="1"/>
        <v>78</v>
      </c>
      <c r="C80" s="160" t="s">
        <v>902</v>
      </c>
      <c r="D80" s="161" t="s">
        <v>915</v>
      </c>
      <c r="E80" s="162" t="s">
        <v>916</v>
      </c>
      <c r="F80" s="163" t="s">
        <v>917</v>
      </c>
      <c r="G80" s="161">
        <v>1</v>
      </c>
      <c r="H80" s="164">
        <v>10000</v>
      </c>
    </row>
    <row r="81" spans="1:8" ht="19.5" customHeight="1">
      <c r="A81" s="160">
        <v>80</v>
      </c>
      <c r="B81" s="160">
        <f t="shared" si="1"/>
        <v>79</v>
      </c>
      <c r="C81" s="160" t="s">
        <v>918</v>
      </c>
      <c r="D81" s="161" t="s">
        <v>919</v>
      </c>
      <c r="E81" s="162" t="s">
        <v>920</v>
      </c>
      <c r="F81" s="163" t="s">
        <v>921</v>
      </c>
      <c r="G81" s="161">
        <v>1</v>
      </c>
      <c r="H81" s="164">
        <v>35000</v>
      </c>
    </row>
    <row r="82" spans="1:8" ht="19.5" customHeight="1">
      <c r="A82" s="160">
        <v>81</v>
      </c>
      <c r="B82" s="160">
        <f t="shared" si="1"/>
        <v>80</v>
      </c>
      <c r="C82" s="160" t="s">
        <v>918</v>
      </c>
      <c r="D82" s="161" t="s">
        <v>922</v>
      </c>
      <c r="E82" s="162" t="s">
        <v>923</v>
      </c>
      <c r="F82" s="163" t="s">
        <v>924</v>
      </c>
      <c r="G82" s="161">
        <v>1</v>
      </c>
      <c r="H82" s="164">
        <v>30000</v>
      </c>
    </row>
    <row r="83" spans="1:8" ht="19.5" customHeight="1">
      <c r="A83" s="160">
        <v>82</v>
      </c>
      <c r="B83" s="160">
        <f t="shared" si="1"/>
        <v>81</v>
      </c>
      <c r="C83" s="160" t="s">
        <v>918</v>
      </c>
      <c r="D83" s="161" t="s">
        <v>925</v>
      </c>
      <c r="E83" s="162" t="s">
        <v>926</v>
      </c>
      <c r="F83" s="163" t="s">
        <v>926</v>
      </c>
      <c r="G83" s="161">
        <v>1</v>
      </c>
      <c r="H83" s="164">
        <v>25000</v>
      </c>
    </row>
    <row r="84" spans="1:8" ht="19.5" customHeight="1">
      <c r="A84" s="160">
        <v>83</v>
      </c>
      <c r="B84" s="160">
        <f t="shared" si="1"/>
        <v>82</v>
      </c>
      <c r="C84" s="160" t="s">
        <v>918</v>
      </c>
      <c r="D84" s="161" t="s">
        <v>927</v>
      </c>
      <c r="E84" s="162" t="s">
        <v>928</v>
      </c>
      <c r="F84" s="163" t="s">
        <v>929</v>
      </c>
      <c r="G84" s="161">
        <v>1</v>
      </c>
      <c r="H84" s="164">
        <v>25000</v>
      </c>
    </row>
    <row r="85" spans="1:8" ht="19.5" customHeight="1">
      <c r="A85" s="160">
        <v>84</v>
      </c>
      <c r="B85" s="160">
        <f t="shared" si="1"/>
        <v>83</v>
      </c>
      <c r="C85" s="160" t="s">
        <v>918</v>
      </c>
      <c r="D85" s="161" t="s">
        <v>930</v>
      </c>
      <c r="E85" s="162" t="s">
        <v>931</v>
      </c>
      <c r="F85" s="163" t="s">
        <v>932</v>
      </c>
      <c r="G85" s="161">
        <v>1</v>
      </c>
      <c r="H85" s="164">
        <v>20000</v>
      </c>
    </row>
    <row r="86" spans="1:8" ht="19.5" customHeight="1">
      <c r="A86" s="160">
        <v>85</v>
      </c>
      <c r="B86" s="160">
        <f t="shared" si="1"/>
        <v>84</v>
      </c>
      <c r="C86" s="160" t="s">
        <v>918</v>
      </c>
      <c r="D86" s="161" t="s">
        <v>933</v>
      </c>
      <c r="E86" s="162" t="s">
        <v>934</v>
      </c>
      <c r="F86" s="163" t="s">
        <v>935</v>
      </c>
      <c r="G86" s="161">
        <v>1</v>
      </c>
      <c r="H86" s="164">
        <v>13800</v>
      </c>
    </row>
    <row r="87" spans="1:8" ht="19.5" customHeight="1">
      <c r="A87" s="160">
        <v>86</v>
      </c>
      <c r="B87" s="160">
        <f t="shared" si="1"/>
        <v>85</v>
      </c>
      <c r="C87" s="160" t="s">
        <v>936</v>
      </c>
      <c r="D87" s="161" t="s">
        <v>937</v>
      </c>
      <c r="E87" s="162" t="s">
        <v>938</v>
      </c>
      <c r="F87" s="163" t="s">
        <v>939</v>
      </c>
      <c r="G87" s="161">
        <v>1</v>
      </c>
      <c r="H87" s="164">
        <v>25000</v>
      </c>
    </row>
    <row r="88" spans="1:8" ht="19.5" customHeight="1">
      <c r="A88" s="160">
        <v>87</v>
      </c>
      <c r="B88" s="160">
        <f t="shared" si="1"/>
        <v>86</v>
      </c>
      <c r="C88" s="160" t="s">
        <v>936</v>
      </c>
      <c r="D88" s="161" t="s">
        <v>940</v>
      </c>
      <c r="E88" s="162" t="s">
        <v>941</v>
      </c>
      <c r="F88" s="163" t="s">
        <v>942</v>
      </c>
      <c r="G88" s="161">
        <v>1</v>
      </c>
      <c r="H88" s="164">
        <v>18000</v>
      </c>
    </row>
    <row r="89" spans="1:8" ht="19.5" customHeight="1">
      <c r="A89" s="160">
        <v>88</v>
      </c>
      <c r="B89" s="160">
        <f t="shared" si="1"/>
        <v>87</v>
      </c>
      <c r="C89" s="160" t="s">
        <v>943</v>
      </c>
      <c r="D89" s="161" t="s">
        <v>944</v>
      </c>
      <c r="E89" s="162" t="s">
        <v>945</v>
      </c>
      <c r="F89" s="163" t="s">
        <v>946</v>
      </c>
      <c r="G89" s="161">
        <v>1</v>
      </c>
      <c r="H89" s="164">
        <v>12000</v>
      </c>
    </row>
    <row r="90" spans="1:8" ht="19.5" customHeight="1">
      <c r="A90" s="160">
        <v>89</v>
      </c>
      <c r="B90" s="160">
        <f t="shared" si="1"/>
        <v>88</v>
      </c>
      <c r="C90" s="160" t="s">
        <v>943</v>
      </c>
      <c r="D90" s="161" t="s">
        <v>947</v>
      </c>
      <c r="E90" s="162" t="s">
        <v>948</v>
      </c>
      <c r="F90" s="163" t="s">
        <v>949</v>
      </c>
      <c r="G90" s="161">
        <v>1</v>
      </c>
      <c r="H90" s="164">
        <v>12000</v>
      </c>
    </row>
    <row r="91" spans="1:8" ht="19.5" customHeight="1">
      <c r="A91" s="160">
        <v>90</v>
      </c>
      <c r="B91" s="160">
        <f t="shared" si="1"/>
        <v>89</v>
      </c>
      <c r="C91" s="160" t="s">
        <v>943</v>
      </c>
      <c r="D91" s="161" t="s">
        <v>950</v>
      </c>
      <c r="E91" s="162" t="s">
        <v>951</v>
      </c>
      <c r="F91" s="163" t="s">
        <v>952</v>
      </c>
      <c r="G91" s="161">
        <v>1</v>
      </c>
      <c r="H91" s="164">
        <v>12000</v>
      </c>
    </row>
    <row r="92" spans="1:8" ht="19.5" customHeight="1">
      <c r="A92" s="160">
        <v>91</v>
      </c>
      <c r="B92" s="160">
        <f t="shared" si="1"/>
        <v>90</v>
      </c>
      <c r="C92" s="160" t="s">
        <v>943</v>
      </c>
      <c r="D92" s="161" t="s">
        <v>953</v>
      </c>
      <c r="E92" s="162" t="s">
        <v>954</v>
      </c>
      <c r="F92" s="163" t="s">
        <v>955</v>
      </c>
      <c r="G92" s="161">
        <v>3</v>
      </c>
      <c r="H92" s="164">
        <v>12000</v>
      </c>
    </row>
    <row r="93" spans="1:8" ht="19.5" customHeight="1">
      <c r="A93" s="160">
        <v>92</v>
      </c>
      <c r="B93" s="160">
        <f t="shared" si="1"/>
        <v>91</v>
      </c>
      <c r="C93" s="160" t="s">
        <v>943</v>
      </c>
      <c r="D93" s="161" t="s">
        <v>956</v>
      </c>
      <c r="E93" s="162" t="s">
        <v>957</v>
      </c>
      <c r="F93" s="163" t="s">
        <v>958</v>
      </c>
      <c r="G93" s="161">
        <v>4</v>
      </c>
      <c r="H93" s="164">
        <v>12000</v>
      </c>
    </row>
    <row r="94" spans="1:8" ht="19.5" customHeight="1">
      <c r="A94" s="160">
        <v>93</v>
      </c>
      <c r="B94" s="160">
        <f t="shared" si="1"/>
        <v>92</v>
      </c>
      <c r="C94" s="160" t="s">
        <v>943</v>
      </c>
      <c r="D94" s="161" t="s">
        <v>959</v>
      </c>
      <c r="E94" s="162" t="s">
        <v>960</v>
      </c>
      <c r="F94" s="163" t="s">
        <v>961</v>
      </c>
      <c r="G94" s="161">
        <v>4</v>
      </c>
      <c r="H94" s="164">
        <v>10000</v>
      </c>
    </row>
    <row r="95" spans="1:8" ht="19.5" customHeight="1">
      <c r="A95" s="160">
        <v>94</v>
      </c>
      <c r="B95" s="160">
        <f t="shared" si="1"/>
        <v>93</v>
      </c>
      <c r="C95" s="160" t="s">
        <v>943</v>
      </c>
      <c r="D95" s="161" t="s">
        <v>962</v>
      </c>
      <c r="E95" s="162" t="s">
        <v>963</v>
      </c>
      <c r="F95" s="163" t="s">
        <v>964</v>
      </c>
      <c r="G95" s="161">
        <v>1</v>
      </c>
      <c r="H95" s="164">
        <v>10000</v>
      </c>
    </row>
    <row r="96" spans="1:8" ht="19.5" customHeight="1">
      <c r="A96" s="160">
        <v>95</v>
      </c>
      <c r="B96" s="160">
        <f t="shared" si="1"/>
        <v>94</v>
      </c>
      <c r="C96" s="160" t="s">
        <v>943</v>
      </c>
      <c r="D96" s="161" t="s">
        <v>965</v>
      </c>
      <c r="E96" s="162" t="s">
        <v>966</v>
      </c>
      <c r="F96" s="163" t="s">
        <v>967</v>
      </c>
      <c r="G96" s="161">
        <v>1</v>
      </c>
      <c r="H96" s="164">
        <v>10000</v>
      </c>
    </row>
    <row r="97" spans="1:8" ht="19.5" customHeight="1">
      <c r="A97" s="160">
        <v>96</v>
      </c>
      <c r="B97" s="160">
        <f t="shared" si="1"/>
        <v>95</v>
      </c>
      <c r="C97" s="160" t="s">
        <v>943</v>
      </c>
      <c r="D97" s="161" t="s">
        <v>968</v>
      </c>
      <c r="E97" s="162" t="s">
        <v>966</v>
      </c>
      <c r="F97" s="163" t="s">
        <v>967</v>
      </c>
      <c r="G97" s="161">
        <v>6</v>
      </c>
      <c r="H97" s="164">
        <v>10000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12" sqref="I12"/>
    </sheetView>
  </sheetViews>
  <sheetFormatPr defaultColWidth="7.69921875" defaultRowHeight="17.399999999999999"/>
  <cols>
    <col min="1" max="1" width="10.8984375" style="41" customWidth="1"/>
    <col min="2" max="5" width="8" style="41" bestFit="1" customWidth="1"/>
    <col min="6" max="6" width="9.09765625" style="41" bestFit="1" customWidth="1"/>
    <col min="7" max="7" width="6.796875" style="41" customWidth="1"/>
    <col min="8" max="8" width="13.59765625" style="41" customWidth="1"/>
    <col min="9" max="12" width="8.09765625" style="41" customWidth="1"/>
    <col min="13" max="16384" width="7.69921875" style="41"/>
  </cols>
  <sheetData>
    <row r="1" spans="1:12" ht="21">
      <c r="A1" s="610" t="s">
        <v>202</v>
      </c>
      <c r="B1" s="610"/>
      <c r="C1" s="610"/>
      <c r="D1" s="610"/>
      <c r="E1" s="610"/>
      <c r="F1" s="55"/>
    </row>
    <row r="2" spans="1:12" ht="21">
      <c r="H2" s="53" t="s">
        <v>1782</v>
      </c>
      <c r="I2" s="53"/>
    </row>
    <row r="3" spans="1:12" ht="25.5" customHeight="1">
      <c r="A3" s="303" t="s">
        <v>201</v>
      </c>
      <c r="B3" s="304" t="s">
        <v>200</v>
      </c>
      <c r="C3" s="304" t="s">
        <v>199</v>
      </c>
      <c r="D3" s="304" t="s">
        <v>198</v>
      </c>
      <c r="E3" s="305" t="s">
        <v>197</v>
      </c>
      <c r="F3" s="306" t="s">
        <v>4</v>
      </c>
      <c r="H3" s="52" t="s">
        <v>196</v>
      </c>
      <c r="I3" s="54" t="s">
        <v>4</v>
      </c>
    </row>
    <row r="4" spans="1:12" ht="20.25" customHeight="1">
      <c r="A4" s="46" t="s">
        <v>195</v>
      </c>
      <c r="B4" s="44">
        <v>1490</v>
      </c>
      <c r="C4" s="44">
        <v>1670</v>
      </c>
      <c r="D4" s="44">
        <v>3740</v>
      </c>
      <c r="E4" s="49">
        <v>2340</v>
      </c>
      <c r="F4" s="307">
        <f t="shared" ref="F4:F15" si="0">SUM(B4:E4)</f>
        <v>9240</v>
      </c>
      <c r="H4" s="51">
        <v>1</v>
      </c>
      <c r="I4" s="48">
        <f>LARGE($F$4:$F$15,H4)</f>
        <v>10508</v>
      </c>
    </row>
    <row r="5" spans="1:12" ht="20.25" customHeight="1">
      <c r="A5" s="46" t="s">
        <v>194</v>
      </c>
      <c r="B5" s="44">
        <v>1380</v>
      </c>
      <c r="C5" s="44">
        <v>1570</v>
      </c>
      <c r="D5" s="44">
        <v>2250</v>
      </c>
      <c r="E5" s="49">
        <v>2250</v>
      </c>
      <c r="F5" s="307">
        <f t="shared" si="0"/>
        <v>7450</v>
      </c>
      <c r="H5" s="50">
        <v>2</v>
      </c>
      <c r="I5" s="48">
        <f t="shared" ref="I5:I6" si="1">LARGE($F$4:$F$15,H5)</f>
        <v>10470</v>
      </c>
    </row>
    <row r="6" spans="1:12" ht="20.25" customHeight="1">
      <c r="A6" s="46" t="s">
        <v>193</v>
      </c>
      <c r="B6" s="44">
        <v>1400</v>
      </c>
      <c r="C6" s="44">
        <v>1590</v>
      </c>
      <c r="D6" s="44">
        <v>3310</v>
      </c>
      <c r="E6" s="49">
        <v>1520</v>
      </c>
      <c r="F6" s="307">
        <f t="shared" si="0"/>
        <v>7820</v>
      </c>
      <c r="H6" s="511">
        <v>3</v>
      </c>
      <c r="I6" s="48">
        <f t="shared" si="1"/>
        <v>10350</v>
      </c>
    </row>
    <row r="7" spans="1:12" ht="20.25" customHeight="1">
      <c r="A7" s="46" t="s">
        <v>192</v>
      </c>
      <c r="B7" s="44">
        <v>1390</v>
      </c>
      <c r="C7" s="44">
        <v>1580</v>
      </c>
      <c r="D7" s="44">
        <v>2100</v>
      </c>
      <c r="E7" s="49">
        <v>3340</v>
      </c>
      <c r="F7" s="307">
        <f t="shared" si="0"/>
        <v>8410</v>
      </c>
      <c r="H7"/>
      <c r="I7"/>
    </row>
    <row r="8" spans="1:12" ht="20.25" customHeight="1">
      <c r="A8" s="46" t="s">
        <v>191</v>
      </c>
      <c r="B8" s="44">
        <v>1420</v>
      </c>
      <c r="C8" s="44">
        <v>1600</v>
      </c>
      <c r="D8" s="44">
        <v>3200</v>
      </c>
      <c r="E8" s="49">
        <v>2210</v>
      </c>
      <c r="F8" s="307">
        <f t="shared" si="0"/>
        <v>8430</v>
      </c>
    </row>
    <row r="9" spans="1:12" ht="20.25" customHeight="1">
      <c r="A9" s="46" t="s">
        <v>190</v>
      </c>
      <c r="B9" s="44">
        <v>1340</v>
      </c>
      <c r="C9" s="44">
        <v>1700</v>
      </c>
      <c r="D9" s="44">
        <v>3910</v>
      </c>
      <c r="E9" s="49">
        <v>2560</v>
      </c>
      <c r="F9" s="307">
        <f t="shared" si="0"/>
        <v>9510</v>
      </c>
      <c r="H9" s="53" t="s">
        <v>1783</v>
      </c>
      <c r="I9" s="53"/>
    </row>
    <row r="10" spans="1:12" ht="20.25" customHeight="1">
      <c r="A10" s="46" t="s">
        <v>189</v>
      </c>
      <c r="B10" s="44">
        <v>1330</v>
      </c>
      <c r="C10" s="44">
        <v>1540</v>
      </c>
      <c r="D10" s="44">
        <v>3330</v>
      </c>
      <c r="E10" s="49">
        <v>1560</v>
      </c>
      <c r="F10" s="307">
        <f t="shared" si="0"/>
        <v>7760</v>
      </c>
      <c r="H10" s="52" t="s">
        <v>188</v>
      </c>
      <c r="I10" s="47" t="s">
        <v>4</v>
      </c>
    </row>
    <row r="11" spans="1:12" ht="20.25" customHeight="1">
      <c r="A11" s="46" t="s">
        <v>187</v>
      </c>
      <c r="B11" s="44">
        <v>1580</v>
      </c>
      <c r="C11" s="44">
        <v>1620</v>
      </c>
      <c r="D11" s="44">
        <v>3720</v>
      </c>
      <c r="E11" s="49">
        <v>2640</v>
      </c>
      <c r="F11" s="307">
        <f t="shared" si="0"/>
        <v>9560</v>
      </c>
      <c r="H11" s="51">
        <v>1</v>
      </c>
      <c r="I11" s="48">
        <f>SMALL(F4:F15,H11)</f>
        <v>7450</v>
      </c>
    </row>
    <row r="12" spans="1:12" ht="20.25" customHeight="1">
      <c r="A12" s="46" t="s">
        <v>186</v>
      </c>
      <c r="B12" s="44">
        <v>1260</v>
      </c>
      <c r="C12" s="44">
        <v>1630</v>
      </c>
      <c r="D12" s="44">
        <v>4570</v>
      </c>
      <c r="E12" s="49">
        <v>3010</v>
      </c>
      <c r="F12" s="307">
        <f t="shared" si="0"/>
        <v>10470</v>
      </c>
      <c r="H12" s="50">
        <v>2</v>
      </c>
      <c r="I12" s="48">
        <f t="shared" ref="I12:I13" si="2">SMALL(F5:F16,H12)</f>
        <v>7760</v>
      </c>
    </row>
    <row r="13" spans="1:12" ht="20.25" customHeight="1">
      <c r="A13" s="46" t="s">
        <v>185</v>
      </c>
      <c r="B13" s="44">
        <v>1256</v>
      </c>
      <c r="C13" s="44">
        <v>1560</v>
      </c>
      <c r="D13" s="44">
        <v>3150</v>
      </c>
      <c r="E13" s="49">
        <v>2570</v>
      </c>
      <c r="F13" s="307">
        <f t="shared" si="0"/>
        <v>8536</v>
      </c>
      <c r="H13" s="511">
        <v>3</v>
      </c>
      <c r="I13" s="48">
        <f t="shared" si="2"/>
        <v>8410</v>
      </c>
    </row>
    <row r="14" spans="1:12" ht="20.25" customHeight="1">
      <c r="A14" s="46" t="s">
        <v>184</v>
      </c>
      <c r="B14" s="44">
        <v>1800</v>
      </c>
      <c r="C14" s="45">
        <v>1716</v>
      </c>
      <c r="D14" s="44">
        <v>4165</v>
      </c>
      <c r="E14" s="43">
        <v>2827</v>
      </c>
      <c r="F14" s="308">
        <f t="shared" si="0"/>
        <v>10508</v>
      </c>
      <c r="H14"/>
      <c r="I14"/>
    </row>
    <row r="15" spans="1:12" ht="20.25" customHeight="1">
      <c r="A15" s="46" t="s">
        <v>183</v>
      </c>
      <c r="B15" s="44">
        <v>1310</v>
      </c>
      <c r="C15" s="45">
        <v>1888</v>
      </c>
      <c r="D15" s="44">
        <v>5282</v>
      </c>
      <c r="E15" s="43">
        <v>1870</v>
      </c>
      <c r="F15" s="308">
        <f t="shared" si="0"/>
        <v>10350</v>
      </c>
      <c r="H15" s="42"/>
      <c r="I15" s="42"/>
    </row>
    <row r="16" spans="1:12">
      <c r="H16" s="42"/>
      <c r="I16" s="42"/>
      <c r="J16" s="42"/>
      <c r="K16" s="42"/>
      <c r="L16" s="42"/>
    </row>
    <row r="17" spans="8:12">
      <c r="H17" s="42"/>
      <c r="I17" s="42"/>
      <c r="J17" s="42"/>
      <c r="K17" s="42"/>
      <c r="L17" s="42"/>
    </row>
    <row r="18" spans="8:12">
      <c r="H18" s="42"/>
      <c r="I18" s="42"/>
      <c r="J18" s="42"/>
      <c r="K18" s="42"/>
      <c r="L18" s="42"/>
    </row>
    <row r="19" spans="8:12">
      <c r="H19" s="42"/>
      <c r="I19" s="42"/>
      <c r="J19" s="42"/>
      <c r="K19" s="42"/>
      <c r="L19" s="42"/>
    </row>
    <row r="20" spans="8:12">
      <c r="H20" s="42"/>
      <c r="I20" s="42"/>
      <c r="J20" s="42"/>
      <c r="K20" s="42"/>
      <c r="L20" s="42"/>
    </row>
    <row r="21" spans="8:12">
      <c r="H21" s="42"/>
      <c r="I21" s="42"/>
      <c r="J21" s="42"/>
      <c r="K21" s="42"/>
      <c r="L21" s="42"/>
    </row>
    <row r="22" spans="8:12">
      <c r="H22" s="42"/>
      <c r="I22" s="42"/>
      <c r="J22" s="42"/>
      <c r="K22" s="42"/>
      <c r="L22" s="42"/>
    </row>
    <row r="23" spans="8:12">
      <c r="H23" s="42"/>
      <c r="I23" s="42"/>
      <c r="J23" s="42"/>
      <c r="K23" s="42"/>
      <c r="L23" s="42"/>
    </row>
    <row r="24" spans="8:12">
      <c r="H24" s="42"/>
      <c r="I24" s="42"/>
      <c r="J24" s="42"/>
      <c r="K24" s="42"/>
      <c r="L24" s="42"/>
    </row>
    <row r="25" spans="8:12">
      <c r="H25" s="42"/>
      <c r="I25" s="42"/>
      <c r="J25" s="42"/>
      <c r="K25" s="42"/>
      <c r="L25" s="42"/>
    </row>
  </sheetData>
  <mergeCells count="1">
    <mergeCell ref="A1:E1"/>
  </mergeCells>
  <phoneticPr fontId="8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H14" sqref="H14"/>
    </sheetView>
  </sheetViews>
  <sheetFormatPr defaultColWidth="9" defaultRowHeight="17.399999999999999"/>
  <cols>
    <col min="1" max="16384" width="9" style="323"/>
  </cols>
  <sheetData>
    <row r="1" spans="1:8" ht="24.6" thickBot="1">
      <c r="A1" s="612" t="s">
        <v>1452</v>
      </c>
      <c r="B1" s="612"/>
      <c r="C1" s="612"/>
      <c r="D1" s="612"/>
      <c r="E1" s="612"/>
      <c r="F1" s="612"/>
      <c r="G1" s="612"/>
      <c r="H1" s="612"/>
    </row>
    <row r="2" spans="1:8" ht="18" thickTop="1"/>
    <row r="3" spans="1:8">
      <c r="A3" s="334" t="s">
        <v>1451</v>
      </c>
      <c r="B3" s="333" t="s">
        <v>1450</v>
      </c>
      <c r="C3" s="333" t="s">
        <v>1449</v>
      </c>
      <c r="D3" s="333" t="s">
        <v>1448</v>
      </c>
      <c r="E3" s="333" t="s">
        <v>1447</v>
      </c>
      <c r="F3" s="333" t="s">
        <v>1446</v>
      </c>
      <c r="G3" s="333" t="s">
        <v>1445</v>
      </c>
      <c r="H3" s="333" t="s">
        <v>1444</v>
      </c>
    </row>
    <row r="4" spans="1:8">
      <c r="A4" s="331" t="s">
        <v>1443</v>
      </c>
      <c r="B4" s="331">
        <v>85</v>
      </c>
      <c r="C4" s="331">
        <v>90</v>
      </c>
      <c r="D4" s="331">
        <v>75</v>
      </c>
      <c r="E4" s="332"/>
      <c r="F4" s="331"/>
      <c r="G4" s="331"/>
      <c r="H4" s="331"/>
    </row>
    <row r="5" spans="1:8">
      <c r="A5" s="331" t="s">
        <v>1442</v>
      </c>
      <c r="B5" s="331">
        <v>50</v>
      </c>
      <c r="C5" s="331">
        <v>55</v>
      </c>
      <c r="D5" s="331">
        <v>60</v>
      </c>
      <c r="E5" s="332"/>
      <c r="F5" s="331"/>
      <c r="G5" s="331"/>
      <c r="H5" s="331"/>
    </row>
    <row r="6" spans="1:8">
      <c r="A6" s="331" t="s">
        <v>1441</v>
      </c>
      <c r="B6" s="331">
        <v>70</v>
      </c>
      <c r="C6" s="331">
        <v>60</v>
      </c>
      <c r="D6" s="331">
        <v>60</v>
      </c>
      <c r="E6" s="332"/>
      <c r="F6" s="331"/>
      <c r="G6" s="331"/>
      <c r="H6" s="331"/>
    </row>
    <row r="7" spans="1:8">
      <c r="A7" s="331" t="s">
        <v>1440</v>
      </c>
      <c r="B7" s="331">
        <v>85</v>
      </c>
      <c r="C7" s="331">
        <v>90</v>
      </c>
      <c r="D7" s="331">
        <v>80</v>
      </c>
      <c r="E7" s="332"/>
      <c r="F7" s="331"/>
      <c r="G7" s="331"/>
      <c r="H7" s="331"/>
    </row>
    <row r="8" spans="1:8">
      <c r="A8" s="331" t="s">
        <v>1439</v>
      </c>
      <c r="B8" s="331">
        <v>45</v>
      </c>
      <c r="C8" s="331">
        <v>80</v>
      </c>
      <c r="D8" s="331">
        <v>90</v>
      </c>
      <c r="E8" s="332"/>
      <c r="F8" s="331"/>
      <c r="G8" s="331"/>
      <c r="H8" s="331"/>
    </row>
    <row r="9" spans="1:8">
      <c r="A9" s="331" t="s">
        <v>1438</v>
      </c>
      <c r="B9" s="331">
        <v>70</v>
      </c>
      <c r="C9" s="331">
        <v>70</v>
      </c>
      <c r="D9" s="331">
        <v>75</v>
      </c>
      <c r="E9" s="332"/>
      <c r="F9" s="331"/>
      <c r="G9" s="331"/>
      <c r="H9" s="331"/>
    </row>
    <row r="10" spans="1:8">
      <c r="A10" s="331" t="s">
        <v>1437</v>
      </c>
      <c r="B10" s="331">
        <v>50</v>
      </c>
      <c r="C10" s="331">
        <v>95</v>
      </c>
      <c r="D10" s="331">
        <v>90</v>
      </c>
      <c r="E10" s="332"/>
      <c r="F10" s="331"/>
      <c r="G10" s="331"/>
      <c r="H10" s="331"/>
    </row>
    <row r="11" spans="1:8">
      <c r="A11" s="331" t="s">
        <v>1436</v>
      </c>
      <c r="B11" s="331">
        <v>92</v>
      </c>
      <c r="C11" s="331">
        <v>50</v>
      </c>
      <c r="D11" s="331">
        <v>50</v>
      </c>
      <c r="E11" s="332"/>
      <c r="F11" s="331"/>
      <c r="G11" s="331"/>
      <c r="H11" s="331"/>
    </row>
    <row r="12" spans="1:8">
      <c r="A12" s="331" t="s">
        <v>1435</v>
      </c>
      <c r="B12" s="331">
        <v>88</v>
      </c>
      <c r="C12" s="331">
        <v>95</v>
      </c>
      <c r="D12" s="331">
        <v>80</v>
      </c>
      <c r="E12" s="332"/>
      <c r="F12" s="331"/>
      <c r="G12" s="331"/>
      <c r="H12" s="331"/>
    </row>
    <row r="13" spans="1:8">
      <c r="A13" s="330" t="s">
        <v>1434</v>
      </c>
      <c r="B13" s="330">
        <v>95</v>
      </c>
      <c r="C13" s="330">
        <v>90</v>
      </c>
      <c r="D13" s="330">
        <v>85</v>
      </c>
      <c r="E13" s="329"/>
      <c r="F13" s="329"/>
      <c r="G13" s="329"/>
      <c r="H13" s="329"/>
    </row>
    <row r="17" spans="1:5" ht="27.6">
      <c r="A17" s="611" t="s">
        <v>1433</v>
      </c>
      <c r="B17" s="611"/>
      <c r="C17" s="611"/>
      <c r="D17" s="611"/>
      <c r="E17" s="611"/>
    </row>
    <row r="18" spans="1:5">
      <c r="A18" s="328"/>
      <c r="B18" s="328"/>
      <c r="C18" s="328"/>
      <c r="D18" s="328"/>
      <c r="E18" s="328"/>
    </row>
    <row r="19" spans="1:5">
      <c r="A19" s="327" t="s">
        <v>1432</v>
      </c>
      <c r="B19" s="327" t="s">
        <v>1431</v>
      </c>
      <c r="C19" s="327" t="s">
        <v>1430</v>
      </c>
      <c r="D19" s="327" t="s">
        <v>1429</v>
      </c>
      <c r="E19" s="327" t="s">
        <v>1428</v>
      </c>
    </row>
    <row r="20" spans="1:5">
      <c r="A20" s="326" t="s">
        <v>1427</v>
      </c>
      <c r="B20" s="326">
        <v>700</v>
      </c>
      <c r="C20" s="326">
        <v>900</v>
      </c>
      <c r="D20" s="325"/>
      <c r="E20" s="324"/>
    </row>
    <row r="21" spans="1:5">
      <c r="A21" s="326" t="s">
        <v>1426</v>
      </c>
      <c r="B21" s="326">
        <v>750</v>
      </c>
      <c r="C21" s="326">
        <v>700</v>
      </c>
      <c r="D21" s="325"/>
      <c r="E21" s="324"/>
    </row>
    <row r="22" spans="1:5">
      <c r="A22" s="326" t="s">
        <v>1425</v>
      </c>
      <c r="B22" s="326">
        <v>480</v>
      </c>
      <c r="C22" s="326">
        <v>520</v>
      </c>
      <c r="D22" s="325"/>
      <c r="E22" s="324"/>
    </row>
    <row r="23" spans="1:5">
      <c r="A23" s="326" t="s">
        <v>1424</v>
      </c>
      <c r="B23" s="326">
        <v>780</v>
      </c>
      <c r="C23" s="326">
        <v>900</v>
      </c>
      <c r="D23" s="325"/>
      <c r="E23" s="324"/>
    </row>
    <row r="24" spans="1:5">
      <c r="A24" s="326" t="s">
        <v>1423</v>
      </c>
      <c r="B24" s="326">
        <v>600</v>
      </c>
      <c r="C24" s="326">
        <v>570</v>
      </c>
      <c r="D24" s="325"/>
      <c r="E24" s="324"/>
    </row>
    <row r="25" spans="1:5">
      <c r="A25" s="326" t="s">
        <v>1422</v>
      </c>
      <c r="B25" s="326">
        <v>960</v>
      </c>
      <c r="C25" s="326">
        <v>510</v>
      </c>
      <c r="D25" s="325"/>
      <c r="E25" s="324"/>
    </row>
    <row r="26" spans="1:5">
      <c r="A26" s="326" t="s">
        <v>1421</v>
      </c>
      <c r="B26" s="326">
        <v>510</v>
      </c>
      <c r="C26" s="326">
        <v>590</v>
      </c>
      <c r="D26" s="325"/>
      <c r="E26" s="324"/>
    </row>
    <row r="27" spans="1:5">
      <c r="A27" s="326" t="s">
        <v>1417</v>
      </c>
      <c r="B27" s="326">
        <v>520</v>
      </c>
      <c r="C27" s="326">
        <v>570</v>
      </c>
      <c r="D27" s="325"/>
      <c r="E27" s="324"/>
    </row>
    <row r="28" spans="1:5">
      <c r="A28" s="326" t="s">
        <v>1420</v>
      </c>
      <c r="B28" s="326">
        <v>900</v>
      </c>
      <c r="C28" s="326">
        <v>910</v>
      </c>
      <c r="D28" s="325"/>
      <c r="E28" s="324"/>
    </row>
    <row r="29" spans="1:5">
      <c r="A29" s="326" t="s">
        <v>1419</v>
      </c>
      <c r="B29" s="326">
        <v>680</v>
      </c>
      <c r="C29" s="326">
        <v>860</v>
      </c>
      <c r="D29" s="325"/>
      <c r="E29" s="324"/>
    </row>
    <row r="30" spans="1:5">
      <c r="A30" s="326" t="s">
        <v>1418</v>
      </c>
      <c r="B30" s="326">
        <v>670</v>
      </c>
      <c r="C30" s="326">
        <v>650</v>
      </c>
      <c r="D30" s="325"/>
      <c r="E30" s="324"/>
    </row>
    <row r="31" spans="1:5">
      <c r="A31" s="326" t="s">
        <v>1417</v>
      </c>
      <c r="B31" s="326">
        <v>500</v>
      </c>
      <c r="C31" s="326">
        <v>490</v>
      </c>
      <c r="D31" s="325"/>
      <c r="E31" s="324"/>
    </row>
    <row r="32" spans="1:5">
      <c r="A32" s="326" t="s">
        <v>1416</v>
      </c>
      <c r="B32" s="326">
        <v>300</v>
      </c>
      <c r="C32" s="326">
        <v>330</v>
      </c>
      <c r="D32" s="325"/>
      <c r="E32" s="324"/>
    </row>
    <row r="33" spans="1:5">
      <c r="A33" s="326" t="s">
        <v>1415</v>
      </c>
      <c r="B33" s="326">
        <v>150</v>
      </c>
      <c r="C33" s="326">
        <v>200</v>
      </c>
      <c r="D33" s="325"/>
      <c r="E33" s="324"/>
    </row>
  </sheetData>
  <mergeCells count="2">
    <mergeCell ref="A17:E17"/>
    <mergeCell ref="A1:H1"/>
  </mergeCells>
  <phoneticPr fontId="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zoomScaleNormal="100" workbookViewId="0">
      <selection activeCell="H5" sqref="H5"/>
    </sheetView>
  </sheetViews>
  <sheetFormatPr defaultRowHeight="14.4"/>
  <cols>
    <col min="1" max="1" width="5.09765625" style="175" customWidth="1"/>
    <col min="2" max="2" width="8.19921875" style="175" bestFit="1" customWidth="1"/>
    <col min="3" max="3" width="9.3984375" style="175" customWidth="1"/>
    <col min="4" max="5" width="10.19921875" style="516" bestFit="1" customWidth="1"/>
    <col min="6" max="6" width="10.19921875" style="516" customWidth="1"/>
    <col min="7" max="8" width="10.19921875" style="175" customWidth="1"/>
    <col min="9" max="9" width="3.796875" style="175" customWidth="1"/>
    <col min="10" max="256" width="9" style="175"/>
    <col min="257" max="257" width="6.3984375" style="175" customWidth="1"/>
    <col min="258" max="258" width="8.19921875" style="175" bestFit="1" customWidth="1"/>
    <col min="259" max="261" width="10.19921875" style="175" bestFit="1" customWidth="1"/>
    <col min="262" max="264" width="10.19921875" style="175" customWidth="1"/>
    <col min="265" max="512" width="9" style="175"/>
    <col min="513" max="513" width="6.3984375" style="175" customWidth="1"/>
    <col min="514" max="514" width="8.19921875" style="175" bestFit="1" customWidth="1"/>
    <col min="515" max="517" width="10.19921875" style="175" bestFit="1" customWidth="1"/>
    <col min="518" max="520" width="10.19921875" style="175" customWidth="1"/>
    <col min="521" max="768" width="9" style="175"/>
    <col min="769" max="769" width="6.3984375" style="175" customWidth="1"/>
    <col min="770" max="770" width="8.19921875" style="175" bestFit="1" customWidth="1"/>
    <col min="771" max="773" width="10.19921875" style="175" bestFit="1" customWidth="1"/>
    <col min="774" max="776" width="10.19921875" style="175" customWidth="1"/>
    <col min="777" max="1024" width="9" style="175"/>
    <col min="1025" max="1025" width="6.3984375" style="175" customWidth="1"/>
    <col min="1026" max="1026" width="8.19921875" style="175" bestFit="1" customWidth="1"/>
    <col min="1027" max="1029" width="10.19921875" style="175" bestFit="1" customWidth="1"/>
    <col min="1030" max="1032" width="10.19921875" style="175" customWidth="1"/>
    <col min="1033" max="1280" width="9" style="175"/>
    <col min="1281" max="1281" width="6.3984375" style="175" customWidth="1"/>
    <col min="1282" max="1282" width="8.19921875" style="175" bestFit="1" customWidth="1"/>
    <col min="1283" max="1285" width="10.19921875" style="175" bestFit="1" customWidth="1"/>
    <col min="1286" max="1288" width="10.19921875" style="175" customWidth="1"/>
    <col min="1289" max="1536" width="9" style="175"/>
    <col min="1537" max="1537" width="6.3984375" style="175" customWidth="1"/>
    <col min="1538" max="1538" width="8.19921875" style="175" bestFit="1" customWidth="1"/>
    <col min="1539" max="1541" width="10.19921875" style="175" bestFit="1" customWidth="1"/>
    <col min="1542" max="1544" width="10.19921875" style="175" customWidth="1"/>
    <col min="1545" max="1792" width="9" style="175"/>
    <col min="1793" max="1793" width="6.3984375" style="175" customWidth="1"/>
    <col min="1794" max="1794" width="8.19921875" style="175" bestFit="1" customWidth="1"/>
    <col min="1795" max="1797" width="10.19921875" style="175" bestFit="1" customWidth="1"/>
    <col min="1798" max="1800" width="10.19921875" style="175" customWidth="1"/>
    <col min="1801" max="2048" width="9" style="175"/>
    <col min="2049" max="2049" width="6.3984375" style="175" customWidth="1"/>
    <col min="2050" max="2050" width="8.19921875" style="175" bestFit="1" customWidth="1"/>
    <col min="2051" max="2053" width="10.19921875" style="175" bestFit="1" customWidth="1"/>
    <col min="2054" max="2056" width="10.19921875" style="175" customWidth="1"/>
    <col min="2057" max="2304" width="9" style="175"/>
    <col min="2305" max="2305" width="6.3984375" style="175" customWidth="1"/>
    <col min="2306" max="2306" width="8.19921875" style="175" bestFit="1" customWidth="1"/>
    <col min="2307" max="2309" width="10.19921875" style="175" bestFit="1" customWidth="1"/>
    <col min="2310" max="2312" width="10.19921875" style="175" customWidth="1"/>
    <col min="2313" max="2560" width="9" style="175"/>
    <col min="2561" max="2561" width="6.3984375" style="175" customWidth="1"/>
    <col min="2562" max="2562" width="8.19921875" style="175" bestFit="1" customWidth="1"/>
    <col min="2563" max="2565" width="10.19921875" style="175" bestFit="1" customWidth="1"/>
    <col min="2566" max="2568" width="10.19921875" style="175" customWidth="1"/>
    <col min="2569" max="2816" width="9" style="175"/>
    <col min="2817" max="2817" width="6.3984375" style="175" customWidth="1"/>
    <col min="2818" max="2818" width="8.19921875" style="175" bestFit="1" customWidth="1"/>
    <col min="2819" max="2821" width="10.19921875" style="175" bestFit="1" customWidth="1"/>
    <col min="2822" max="2824" width="10.19921875" style="175" customWidth="1"/>
    <col min="2825" max="3072" width="9" style="175"/>
    <col min="3073" max="3073" width="6.3984375" style="175" customWidth="1"/>
    <col min="3074" max="3074" width="8.19921875" style="175" bestFit="1" customWidth="1"/>
    <col min="3075" max="3077" width="10.19921875" style="175" bestFit="1" customWidth="1"/>
    <col min="3078" max="3080" width="10.19921875" style="175" customWidth="1"/>
    <col min="3081" max="3328" width="9" style="175"/>
    <col min="3329" max="3329" width="6.3984375" style="175" customWidth="1"/>
    <col min="3330" max="3330" width="8.19921875" style="175" bestFit="1" customWidth="1"/>
    <col min="3331" max="3333" width="10.19921875" style="175" bestFit="1" customWidth="1"/>
    <col min="3334" max="3336" width="10.19921875" style="175" customWidth="1"/>
    <col min="3337" max="3584" width="9" style="175"/>
    <col min="3585" max="3585" width="6.3984375" style="175" customWidth="1"/>
    <col min="3586" max="3586" width="8.19921875" style="175" bestFit="1" customWidth="1"/>
    <col min="3587" max="3589" width="10.19921875" style="175" bestFit="1" customWidth="1"/>
    <col min="3590" max="3592" width="10.19921875" style="175" customWidth="1"/>
    <col min="3593" max="3840" width="9" style="175"/>
    <col min="3841" max="3841" width="6.3984375" style="175" customWidth="1"/>
    <col min="3842" max="3842" width="8.19921875" style="175" bestFit="1" customWidth="1"/>
    <col min="3843" max="3845" width="10.19921875" style="175" bestFit="1" customWidth="1"/>
    <col min="3846" max="3848" width="10.19921875" style="175" customWidth="1"/>
    <col min="3849" max="4096" width="9" style="175"/>
    <col min="4097" max="4097" width="6.3984375" style="175" customWidth="1"/>
    <col min="4098" max="4098" width="8.19921875" style="175" bestFit="1" customWidth="1"/>
    <col min="4099" max="4101" width="10.19921875" style="175" bestFit="1" customWidth="1"/>
    <col min="4102" max="4104" width="10.19921875" style="175" customWidth="1"/>
    <col min="4105" max="4352" width="9" style="175"/>
    <col min="4353" max="4353" width="6.3984375" style="175" customWidth="1"/>
    <col min="4354" max="4354" width="8.19921875" style="175" bestFit="1" customWidth="1"/>
    <col min="4355" max="4357" width="10.19921875" style="175" bestFit="1" customWidth="1"/>
    <col min="4358" max="4360" width="10.19921875" style="175" customWidth="1"/>
    <col min="4361" max="4608" width="9" style="175"/>
    <col min="4609" max="4609" width="6.3984375" style="175" customWidth="1"/>
    <col min="4610" max="4610" width="8.19921875" style="175" bestFit="1" customWidth="1"/>
    <col min="4611" max="4613" width="10.19921875" style="175" bestFit="1" customWidth="1"/>
    <col min="4614" max="4616" width="10.19921875" style="175" customWidth="1"/>
    <col min="4617" max="4864" width="9" style="175"/>
    <col min="4865" max="4865" width="6.3984375" style="175" customWidth="1"/>
    <col min="4866" max="4866" width="8.19921875" style="175" bestFit="1" customWidth="1"/>
    <col min="4867" max="4869" width="10.19921875" style="175" bestFit="1" customWidth="1"/>
    <col min="4870" max="4872" width="10.19921875" style="175" customWidth="1"/>
    <col min="4873" max="5120" width="9" style="175"/>
    <col min="5121" max="5121" width="6.3984375" style="175" customWidth="1"/>
    <col min="5122" max="5122" width="8.19921875" style="175" bestFit="1" customWidth="1"/>
    <col min="5123" max="5125" width="10.19921875" style="175" bestFit="1" customWidth="1"/>
    <col min="5126" max="5128" width="10.19921875" style="175" customWidth="1"/>
    <col min="5129" max="5376" width="9" style="175"/>
    <col min="5377" max="5377" width="6.3984375" style="175" customWidth="1"/>
    <col min="5378" max="5378" width="8.19921875" style="175" bestFit="1" customWidth="1"/>
    <col min="5379" max="5381" width="10.19921875" style="175" bestFit="1" customWidth="1"/>
    <col min="5382" max="5384" width="10.19921875" style="175" customWidth="1"/>
    <col min="5385" max="5632" width="9" style="175"/>
    <col min="5633" max="5633" width="6.3984375" style="175" customWidth="1"/>
    <col min="5634" max="5634" width="8.19921875" style="175" bestFit="1" customWidth="1"/>
    <col min="5635" max="5637" width="10.19921875" style="175" bestFit="1" customWidth="1"/>
    <col min="5638" max="5640" width="10.19921875" style="175" customWidth="1"/>
    <col min="5641" max="5888" width="9" style="175"/>
    <col min="5889" max="5889" width="6.3984375" style="175" customWidth="1"/>
    <col min="5890" max="5890" width="8.19921875" style="175" bestFit="1" customWidth="1"/>
    <col min="5891" max="5893" width="10.19921875" style="175" bestFit="1" customWidth="1"/>
    <col min="5894" max="5896" width="10.19921875" style="175" customWidth="1"/>
    <col min="5897" max="6144" width="9" style="175"/>
    <col min="6145" max="6145" width="6.3984375" style="175" customWidth="1"/>
    <col min="6146" max="6146" width="8.19921875" style="175" bestFit="1" customWidth="1"/>
    <col min="6147" max="6149" width="10.19921875" style="175" bestFit="1" customWidth="1"/>
    <col min="6150" max="6152" width="10.19921875" style="175" customWidth="1"/>
    <col min="6153" max="6400" width="9" style="175"/>
    <col min="6401" max="6401" width="6.3984375" style="175" customWidth="1"/>
    <col min="6402" max="6402" width="8.19921875" style="175" bestFit="1" customWidth="1"/>
    <col min="6403" max="6405" width="10.19921875" style="175" bestFit="1" customWidth="1"/>
    <col min="6406" max="6408" width="10.19921875" style="175" customWidth="1"/>
    <col min="6409" max="6656" width="9" style="175"/>
    <col min="6657" max="6657" width="6.3984375" style="175" customWidth="1"/>
    <col min="6658" max="6658" width="8.19921875" style="175" bestFit="1" customWidth="1"/>
    <col min="6659" max="6661" width="10.19921875" style="175" bestFit="1" customWidth="1"/>
    <col min="6662" max="6664" width="10.19921875" style="175" customWidth="1"/>
    <col min="6665" max="6912" width="9" style="175"/>
    <col min="6913" max="6913" width="6.3984375" style="175" customWidth="1"/>
    <col min="6914" max="6914" width="8.19921875" style="175" bestFit="1" customWidth="1"/>
    <col min="6915" max="6917" width="10.19921875" style="175" bestFit="1" customWidth="1"/>
    <col min="6918" max="6920" width="10.19921875" style="175" customWidth="1"/>
    <col min="6921" max="7168" width="9" style="175"/>
    <col min="7169" max="7169" width="6.3984375" style="175" customWidth="1"/>
    <col min="7170" max="7170" width="8.19921875" style="175" bestFit="1" customWidth="1"/>
    <col min="7171" max="7173" width="10.19921875" style="175" bestFit="1" customWidth="1"/>
    <col min="7174" max="7176" width="10.19921875" style="175" customWidth="1"/>
    <col min="7177" max="7424" width="9" style="175"/>
    <col min="7425" max="7425" width="6.3984375" style="175" customWidth="1"/>
    <col min="7426" max="7426" width="8.19921875" style="175" bestFit="1" customWidth="1"/>
    <col min="7427" max="7429" width="10.19921875" style="175" bestFit="1" customWidth="1"/>
    <col min="7430" max="7432" width="10.19921875" style="175" customWidth="1"/>
    <col min="7433" max="7680" width="9" style="175"/>
    <col min="7681" max="7681" width="6.3984375" style="175" customWidth="1"/>
    <col min="7682" max="7682" width="8.19921875" style="175" bestFit="1" customWidth="1"/>
    <col min="7683" max="7685" width="10.19921875" style="175" bestFit="1" customWidth="1"/>
    <col min="7686" max="7688" width="10.19921875" style="175" customWidth="1"/>
    <col min="7689" max="7936" width="9" style="175"/>
    <col min="7937" max="7937" width="6.3984375" style="175" customWidth="1"/>
    <col min="7938" max="7938" width="8.19921875" style="175" bestFit="1" customWidth="1"/>
    <col min="7939" max="7941" width="10.19921875" style="175" bestFit="1" customWidth="1"/>
    <col min="7942" max="7944" width="10.19921875" style="175" customWidth="1"/>
    <col min="7945" max="8192" width="9" style="175"/>
    <col min="8193" max="8193" width="6.3984375" style="175" customWidth="1"/>
    <col min="8194" max="8194" width="8.19921875" style="175" bestFit="1" customWidth="1"/>
    <col min="8195" max="8197" width="10.19921875" style="175" bestFit="1" customWidth="1"/>
    <col min="8198" max="8200" width="10.19921875" style="175" customWidth="1"/>
    <col min="8201" max="8448" width="9" style="175"/>
    <col min="8449" max="8449" width="6.3984375" style="175" customWidth="1"/>
    <col min="8450" max="8450" width="8.19921875" style="175" bestFit="1" customWidth="1"/>
    <col min="8451" max="8453" width="10.19921875" style="175" bestFit="1" customWidth="1"/>
    <col min="8454" max="8456" width="10.19921875" style="175" customWidth="1"/>
    <col min="8457" max="8704" width="9" style="175"/>
    <col min="8705" max="8705" width="6.3984375" style="175" customWidth="1"/>
    <col min="8706" max="8706" width="8.19921875" style="175" bestFit="1" customWidth="1"/>
    <col min="8707" max="8709" width="10.19921875" style="175" bestFit="1" customWidth="1"/>
    <col min="8710" max="8712" width="10.19921875" style="175" customWidth="1"/>
    <col min="8713" max="8960" width="9" style="175"/>
    <col min="8961" max="8961" width="6.3984375" style="175" customWidth="1"/>
    <col min="8962" max="8962" width="8.19921875" style="175" bestFit="1" customWidth="1"/>
    <col min="8963" max="8965" width="10.19921875" style="175" bestFit="1" customWidth="1"/>
    <col min="8966" max="8968" width="10.19921875" style="175" customWidth="1"/>
    <col min="8969" max="9216" width="9" style="175"/>
    <col min="9217" max="9217" width="6.3984375" style="175" customWidth="1"/>
    <col min="9218" max="9218" width="8.19921875" style="175" bestFit="1" customWidth="1"/>
    <col min="9219" max="9221" width="10.19921875" style="175" bestFit="1" customWidth="1"/>
    <col min="9222" max="9224" width="10.19921875" style="175" customWidth="1"/>
    <col min="9225" max="9472" width="9" style="175"/>
    <col min="9473" max="9473" width="6.3984375" style="175" customWidth="1"/>
    <col min="9474" max="9474" width="8.19921875" style="175" bestFit="1" customWidth="1"/>
    <col min="9475" max="9477" width="10.19921875" style="175" bestFit="1" customWidth="1"/>
    <col min="9478" max="9480" width="10.19921875" style="175" customWidth="1"/>
    <col min="9481" max="9728" width="9" style="175"/>
    <col min="9729" max="9729" width="6.3984375" style="175" customWidth="1"/>
    <col min="9730" max="9730" width="8.19921875" style="175" bestFit="1" customWidth="1"/>
    <col min="9731" max="9733" width="10.19921875" style="175" bestFit="1" customWidth="1"/>
    <col min="9734" max="9736" width="10.19921875" style="175" customWidth="1"/>
    <col min="9737" max="9984" width="9" style="175"/>
    <col min="9985" max="9985" width="6.3984375" style="175" customWidth="1"/>
    <col min="9986" max="9986" width="8.19921875" style="175" bestFit="1" customWidth="1"/>
    <col min="9987" max="9989" width="10.19921875" style="175" bestFit="1" customWidth="1"/>
    <col min="9990" max="9992" width="10.19921875" style="175" customWidth="1"/>
    <col min="9993" max="10240" width="9" style="175"/>
    <col min="10241" max="10241" width="6.3984375" style="175" customWidth="1"/>
    <col min="10242" max="10242" width="8.19921875" style="175" bestFit="1" customWidth="1"/>
    <col min="10243" max="10245" width="10.19921875" style="175" bestFit="1" customWidth="1"/>
    <col min="10246" max="10248" width="10.19921875" style="175" customWidth="1"/>
    <col min="10249" max="10496" width="9" style="175"/>
    <col min="10497" max="10497" width="6.3984375" style="175" customWidth="1"/>
    <col min="10498" max="10498" width="8.19921875" style="175" bestFit="1" customWidth="1"/>
    <col min="10499" max="10501" width="10.19921875" style="175" bestFit="1" customWidth="1"/>
    <col min="10502" max="10504" width="10.19921875" style="175" customWidth="1"/>
    <col min="10505" max="10752" width="9" style="175"/>
    <col min="10753" max="10753" width="6.3984375" style="175" customWidth="1"/>
    <col min="10754" max="10754" width="8.19921875" style="175" bestFit="1" customWidth="1"/>
    <col min="10755" max="10757" width="10.19921875" style="175" bestFit="1" customWidth="1"/>
    <col min="10758" max="10760" width="10.19921875" style="175" customWidth="1"/>
    <col min="10761" max="11008" width="9" style="175"/>
    <col min="11009" max="11009" width="6.3984375" style="175" customWidth="1"/>
    <col min="11010" max="11010" width="8.19921875" style="175" bestFit="1" customWidth="1"/>
    <col min="11011" max="11013" width="10.19921875" style="175" bestFit="1" customWidth="1"/>
    <col min="11014" max="11016" width="10.19921875" style="175" customWidth="1"/>
    <col min="11017" max="11264" width="9" style="175"/>
    <col min="11265" max="11265" width="6.3984375" style="175" customWidth="1"/>
    <col min="11266" max="11266" width="8.19921875" style="175" bestFit="1" customWidth="1"/>
    <col min="11267" max="11269" width="10.19921875" style="175" bestFit="1" customWidth="1"/>
    <col min="11270" max="11272" width="10.19921875" style="175" customWidth="1"/>
    <col min="11273" max="11520" width="9" style="175"/>
    <col min="11521" max="11521" width="6.3984375" style="175" customWidth="1"/>
    <col min="11522" max="11522" width="8.19921875" style="175" bestFit="1" customWidth="1"/>
    <col min="11523" max="11525" width="10.19921875" style="175" bestFit="1" customWidth="1"/>
    <col min="11526" max="11528" width="10.19921875" style="175" customWidth="1"/>
    <col min="11529" max="11776" width="9" style="175"/>
    <col min="11777" max="11777" width="6.3984375" style="175" customWidth="1"/>
    <col min="11778" max="11778" width="8.19921875" style="175" bestFit="1" customWidth="1"/>
    <col min="11779" max="11781" width="10.19921875" style="175" bestFit="1" customWidth="1"/>
    <col min="11782" max="11784" width="10.19921875" style="175" customWidth="1"/>
    <col min="11785" max="12032" width="9" style="175"/>
    <col min="12033" max="12033" width="6.3984375" style="175" customWidth="1"/>
    <col min="12034" max="12034" width="8.19921875" style="175" bestFit="1" customWidth="1"/>
    <col min="12035" max="12037" width="10.19921875" style="175" bestFit="1" customWidth="1"/>
    <col min="12038" max="12040" width="10.19921875" style="175" customWidth="1"/>
    <col min="12041" max="12288" width="9" style="175"/>
    <col min="12289" max="12289" width="6.3984375" style="175" customWidth="1"/>
    <col min="12290" max="12290" width="8.19921875" style="175" bestFit="1" customWidth="1"/>
    <col min="12291" max="12293" width="10.19921875" style="175" bestFit="1" customWidth="1"/>
    <col min="12294" max="12296" width="10.19921875" style="175" customWidth="1"/>
    <col min="12297" max="12544" width="9" style="175"/>
    <col min="12545" max="12545" width="6.3984375" style="175" customWidth="1"/>
    <col min="12546" max="12546" width="8.19921875" style="175" bestFit="1" customWidth="1"/>
    <col min="12547" max="12549" width="10.19921875" style="175" bestFit="1" customWidth="1"/>
    <col min="12550" max="12552" width="10.19921875" style="175" customWidth="1"/>
    <col min="12553" max="12800" width="9" style="175"/>
    <col min="12801" max="12801" width="6.3984375" style="175" customWidth="1"/>
    <col min="12802" max="12802" width="8.19921875" style="175" bestFit="1" customWidth="1"/>
    <col min="12803" max="12805" width="10.19921875" style="175" bestFit="1" customWidth="1"/>
    <col min="12806" max="12808" width="10.19921875" style="175" customWidth="1"/>
    <col min="12809" max="13056" width="9" style="175"/>
    <col min="13057" max="13057" width="6.3984375" style="175" customWidth="1"/>
    <col min="13058" max="13058" width="8.19921875" style="175" bestFit="1" customWidth="1"/>
    <col min="13059" max="13061" width="10.19921875" style="175" bestFit="1" customWidth="1"/>
    <col min="13062" max="13064" width="10.19921875" style="175" customWidth="1"/>
    <col min="13065" max="13312" width="9" style="175"/>
    <col min="13313" max="13313" width="6.3984375" style="175" customWidth="1"/>
    <col min="13314" max="13314" width="8.19921875" style="175" bestFit="1" customWidth="1"/>
    <col min="13315" max="13317" width="10.19921875" style="175" bestFit="1" customWidth="1"/>
    <col min="13318" max="13320" width="10.19921875" style="175" customWidth="1"/>
    <col min="13321" max="13568" width="9" style="175"/>
    <col min="13569" max="13569" width="6.3984375" style="175" customWidth="1"/>
    <col min="13570" max="13570" width="8.19921875" style="175" bestFit="1" customWidth="1"/>
    <col min="13571" max="13573" width="10.19921875" style="175" bestFit="1" customWidth="1"/>
    <col min="13574" max="13576" width="10.19921875" style="175" customWidth="1"/>
    <col min="13577" max="13824" width="9" style="175"/>
    <col min="13825" max="13825" width="6.3984375" style="175" customWidth="1"/>
    <col min="13826" max="13826" width="8.19921875" style="175" bestFit="1" customWidth="1"/>
    <col min="13827" max="13829" width="10.19921875" style="175" bestFit="1" customWidth="1"/>
    <col min="13830" max="13832" width="10.19921875" style="175" customWidth="1"/>
    <col min="13833" max="14080" width="9" style="175"/>
    <col min="14081" max="14081" width="6.3984375" style="175" customWidth="1"/>
    <col min="14082" max="14082" width="8.19921875" style="175" bestFit="1" customWidth="1"/>
    <col min="14083" max="14085" width="10.19921875" style="175" bestFit="1" customWidth="1"/>
    <col min="14086" max="14088" width="10.19921875" style="175" customWidth="1"/>
    <col min="14089" max="14336" width="9" style="175"/>
    <col min="14337" max="14337" width="6.3984375" style="175" customWidth="1"/>
    <col min="14338" max="14338" width="8.19921875" style="175" bestFit="1" customWidth="1"/>
    <col min="14339" max="14341" width="10.19921875" style="175" bestFit="1" customWidth="1"/>
    <col min="14342" max="14344" width="10.19921875" style="175" customWidth="1"/>
    <col min="14345" max="14592" width="9" style="175"/>
    <col min="14593" max="14593" width="6.3984375" style="175" customWidth="1"/>
    <col min="14594" max="14594" width="8.19921875" style="175" bestFit="1" customWidth="1"/>
    <col min="14595" max="14597" width="10.19921875" style="175" bestFit="1" customWidth="1"/>
    <col min="14598" max="14600" width="10.19921875" style="175" customWidth="1"/>
    <col min="14601" max="14848" width="9" style="175"/>
    <col min="14849" max="14849" width="6.3984375" style="175" customWidth="1"/>
    <col min="14850" max="14850" width="8.19921875" style="175" bestFit="1" customWidth="1"/>
    <col min="14851" max="14853" width="10.19921875" style="175" bestFit="1" customWidth="1"/>
    <col min="14854" max="14856" width="10.19921875" style="175" customWidth="1"/>
    <col min="14857" max="15104" width="9" style="175"/>
    <col min="15105" max="15105" width="6.3984375" style="175" customWidth="1"/>
    <col min="15106" max="15106" width="8.19921875" style="175" bestFit="1" customWidth="1"/>
    <col min="15107" max="15109" width="10.19921875" style="175" bestFit="1" customWidth="1"/>
    <col min="15110" max="15112" width="10.19921875" style="175" customWidth="1"/>
    <col min="15113" max="15360" width="9" style="175"/>
    <col min="15361" max="15361" width="6.3984375" style="175" customWidth="1"/>
    <col min="15362" max="15362" width="8.19921875" style="175" bestFit="1" customWidth="1"/>
    <col min="15363" max="15365" width="10.19921875" style="175" bestFit="1" customWidth="1"/>
    <col min="15366" max="15368" width="10.19921875" style="175" customWidth="1"/>
    <col min="15369" max="15616" width="9" style="175"/>
    <col min="15617" max="15617" width="6.3984375" style="175" customWidth="1"/>
    <col min="15618" max="15618" width="8.19921875" style="175" bestFit="1" customWidth="1"/>
    <col min="15619" max="15621" width="10.19921875" style="175" bestFit="1" customWidth="1"/>
    <col min="15622" max="15624" width="10.19921875" style="175" customWidth="1"/>
    <col min="15625" max="15872" width="9" style="175"/>
    <col min="15873" max="15873" width="6.3984375" style="175" customWidth="1"/>
    <col min="15874" max="15874" width="8.19921875" style="175" bestFit="1" customWidth="1"/>
    <col min="15875" max="15877" width="10.19921875" style="175" bestFit="1" customWidth="1"/>
    <col min="15878" max="15880" width="10.19921875" style="175" customWidth="1"/>
    <col min="15881" max="16128" width="9" style="175"/>
    <col min="16129" max="16129" width="6.3984375" style="175" customWidth="1"/>
    <col min="16130" max="16130" width="8.19921875" style="175" bestFit="1" customWidth="1"/>
    <col min="16131" max="16133" width="10.19921875" style="175" bestFit="1" customWidth="1"/>
    <col min="16134" max="16136" width="10.19921875" style="175" customWidth="1"/>
    <col min="16137" max="16384" width="9" style="175"/>
  </cols>
  <sheetData>
    <row r="1" spans="1:10" s="172" customFormat="1" ht="25.5" customHeight="1">
      <c r="A1" s="613" t="s">
        <v>1027</v>
      </c>
      <c r="B1" s="613"/>
      <c r="C1" s="613"/>
      <c r="D1" s="613"/>
      <c r="E1" s="613"/>
      <c r="F1" s="613"/>
      <c r="G1" s="613"/>
      <c r="H1" s="613"/>
    </row>
    <row r="2" spans="1:10" s="172" customFormat="1" ht="21" customHeight="1">
      <c r="A2" s="173"/>
      <c r="B2" s="173"/>
      <c r="C2" s="173"/>
      <c r="D2" s="173"/>
      <c r="E2" s="173"/>
      <c r="F2" s="173"/>
      <c r="G2" s="173"/>
      <c r="H2" s="174"/>
    </row>
    <row r="3" spans="1:10" ht="18" customHeight="1">
      <c r="A3" s="180" t="s">
        <v>1028</v>
      </c>
      <c r="B3" s="181" t="s">
        <v>1029</v>
      </c>
      <c r="C3" s="181" t="s">
        <v>1030</v>
      </c>
      <c r="D3" s="513" t="s">
        <v>1031</v>
      </c>
      <c r="E3" s="513" t="s">
        <v>1032</v>
      </c>
      <c r="F3" s="513" t="s">
        <v>1033</v>
      </c>
      <c r="G3" s="181" t="s">
        <v>1034</v>
      </c>
      <c r="H3" s="182" t="s">
        <v>1035</v>
      </c>
    </row>
    <row r="4" spans="1:10" ht="15" customHeight="1">
      <c r="A4" s="183">
        <v>1</v>
      </c>
      <c r="B4" s="184" t="s">
        <v>1036</v>
      </c>
      <c r="C4" s="184">
        <v>95</v>
      </c>
      <c r="D4" s="286" t="s">
        <v>1037</v>
      </c>
      <c r="E4" s="286" t="s">
        <v>1038</v>
      </c>
      <c r="F4" s="286" t="str">
        <f>IF(C4&gt;=80,"O","x")</f>
        <v>O</v>
      </c>
      <c r="G4" s="586" t="str">
        <f>IF(E4=$E$5,"500000",IF(E4=$E$8,"300000","0"))</f>
        <v>0</v>
      </c>
      <c r="H4" s="185" t="str">
        <f>IF(AND(D4="A",E4="A"),200000,"")</f>
        <v/>
      </c>
      <c r="J4" s="175" t="s">
        <v>1709</v>
      </c>
    </row>
    <row r="5" spans="1:10" ht="15" customHeight="1">
      <c r="A5" s="186">
        <v>2</v>
      </c>
      <c r="B5" s="187" t="s">
        <v>1039</v>
      </c>
      <c r="C5" s="187">
        <v>70</v>
      </c>
      <c r="D5" s="287" t="s">
        <v>1040</v>
      </c>
      <c r="E5" s="287" t="s">
        <v>1037</v>
      </c>
      <c r="F5" s="287" t="str">
        <f t="shared" ref="F5:F23" si="0">IF(C5&gt;=80,"O","x")</f>
        <v>x</v>
      </c>
      <c r="G5" s="586" t="str">
        <f t="shared" ref="G5:G23" si="1">IF(E5=$E$5,"500000",IF(E5=$E$8,"300000","0"))</f>
        <v>500000</v>
      </c>
      <c r="H5" s="188" t="str">
        <f t="shared" ref="H5:H23" si="2">IF(AND(D5="A",E5="A"),200000,"")</f>
        <v/>
      </c>
      <c r="J5" s="175" t="s">
        <v>1710</v>
      </c>
    </row>
    <row r="6" spans="1:10" ht="15" customHeight="1">
      <c r="A6" s="183">
        <v>3</v>
      </c>
      <c r="B6" s="184" t="s">
        <v>1041</v>
      </c>
      <c r="C6" s="184">
        <v>85</v>
      </c>
      <c r="D6" s="286" t="s">
        <v>221</v>
      </c>
      <c r="E6" s="286" t="s">
        <v>203</v>
      </c>
      <c r="F6" s="286" t="str">
        <f t="shared" si="0"/>
        <v>O</v>
      </c>
      <c r="G6" s="586" t="str">
        <f t="shared" si="1"/>
        <v>0</v>
      </c>
      <c r="H6" s="185" t="str">
        <f t="shared" si="2"/>
        <v/>
      </c>
      <c r="J6" s="175" t="s">
        <v>1711</v>
      </c>
    </row>
    <row r="7" spans="1:10" ht="15" customHeight="1">
      <c r="A7" s="186">
        <v>4</v>
      </c>
      <c r="B7" s="187" t="s">
        <v>1042</v>
      </c>
      <c r="C7" s="187">
        <v>64</v>
      </c>
      <c r="D7" s="287" t="s">
        <v>209</v>
      </c>
      <c r="E7" s="287" t="s">
        <v>203</v>
      </c>
      <c r="F7" s="287" t="str">
        <f t="shared" si="0"/>
        <v>x</v>
      </c>
      <c r="G7" s="586" t="str">
        <f t="shared" si="1"/>
        <v>0</v>
      </c>
      <c r="H7" s="188" t="str">
        <f t="shared" si="2"/>
        <v/>
      </c>
    </row>
    <row r="8" spans="1:10" ht="15" customHeight="1">
      <c r="A8" s="183">
        <v>5</v>
      </c>
      <c r="B8" s="184" t="s">
        <v>1043</v>
      </c>
      <c r="C8" s="184">
        <v>88</v>
      </c>
      <c r="D8" s="286" t="s">
        <v>203</v>
      </c>
      <c r="E8" s="286" t="s">
        <v>209</v>
      </c>
      <c r="F8" s="286" t="str">
        <f t="shared" si="0"/>
        <v>O</v>
      </c>
      <c r="G8" s="586" t="str">
        <f t="shared" si="1"/>
        <v>300000</v>
      </c>
      <c r="H8" s="185" t="str">
        <f t="shared" si="2"/>
        <v/>
      </c>
    </row>
    <row r="9" spans="1:10" ht="15" customHeight="1">
      <c r="A9" s="186">
        <v>6</v>
      </c>
      <c r="B9" s="187" t="s">
        <v>1044</v>
      </c>
      <c r="C9" s="187">
        <v>56</v>
      </c>
      <c r="D9" s="287" t="s">
        <v>209</v>
      </c>
      <c r="E9" s="287" t="s">
        <v>206</v>
      </c>
      <c r="F9" s="287" t="str">
        <f t="shared" si="0"/>
        <v>x</v>
      </c>
      <c r="G9" s="586" t="str">
        <f t="shared" si="1"/>
        <v>500000</v>
      </c>
      <c r="H9" s="188" t="str">
        <f t="shared" si="2"/>
        <v/>
      </c>
    </row>
    <row r="10" spans="1:10" ht="15" customHeight="1">
      <c r="A10" s="183">
        <v>7</v>
      </c>
      <c r="B10" s="184" t="s">
        <v>1045</v>
      </c>
      <c r="C10" s="184">
        <v>37</v>
      </c>
      <c r="D10" s="286" t="s">
        <v>209</v>
      </c>
      <c r="E10" s="286" t="s">
        <v>206</v>
      </c>
      <c r="F10" s="286" t="str">
        <f t="shared" si="0"/>
        <v>x</v>
      </c>
      <c r="G10" s="586" t="str">
        <f t="shared" si="1"/>
        <v>500000</v>
      </c>
      <c r="H10" s="185" t="str">
        <f t="shared" si="2"/>
        <v/>
      </c>
    </row>
    <row r="11" spans="1:10" ht="15" customHeight="1">
      <c r="A11" s="186">
        <v>8</v>
      </c>
      <c r="B11" s="187" t="s">
        <v>1046</v>
      </c>
      <c r="C11" s="187">
        <v>66</v>
      </c>
      <c r="D11" s="287" t="s">
        <v>206</v>
      </c>
      <c r="E11" s="287" t="s">
        <v>209</v>
      </c>
      <c r="F11" s="287" t="str">
        <f t="shared" si="0"/>
        <v>x</v>
      </c>
      <c r="G11" s="586" t="str">
        <f t="shared" si="1"/>
        <v>300000</v>
      </c>
      <c r="H11" s="188" t="str">
        <f t="shared" si="2"/>
        <v/>
      </c>
      <c r="J11" s="176"/>
    </row>
    <row r="12" spans="1:10" ht="15" customHeight="1">
      <c r="A12" s="183">
        <v>9</v>
      </c>
      <c r="B12" s="184" t="s">
        <v>1047</v>
      </c>
      <c r="C12" s="184">
        <v>90</v>
      </c>
      <c r="D12" s="286" t="s">
        <v>206</v>
      </c>
      <c r="E12" s="286" t="s">
        <v>209</v>
      </c>
      <c r="F12" s="286" t="str">
        <f t="shared" si="0"/>
        <v>O</v>
      </c>
      <c r="G12" s="586" t="str">
        <f t="shared" si="1"/>
        <v>300000</v>
      </c>
      <c r="H12" s="185" t="str">
        <f t="shared" si="2"/>
        <v/>
      </c>
    </row>
    <row r="13" spans="1:10" ht="15" customHeight="1">
      <c r="A13" s="186">
        <v>10</v>
      </c>
      <c r="B13" s="187" t="s">
        <v>1048</v>
      </c>
      <c r="C13" s="187">
        <v>70</v>
      </c>
      <c r="D13" s="287" t="s">
        <v>203</v>
      </c>
      <c r="E13" s="287" t="s">
        <v>203</v>
      </c>
      <c r="F13" s="287" t="str">
        <f t="shared" si="0"/>
        <v>x</v>
      </c>
      <c r="G13" s="586" t="str">
        <f t="shared" si="1"/>
        <v>0</v>
      </c>
      <c r="H13" s="188" t="str">
        <f t="shared" si="2"/>
        <v/>
      </c>
    </row>
    <row r="14" spans="1:10" ht="15" customHeight="1">
      <c r="A14" s="183">
        <v>11</v>
      </c>
      <c r="B14" s="184" t="s">
        <v>1049</v>
      </c>
      <c r="C14" s="184">
        <v>80</v>
      </c>
      <c r="D14" s="286" t="s">
        <v>221</v>
      </c>
      <c r="E14" s="286" t="s">
        <v>221</v>
      </c>
      <c r="F14" s="286" t="str">
        <f t="shared" si="0"/>
        <v>O</v>
      </c>
      <c r="G14" s="586" t="str">
        <f t="shared" si="1"/>
        <v>0</v>
      </c>
      <c r="H14" s="185" t="str">
        <f t="shared" si="2"/>
        <v/>
      </c>
    </row>
    <row r="15" spans="1:10" ht="15" customHeight="1">
      <c r="A15" s="186">
        <v>12</v>
      </c>
      <c r="B15" s="187" t="s">
        <v>1050</v>
      </c>
      <c r="C15" s="187">
        <v>64</v>
      </c>
      <c r="D15" s="287" t="s">
        <v>617</v>
      </c>
      <c r="E15" s="287" t="s">
        <v>221</v>
      </c>
      <c r="F15" s="287" t="str">
        <f t="shared" si="0"/>
        <v>x</v>
      </c>
      <c r="G15" s="586" t="str">
        <f t="shared" si="1"/>
        <v>0</v>
      </c>
      <c r="H15" s="188" t="str">
        <f t="shared" si="2"/>
        <v/>
      </c>
    </row>
    <row r="16" spans="1:10" ht="15" customHeight="1">
      <c r="A16" s="183">
        <v>13</v>
      </c>
      <c r="B16" s="184" t="s">
        <v>1051</v>
      </c>
      <c r="C16" s="184">
        <v>54</v>
      </c>
      <c r="D16" s="286" t="s">
        <v>203</v>
      </c>
      <c r="E16" s="286" t="s">
        <v>617</v>
      </c>
      <c r="F16" s="286" t="str">
        <f t="shared" si="0"/>
        <v>x</v>
      </c>
      <c r="G16" s="586" t="str">
        <f t="shared" si="1"/>
        <v>0</v>
      </c>
      <c r="H16" s="185" t="str">
        <f t="shared" si="2"/>
        <v/>
      </c>
    </row>
    <row r="17" spans="1:8" ht="15" customHeight="1">
      <c r="A17" s="186">
        <v>14</v>
      </c>
      <c r="B17" s="187" t="s">
        <v>1052</v>
      </c>
      <c r="C17" s="187">
        <v>85</v>
      </c>
      <c r="D17" s="287" t="s">
        <v>203</v>
      </c>
      <c r="E17" s="287" t="s">
        <v>221</v>
      </c>
      <c r="F17" s="287" t="str">
        <f t="shared" si="0"/>
        <v>O</v>
      </c>
      <c r="G17" s="586" t="str">
        <f t="shared" si="1"/>
        <v>0</v>
      </c>
      <c r="H17" s="188" t="str">
        <f t="shared" si="2"/>
        <v/>
      </c>
    </row>
    <row r="18" spans="1:8" ht="15" customHeight="1">
      <c r="A18" s="183">
        <v>15</v>
      </c>
      <c r="B18" s="184" t="s">
        <v>1053</v>
      </c>
      <c r="C18" s="184">
        <v>98</v>
      </c>
      <c r="D18" s="286" t="s">
        <v>209</v>
      </c>
      <c r="E18" s="286" t="s">
        <v>221</v>
      </c>
      <c r="F18" s="286" t="str">
        <f t="shared" si="0"/>
        <v>O</v>
      </c>
      <c r="G18" s="586" t="str">
        <f t="shared" si="1"/>
        <v>0</v>
      </c>
      <c r="H18" s="185" t="str">
        <f t="shared" si="2"/>
        <v/>
      </c>
    </row>
    <row r="19" spans="1:8" ht="15" customHeight="1">
      <c r="A19" s="186">
        <v>16</v>
      </c>
      <c r="B19" s="187" t="s">
        <v>1054</v>
      </c>
      <c r="C19" s="187">
        <v>100</v>
      </c>
      <c r="D19" s="287" t="s">
        <v>221</v>
      </c>
      <c r="E19" s="287" t="s">
        <v>203</v>
      </c>
      <c r="F19" s="287" t="str">
        <f t="shared" si="0"/>
        <v>O</v>
      </c>
      <c r="G19" s="586" t="str">
        <f t="shared" si="1"/>
        <v>0</v>
      </c>
      <c r="H19" s="188" t="str">
        <f t="shared" si="2"/>
        <v/>
      </c>
    </row>
    <row r="20" spans="1:8" ht="15" customHeight="1">
      <c r="A20" s="183">
        <v>17</v>
      </c>
      <c r="B20" s="184" t="s">
        <v>367</v>
      </c>
      <c r="C20" s="184">
        <v>88</v>
      </c>
      <c r="D20" s="286" t="s">
        <v>206</v>
      </c>
      <c r="E20" s="286" t="s">
        <v>206</v>
      </c>
      <c r="F20" s="286" t="str">
        <f t="shared" si="0"/>
        <v>O</v>
      </c>
      <c r="G20" s="586" t="str">
        <f t="shared" si="1"/>
        <v>500000</v>
      </c>
      <c r="H20" s="185">
        <f t="shared" si="2"/>
        <v>200000</v>
      </c>
    </row>
    <row r="21" spans="1:8" ht="15" customHeight="1">
      <c r="A21" s="186">
        <v>18</v>
      </c>
      <c r="B21" s="187" t="s">
        <v>1055</v>
      </c>
      <c r="C21" s="187">
        <v>77</v>
      </c>
      <c r="D21" s="287" t="s">
        <v>203</v>
      </c>
      <c r="E21" s="287" t="s">
        <v>209</v>
      </c>
      <c r="F21" s="287" t="str">
        <f t="shared" si="0"/>
        <v>x</v>
      </c>
      <c r="G21" s="586" t="str">
        <f t="shared" si="1"/>
        <v>300000</v>
      </c>
      <c r="H21" s="188" t="str">
        <f t="shared" si="2"/>
        <v/>
      </c>
    </row>
    <row r="22" spans="1:8" ht="15" customHeight="1">
      <c r="A22" s="183">
        <v>19</v>
      </c>
      <c r="B22" s="184" t="s">
        <v>1056</v>
      </c>
      <c r="C22" s="184">
        <v>65</v>
      </c>
      <c r="D22" s="286" t="s">
        <v>209</v>
      </c>
      <c r="E22" s="286" t="s">
        <v>209</v>
      </c>
      <c r="F22" s="286" t="str">
        <f t="shared" si="0"/>
        <v>x</v>
      </c>
      <c r="G22" s="586" t="str">
        <f t="shared" si="1"/>
        <v>300000</v>
      </c>
      <c r="H22" s="185" t="str">
        <f t="shared" si="2"/>
        <v/>
      </c>
    </row>
    <row r="23" spans="1:8" ht="15" customHeight="1">
      <c r="A23" s="177">
        <v>20</v>
      </c>
      <c r="B23" s="178" t="s">
        <v>1057</v>
      </c>
      <c r="C23" s="178">
        <v>46</v>
      </c>
      <c r="D23" s="514" t="s">
        <v>209</v>
      </c>
      <c r="E23" s="514" t="s">
        <v>206</v>
      </c>
      <c r="F23" s="514" t="str">
        <f t="shared" si="0"/>
        <v>x</v>
      </c>
      <c r="G23" s="586" t="str">
        <f t="shared" si="1"/>
        <v>500000</v>
      </c>
      <c r="H23" s="179" t="str">
        <f t="shared" si="2"/>
        <v/>
      </c>
    </row>
    <row r="24" spans="1:8">
      <c r="A24"/>
      <c r="B24"/>
      <c r="C24"/>
      <c r="D24" s="515"/>
      <c r="E24" s="515"/>
      <c r="F24" s="515"/>
      <c r="G24"/>
      <c r="H24"/>
    </row>
  </sheetData>
  <mergeCells count="1">
    <mergeCell ref="A1:H1"/>
  </mergeCells>
  <phoneticPr fontId="8" type="noConversion"/>
  <printOptions headings="1" gridLines="1"/>
  <pageMargins left="0.59" right="0.74803149606299213" top="0.98425196850393704" bottom="0.98425196850393704" header="0.51181102362204722" footer="0.51181102362204722"/>
  <pageSetup paperSize="9" orientation="landscape" cellComments="asDisplayed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showGridLines="0" topLeftCell="B1" workbookViewId="0">
      <selection activeCell="L4" sqref="L4:L23"/>
    </sheetView>
  </sheetViews>
  <sheetFormatPr defaultColWidth="8.8984375" defaultRowHeight="15.6"/>
  <cols>
    <col min="1" max="1" width="1.796875" style="56" customWidth="1"/>
    <col min="2" max="2" width="10.19921875" style="56" customWidth="1"/>
    <col min="3" max="3" width="10.3984375" style="56" customWidth="1"/>
    <col min="4" max="7" width="10" style="56" customWidth="1"/>
    <col min="8" max="12" width="10.8984375" style="56" customWidth="1"/>
    <col min="13" max="13" width="1.796875" style="56" customWidth="1"/>
    <col min="14" max="16384" width="8.8984375" style="56"/>
  </cols>
  <sheetData>
    <row r="1" spans="2:14" ht="25.2">
      <c r="B1" s="614" t="s">
        <v>248</v>
      </c>
      <c r="C1" s="614"/>
      <c r="D1" s="614"/>
      <c r="E1" s="614"/>
      <c r="F1" s="614"/>
      <c r="G1" s="614"/>
      <c r="H1" s="614"/>
      <c r="I1" s="614"/>
      <c r="J1" s="614"/>
      <c r="K1" s="614"/>
      <c r="L1" s="614"/>
    </row>
    <row r="2" spans="2:14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2:14" s="57" customFormat="1" ht="25.5" customHeight="1">
      <c r="B3" s="309" t="s">
        <v>247</v>
      </c>
      <c r="C3" s="309" t="s">
        <v>1409</v>
      </c>
      <c r="D3" s="310" t="s">
        <v>246</v>
      </c>
      <c r="E3" s="310" t="s">
        <v>245</v>
      </c>
      <c r="F3" s="310" t="s">
        <v>244</v>
      </c>
      <c r="G3" s="310" t="s">
        <v>243</v>
      </c>
      <c r="H3" s="310" t="s">
        <v>242</v>
      </c>
      <c r="I3" s="310" t="s">
        <v>241</v>
      </c>
      <c r="J3" s="310" t="s">
        <v>240</v>
      </c>
      <c r="K3" s="310" t="s">
        <v>239</v>
      </c>
      <c r="L3" s="310" t="s">
        <v>238</v>
      </c>
    </row>
    <row r="4" spans="2:14" s="57" customFormat="1" ht="16.5" customHeight="1">
      <c r="B4" s="311" t="s">
        <v>208</v>
      </c>
      <c r="C4" s="312" t="s">
        <v>237</v>
      </c>
      <c r="D4" s="311">
        <v>88</v>
      </c>
      <c r="E4" s="311">
        <v>50</v>
      </c>
      <c r="F4" s="311">
        <v>95</v>
      </c>
      <c r="G4" s="311" t="s">
        <v>217</v>
      </c>
      <c r="H4" s="313">
        <f t="shared" ref="H4:H23" si="0">AVERAGE(D4:F4)</f>
        <v>77.666666666666671</v>
      </c>
      <c r="I4" s="313" t="str">
        <f>IF(H4&gt;=80,"합격","불합격")</f>
        <v>불합격</v>
      </c>
      <c r="J4" s="313" t="str">
        <f>IF(H4&gt;=90,"상",IF(H4&gt;=80, "중","하"))</f>
        <v>하</v>
      </c>
      <c r="K4" s="313" t="str">
        <f>IF(AND(G4="A",H4&gt;=80),"O","")</f>
        <v/>
      </c>
      <c r="L4" s="313" t="str">
        <f>IF(OR(D4&lt;60,E4&lt;60,F4&lt;60),"●","")</f>
        <v>●</v>
      </c>
      <c r="N4" s="57" t="s">
        <v>236</v>
      </c>
    </row>
    <row r="5" spans="2:14" s="57" customFormat="1" ht="16.5" customHeight="1">
      <c r="B5" s="311" t="s">
        <v>211</v>
      </c>
      <c r="C5" s="312" t="s">
        <v>235</v>
      </c>
      <c r="D5" s="311">
        <v>98</v>
      </c>
      <c r="E5" s="311">
        <v>74</v>
      </c>
      <c r="F5" s="311">
        <v>70</v>
      </c>
      <c r="G5" s="311" t="s">
        <v>214</v>
      </c>
      <c r="H5" s="313">
        <f t="shared" si="0"/>
        <v>80.666666666666671</v>
      </c>
      <c r="I5" s="313" t="str">
        <f t="shared" ref="I5:I23" si="1">IF(H5&gt;=80,"합격","불합격")</f>
        <v>합격</v>
      </c>
      <c r="J5" s="313" t="str">
        <f t="shared" ref="J5:J23" si="2">IF(H5&gt;=90,"상",IF(H5&gt;=80, "중","하"))</f>
        <v>중</v>
      </c>
      <c r="K5" s="313" t="str">
        <f t="shared" ref="K5:K23" si="3">IF(AND(G5="A",H5&gt;=80),"O","")</f>
        <v/>
      </c>
      <c r="L5" s="313" t="str">
        <f t="shared" ref="L5:L23" si="4">IF(OR(D5&lt;60,E5&lt;60,F5&lt;60),"●","")</f>
        <v/>
      </c>
      <c r="N5" s="57" t="s">
        <v>234</v>
      </c>
    </row>
    <row r="6" spans="2:14" s="57" customFormat="1" ht="16.5" customHeight="1">
      <c r="B6" s="311" t="s">
        <v>216</v>
      </c>
      <c r="C6" s="312" t="s">
        <v>233</v>
      </c>
      <c r="D6" s="311">
        <v>93</v>
      </c>
      <c r="E6" s="311">
        <v>93</v>
      </c>
      <c r="F6" s="311">
        <v>85</v>
      </c>
      <c r="G6" s="311" t="s">
        <v>223</v>
      </c>
      <c r="H6" s="313">
        <f t="shared" si="0"/>
        <v>90.333333333333329</v>
      </c>
      <c r="I6" s="313" t="str">
        <f t="shared" si="1"/>
        <v>합격</v>
      </c>
      <c r="J6" s="313" t="str">
        <f t="shared" si="2"/>
        <v>상</v>
      </c>
      <c r="K6" s="313" t="str">
        <f t="shared" si="3"/>
        <v/>
      </c>
      <c r="L6" s="313" t="str">
        <f t="shared" si="4"/>
        <v/>
      </c>
      <c r="N6" s="57" t="s">
        <v>232</v>
      </c>
    </row>
    <row r="7" spans="2:14" s="57" customFormat="1" ht="16.5" customHeight="1">
      <c r="B7" s="311" t="s">
        <v>205</v>
      </c>
      <c r="C7" s="312" t="s">
        <v>231</v>
      </c>
      <c r="D7" s="311">
        <v>91</v>
      </c>
      <c r="E7" s="311">
        <v>95</v>
      </c>
      <c r="F7" s="311">
        <v>64</v>
      </c>
      <c r="G7" s="311" t="s">
        <v>214</v>
      </c>
      <c r="H7" s="313">
        <f t="shared" si="0"/>
        <v>83.333333333333329</v>
      </c>
      <c r="I7" s="313" t="str">
        <f t="shared" si="1"/>
        <v>합격</v>
      </c>
      <c r="J7" s="313" t="str">
        <f t="shared" si="2"/>
        <v>중</v>
      </c>
      <c r="K7" s="313" t="str">
        <f t="shared" si="3"/>
        <v/>
      </c>
      <c r="L7" s="313" t="str">
        <f t="shared" si="4"/>
        <v/>
      </c>
      <c r="N7" s="57" t="s">
        <v>1410</v>
      </c>
    </row>
    <row r="8" spans="2:14" s="57" customFormat="1" ht="16.5" customHeight="1">
      <c r="B8" s="311" t="s">
        <v>216</v>
      </c>
      <c r="C8" s="312" t="s">
        <v>230</v>
      </c>
      <c r="D8" s="311">
        <v>94</v>
      </c>
      <c r="E8" s="311">
        <v>76</v>
      </c>
      <c r="F8" s="311">
        <v>88</v>
      </c>
      <c r="G8" s="311" t="s">
        <v>219</v>
      </c>
      <c r="H8" s="313">
        <f t="shared" si="0"/>
        <v>86</v>
      </c>
      <c r="I8" s="313" t="str">
        <f t="shared" si="1"/>
        <v>합격</v>
      </c>
      <c r="J8" s="313" t="str">
        <f t="shared" si="2"/>
        <v>중</v>
      </c>
      <c r="K8" s="313" t="str">
        <f t="shared" si="3"/>
        <v/>
      </c>
      <c r="L8" s="313" t="str">
        <f t="shared" si="4"/>
        <v/>
      </c>
    </row>
    <row r="9" spans="2:14" s="57" customFormat="1" ht="16.5" customHeight="1">
      <c r="B9" s="311" t="s">
        <v>208</v>
      </c>
      <c r="C9" s="312" t="s">
        <v>229</v>
      </c>
      <c r="D9" s="311">
        <v>91</v>
      </c>
      <c r="E9" s="311">
        <v>53</v>
      </c>
      <c r="F9" s="311">
        <v>56</v>
      </c>
      <c r="G9" s="311" t="s">
        <v>217</v>
      </c>
      <c r="H9" s="313">
        <f t="shared" si="0"/>
        <v>66.666666666666671</v>
      </c>
      <c r="I9" s="313" t="str">
        <f t="shared" si="1"/>
        <v>불합격</v>
      </c>
      <c r="J9" s="313" t="str">
        <f t="shared" si="2"/>
        <v>하</v>
      </c>
      <c r="K9" s="313" t="str">
        <f t="shared" si="3"/>
        <v/>
      </c>
      <c r="L9" s="313" t="str">
        <f t="shared" si="4"/>
        <v>●</v>
      </c>
    </row>
    <row r="10" spans="2:14" s="57" customFormat="1" ht="16.5" customHeight="1">
      <c r="B10" s="311" t="s">
        <v>211</v>
      </c>
      <c r="C10" s="312" t="s">
        <v>228</v>
      </c>
      <c r="D10" s="311">
        <v>95</v>
      </c>
      <c r="E10" s="311">
        <v>89</v>
      </c>
      <c r="F10" s="311">
        <v>37</v>
      </c>
      <c r="G10" s="311" t="s">
        <v>214</v>
      </c>
      <c r="H10" s="313">
        <f t="shared" si="0"/>
        <v>73.666666666666671</v>
      </c>
      <c r="I10" s="313" t="str">
        <f t="shared" si="1"/>
        <v>불합격</v>
      </c>
      <c r="J10" s="313" t="str">
        <f t="shared" si="2"/>
        <v>하</v>
      </c>
      <c r="K10" s="313" t="str">
        <f t="shared" si="3"/>
        <v/>
      </c>
      <c r="L10" s="313" t="str">
        <f t="shared" si="4"/>
        <v>●</v>
      </c>
    </row>
    <row r="11" spans="2:14" s="57" customFormat="1" ht="16.5" customHeight="1">
      <c r="B11" s="311" t="s">
        <v>216</v>
      </c>
      <c r="C11" s="312" t="s">
        <v>227</v>
      </c>
      <c r="D11" s="311">
        <v>96</v>
      </c>
      <c r="E11" s="311">
        <v>96</v>
      </c>
      <c r="F11" s="311">
        <v>66</v>
      </c>
      <c r="G11" s="311" t="s">
        <v>217</v>
      </c>
      <c r="H11" s="313">
        <f t="shared" si="0"/>
        <v>86</v>
      </c>
      <c r="I11" s="313" t="str">
        <f t="shared" si="1"/>
        <v>합격</v>
      </c>
      <c r="J11" s="313" t="str">
        <f t="shared" si="2"/>
        <v>중</v>
      </c>
      <c r="K11" s="313" t="str">
        <f t="shared" si="3"/>
        <v>O</v>
      </c>
      <c r="L11" s="313" t="str">
        <f t="shared" si="4"/>
        <v/>
      </c>
    </row>
    <row r="12" spans="2:14" s="57" customFormat="1" ht="16.5" customHeight="1">
      <c r="B12" s="311" t="s">
        <v>211</v>
      </c>
      <c r="C12" s="312" t="s">
        <v>226</v>
      </c>
      <c r="D12" s="311">
        <v>88</v>
      </c>
      <c r="E12" s="311">
        <v>56</v>
      </c>
      <c r="F12" s="311">
        <v>90</v>
      </c>
      <c r="G12" s="311" t="s">
        <v>217</v>
      </c>
      <c r="H12" s="313">
        <f t="shared" si="0"/>
        <v>78</v>
      </c>
      <c r="I12" s="313" t="str">
        <f t="shared" si="1"/>
        <v>불합격</v>
      </c>
      <c r="J12" s="313" t="str">
        <f t="shared" si="2"/>
        <v>하</v>
      </c>
      <c r="K12" s="313" t="str">
        <f t="shared" si="3"/>
        <v/>
      </c>
      <c r="L12" s="313" t="str">
        <f t="shared" si="4"/>
        <v>●</v>
      </c>
    </row>
    <row r="13" spans="2:14" s="57" customFormat="1" ht="16.5" customHeight="1">
      <c r="B13" s="311" t="s">
        <v>211</v>
      </c>
      <c r="C13" s="312" t="s">
        <v>225</v>
      </c>
      <c r="D13" s="311">
        <v>96</v>
      </c>
      <c r="E13" s="311">
        <v>80</v>
      </c>
      <c r="F13" s="311">
        <v>70</v>
      </c>
      <c r="G13" s="311" t="s">
        <v>219</v>
      </c>
      <c r="H13" s="313">
        <f t="shared" si="0"/>
        <v>82</v>
      </c>
      <c r="I13" s="313" t="str">
        <f t="shared" si="1"/>
        <v>합격</v>
      </c>
      <c r="J13" s="313" t="str">
        <f t="shared" si="2"/>
        <v>중</v>
      </c>
      <c r="K13" s="313" t="str">
        <f t="shared" si="3"/>
        <v/>
      </c>
      <c r="L13" s="313" t="str">
        <f t="shared" si="4"/>
        <v/>
      </c>
    </row>
    <row r="14" spans="2:14" s="57" customFormat="1" ht="16.5" customHeight="1">
      <c r="B14" s="311" t="s">
        <v>211</v>
      </c>
      <c r="C14" s="312" t="s">
        <v>224</v>
      </c>
      <c r="D14" s="311">
        <v>98</v>
      </c>
      <c r="E14" s="311">
        <v>98</v>
      </c>
      <c r="F14" s="311">
        <v>80</v>
      </c>
      <c r="G14" s="311" t="s">
        <v>223</v>
      </c>
      <c r="H14" s="313">
        <f t="shared" si="0"/>
        <v>92</v>
      </c>
      <c r="I14" s="313" t="str">
        <f t="shared" si="1"/>
        <v>합격</v>
      </c>
      <c r="J14" s="313" t="str">
        <f t="shared" si="2"/>
        <v>상</v>
      </c>
      <c r="K14" s="313" t="str">
        <f t="shared" si="3"/>
        <v/>
      </c>
      <c r="L14" s="313" t="str">
        <f t="shared" si="4"/>
        <v/>
      </c>
    </row>
    <row r="15" spans="2:14" s="57" customFormat="1" ht="16.5" customHeight="1">
      <c r="B15" s="311" t="s">
        <v>208</v>
      </c>
      <c r="C15" s="312" t="s">
        <v>222</v>
      </c>
      <c r="D15" s="311">
        <v>95</v>
      </c>
      <c r="E15" s="311">
        <v>90</v>
      </c>
      <c r="F15" s="311">
        <v>64</v>
      </c>
      <c r="G15" s="311" t="s">
        <v>221</v>
      </c>
      <c r="H15" s="313">
        <f t="shared" si="0"/>
        <v>83</v>
      </c>
      <c r="I15" s="313" t="str">
        <f t="shared" si="1"/>
        <v>합격</v>
      </c>
      <c r="J15" s="313" t="str">
        <f t="shared" si="2"/>
        <v>중</v>
      </c>
      <c r="K15" s="313" t="str">
        <f t="shared" si="3"/>
        <v/>
      </c>
      <c r="L15" s="313" t="str">
        <f t="shared" si="4"/>
        <v/>
      </c>
    </row>
    <row r="16" spans="2:14" s="57" customFormat="1" ht="16.5" customHeight="1">
      <c r="B16" s="311" t="s">
        <v>211</v>
      </c>
      <c r="C16" s="312" t="s">
        <v>220</v>
      </c>
      <c r="D16" s="311">
        <v>90</v>
      </c>
      <c r="E16" s="311">
        <v>95</v>
      </c>
      <c r="F16" s="311">
        <v>54</v>
      </c>
      <c r="G16" s="311" t="s">
        <v>219</v>
      </c>
      <c r="H16" s="313">
        <f t="shared" si="0"/>
        <v>79.666666666666671</v>
      </c>
      <c r="I16" s="313" t="str">
        <f t="shared" si="1"/>
        <v>불합격</v>
      </c>
      <c r="J16" s="313" t="str">
        <f t="shared" si="2"/>
        <v>하</v>
      </c>
      <c r="K16" s="313" t="str">
        <f t="shared" si="3"/>
        <v/>
      </c>
      <c r="L16" s="313" t="str">
        <f t="shared" si="4"/>
        <v>●</v>
      </c>
    </row>
    <row r="17" spans="2:12" s="57" customFormat="1" ht="16.5" customHeight="1">
      <c r="B17" s="311" t="s">
        <v>205</v>
      </c>
      <c r="C17" s="312" t="s">
        <v>218</v>
      </c>
      <c r="D17" s="311">
        <v>95</v>
      </c>
      <c r="E17" s="311">
        <v>45</v>
      </c>
      <c r="F17" s="311">
        <v>85</v>
      </c>
      <c r="G17" s="311" t="s">
        <v>217</v>
      </c>
      <c r="H17" s="313">
        <f t="shared" si="0"/>
        <v>75</v>
      </c>
      <c r="I17" s="313" t="str">
        <f t="shared" si="1"/>
        <v>불합격</v>
      </c>
      <c r="J17" s="313" t="str">
        <f t="shared" si="2"/>
        <v>하</v>
      </c>
      <c r="K17" s="313" t="str">
        <f t="shared" si="3"/>
        <v/>
      </c>
      <c r="L17" s="313" t="str">
        <f t="shared" si="4"/>
        <v>●</v>
      </c>
    </row>
    <row r="18" spans="2:12" s="57" customFormat="1" ht="16.5" customHeight="1">
      <c r="B18" s="311" t="s">
        <v>216</v>
      </c>
      <c r="C18" s="312" t="s">
        <v>215</v>
      </c>
      <c r="D18" s="311">
        <v>89</v>
      </c>
      <c r="E18" s="311">
        <v>88</v>
      </c>
      <c r="F18" s="311">
        <v>98</v>
      </c>
      <c r="G18" s="311" t="s">
        <v>214</v>
      </c>
      <c r="H18" s="313">
        <f t="shared" si="0"/>
        <v>91.666666666666671</v>
      </c>
      <c r="I18" s="313" t="str">
        <f t="shared" si="1"/>
        <v>합격</v>
      </c>
      <c r="J18" s="313" t="str">
        <f t="shared" si="2"/>
        <v>상</v>
      </c>
      <c r="K18" s="313" t="str">
        <f t="shared" si="3"/>
        <v/>
      </c>
      <c r="L18" s="313" t="str">
        <f t="shared" si="4"/>
        <v/>
      </c>
    </row>
    <row r="19" spans="2:12" s="57" customFormat="1" ht="16.5" customHeight="1">
      <c r="B19" s="311" t="s">
        <v>205</v>
      </c>
      <c r="C19" s="312" t="s">
        <v>213</v>
      </c>
      <c r="D19" s="311">
        <v>90</v>
      </c>
      <c r="E19" s="311">
        <v>91</v>
      </c>
      <c r="F19" s="311">
        <v>76</v>
      </c>
      <c r="G19" s="311" t="s">
        <v>206</v>
      </c>
      <c r="H19" s="313">
        <f t="shared" si="0"/>
        <v>85.666666666666671</v>
      </c>
      <c r="I19" s="313" t="str">
        <f t="shared" si="1"/>
        <v>합격</v>
      </c>
      <c r="J19" s="313" t="str">
        <f t="shared" si="2"/>
        <v>중</v>
      </c>
      <c r="K19" s="313" t="str">
        <f t="shared" si="3"/>
        <v>O</v>
      </c>
      <c r="L19" s="313" t="str">
        <f t="shared" si="4"/>
        <v/>
      </c>
    </row>
    <row r="20" spans="2:12" s="57" customFormat="1" ht="16.5" customHeight="1">
      <c r="B20" s="311" t="s">
        <v>211</v>
      </c>
      <c r="C20" s="312" t="s">
        <v>212</v>
      </c>
      <c r="D20" s="311">
        <v>95</v>
      </c>
      <c r="E20" s="311">
        <v>97</v>
      </c>
      <c r="F20" s="311">
        <v>86</v>
      </c>
      <c r="G20" s="311" t="s">
        <v>203</v>
      </c>
      <c r="H20" s="313">
        <f t="shared" si="0"/>
        <v>92.666666666666671</v>
      </c>
      <c r="I20" s="313" t="str">
        <f t="shared" si="1"/>
        <v>합격</v>
      </c>
      <c r="J20" s="313" t="str">
        <f t="shared" si="2"/>
        <v>상</v>
      </c>
      <c r="K20" s="313" t="str">
        <f t="shared" si="3"/>
        <v/>
      </c>
      <c r="L20" s="313" t="str">
        <f t="shared" si="4"/>
        <v/>
      </c>
    </row>
    <row r="21" spans="2:12" s="57" customFormat="1" ht="16.5" customHeight="1">
      <c r="B21" s="311" t="s">
        <v>211</v>
      </c>
      <c r="C21" s="312" t="s">
        <v>210</v>
      </c>
      <c r="D21" s="311">
        <v>95</v>
      </c>
      <c r="E21" s="311">
        <v>96</v>
      </c>
      <c r="F21" s="311">
        <v>80</v>
      </c>
      <c r="G21" s="311" t="s">
        <v>209</v>
      </c>
      <c r="H21" s="313">
        <f t="shared" si="0"/>
        <v>90.333333333333329</v>
      </c>
      <c r="I21" s="313" t="str">
        <f t="shared" si="1"/>
        <v>합격</v>
      </c>
      <c r="J21" s="313" t="str">
        <f t="shared" si="2"/>
        <v>상</v>
      </c>
      <c r="K21" s="313" t="str">
        <f t="shared" si="3"/>
        <v/>
      </c>
      <c r="L21" s="313" t="str">
        <f t="shared" si="4"/>
        <v/>
      </c>
    </row>
    <row r="22" spans="2:12" s="57" customFormat="1" ht="16.5" customHeight="1">
      <c r="B22" s="311" t="s">
        <v>208</v>
      </c>
      <c r="C22" s="312" t="s">
        <v>207</v>
      </c>
      <c r="D22" s="311">
        <v>94</v>
      </c>
      <c r="E22" s="311">
        <v>90</v>
      </c>
      <c r="F22" s="311">
        <v>88</v>
      </c>
      <c r="G22" s="311" t="s">
        <v>206</v>
      </c>
      <c r="H22" s="313">
        <f t="shared" si="0"/>
        <v>90.666666666666671</v>
      </c>
      <c r="I22" s="313" t="str">
        <f t="shared" si="1"/>
        <v>합격</v>
      </c>
      <c r="J22" s="313" t="str">
        <f t="shared" si="2"/>
        <v>상</v>
      </c>
      <c r="K22" s="313" t="str">
        <f t="shared" si="3"/>
        <v>O</v>
      </c>
      <c r="L22" s="313" t="str">
        <f t="shared" si="4"/>
        <v/>
      </c>
    </row>
    <row r="23" spans="2:12" s="57" customFormat="1" ht="16.5" customHeight="1">
      <c r="B23" s="311" t="s">
        <v>205</v>
      </c>
      <c r="C23" s="312" t="s">
        <v>204</v>
      </c>
      <c r="D23" s="311">
        <v>97</v>
      </c>
      <c r="E23" s="311">
        <v>58</v>
      </c>
      <c r="F23" s="311">
        <v>82</v>
      </c>
      <c r="G23" s="311" t="s">
        <v>203</v>
      </c>
      <c r="H23" s="313">
        <f t="shared" si="0"/>
        <v>79</v>
      </c>
      <c r="I23" s="313" t="str">
        <f t="shared" si="1"/>
        <v>불합격</v>
      </c>
      <c r="J23" s="313" t="str">
        <f t="shared" si="2"/>
        <v>하</v>
      </c>
      <c r="K23" s="313" t="str">
        <f t="shared" si="3"/>
        <v/>
      </c>
      <c r="L23" s="313" t="str">
        <f t="shared" si="4"/>
        <v>●</v>
      </c>
    </row>
  </sheetData>
  <mergeCells count="1">
    <mergeCell ref="B1:L1"/>
  </mergeCells>
  <phoneticPr fontId="8" type="noConversion"/>
  <pageMargins left="0.75" right="0.75" top="1" bottom="1" header="0.5" footer="0.5"/>
  <pageSetup paperSize="9" orientation="portrait" horizontalDpi="300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I12" sqref="I12"/>
    </sheetView>
  </sheetViews>
  <sheetFormatPr defaultColWidth="9" defaultRowHeight="17.399999999999999"/>
  <cols>
    <col min="1" max="1" width="4" style="190" customWidth="1"/>
    <col min="2" max="4" width="13.69921875" style="190" customWidth="1"/>
    <col min="5" max="16384" width="9" style="189"/>
  </cols>
  <sheetData>
    <row r="1" spans="1:4" s="194" customFormat="1" ht="27.6">
      <c r="A1" s="190"/>
      <c r="B1" s="195" t="s">
        <v>1082</v>
      </c>
      <c r="C1" s="195"/>
      <c r="D1" s="195"/>
    </row>
    <row r="2" spans="1:4" s="194" customFormat="1">
      <c r="A2" s="190"/>
      <c r="B2" s="190"/>
      <c r="C2" s="190"/>
      <c r="D2" s="190"/>
    </row>
    <row r="3" spans="1:4" s="191" customFormat="1" ht="25.5" customHeight="1">
      <c r="A3" s="190"/>
      <c r="B3" s="231" t="s">
        <v>1081</v>
      </c>
      <c r="C3" s="231" t="s">
        <v>1080</v>
      </c>
      <c r="D3" s="231" t="s">
        <v>1079</v>
      </c>
    </row>
    <row r="4" spans="1:4" s="191" customFormat="1" ht="16.5" customHeight="1">
      <c r="A4" s="190"/>
      <c r="B4" s="193" t="s">
        <v>1078</v>
      </c>
      <c r="C4" s="193" t="s">
        <v>1075</v>
      </c>
      <c r="D4" s="192">
        <f>IF(NOT(C4="서울"),50000,"")</f>
        <v>50000</v>
      </c>
    </row>
    <row r="5" spans="1:4" s="191" customFormat="1" ht="16.5" customHeight="1">
      <c r="A5" s="190"/>
      <c r="B5" s="193" t="s">
        <v>1077</v>
      </c>
      <c r="C5" s="193" t="s">
        <v>543</v>
      </c>
      <c r="D5" s="192" t="str">
        <f t="shared" ref="D5:D20" si="0">IF(NOT(C5="서울"),50000,"")</f>
        <v/>
      </c>
    </row>
    <row r="6" spans="1:4" s="191" customFormat="1" ht="16.5" customHeight="1">
      <c r="A6" s="190"/>
      <c r="B6" s="193" t="s">
        <v>1076</v>
      </c>
      <c r="C6" s="193" t="s">
        <v>1061</v>
      </c>
      <c r="D6" s="192">
        <f t="shared" si="0"/>
        <v>50000</v>
      </c>
    </row>
    <row r="7" spans="1:4" s="191" customFormat="1" ht="16.5" customHeight="1">
      <c r="A7" s="190"/>
      <c r="B7" s="193" t="s">
        <v>1053</v>
      </c>
      <c r="C7" s="193" t="s">
        <v>1075</v>
      </c>
      <c r="D7" s="192">
        <f t="shared" si="0"/>
        <v>50000</v>
      </c>
    </row>
    <row r="8" spans="1:4" s="191" customFormat="1" ht="16.5" customHeight="1">
      <c r="A8" s="190"/>
      <c r="B8" s="193" t="s">
        <v>1074</v>
      </c>
      <c r="C8" s="193" t="s">
        <v>1073</v>
      </c>
      <c r="D8" s="192">
        <f t="shared" si="0"/>
        <v>50000</v>
      </c>
    </row>
    <row r="9" spans="1:4" s="191" customFormat="1" ht="16.5" customHeight="1">
      <c r="A9" s="190"/>
      <c r="B9" s="193" t="s">
        <v>1072</v>
      </c>
      <c r="C9" s="193" t="s">
        <v>546</v>
      </c>
      <c r="D9" s="192">
        <f t="shared" si="0"/>
        <v>50000</v>
      </c>
    </row>
    <row r="10" spans="1:4" s="191" customFormat="1" ht="16.5" customHeight="1">
      <c r="A10" s="190"/>
      <c r="B10" s="193" t="s">
        <v>1071</v>
      </c>
      <c r="C10" s="193" t="s">
        <v>1059</v>
      </c>
      <c r="D10" s="192" t="str">
        <f t="shared" si="0"/>
        <v/>
      </c>
    </row>
    <row r="11" spans="1:4" s="191" customFormat="1" ht="16.5" customHeight="1">
      <c r="A11" s="190"/>
      <c r="B11" s="193" t="s">
        <v>1070</v>
      </c>
      <c r="C11" s="193" t="s">
        <v>1059</v>
      </c>
      <c r="D11" s="192" t="str">
        <f t="shared" si="0"/>
        <v/>
      </c>
    </row>
    <row r="12" spans="1:4" s="191" customFormat="1" ht="16.5" customHeight="1">
      <c r="A12" s="190"/>
      <c r="B12" s="193" t="s">
        <v>1069</v>
      </c>
      <c r="C12" s="193" t="s">
        <v>1065</v>
      </c>
      <c r="D12" s="192">
        <f t="shared" si="0"/>
        <v>50000</v>
      </c>
    </row>
    <row r="13" spans="1:4" s="191" customFormat="1" ht="16.5" customHeight="1">
      <c r="A13" s="190"/>
      <c r="B13" s="193" t="s">
        <v>1068</v>
      </c>
      <c r="C13" s="193" t="s">
        <v>1061</v>
      </c>
      <c r="D13" s="192">
        <f t="shared" si="0"/>
        <v>50000</v>
      </c>
    </row>
    <row r="14" spans="1:4" s="191" customFormat="1" ht="16.5" customHeight="1">
      <c r="A14" s="190"/>
      <c r="B14" s="193" t="s">
        <v>1067</v>
      </c>
      <c r="C14" s="193" t="s">
        <v>543</v>
      </c>
      <c r="D14" s="192" t="str">
        <f t="shared" si="0"/>
        <v/>
      </c>
    </row>
    <row r="15" spans="1:4" s="191" customFormat="1" ht="16.5" customHeight="1">
      <c r="A15" s="190"/>
      <c r="B15" s="193" t="s">
        <v>1066</v>
      </c>
      <c r="C15" s="193" t="s">
        <v>1065</v>
      </c>
      <c r="D15" s="192">
        <f t="shared" si="0"/>
        <v>50000</v>
      </c>
    </row>
    <row r="16" spans="1:4" s="191" customFormat="1" ht="16.5" customHeight="1">
      <c r="A16" s="190"/>
      <c r="B16" s="193" t="s">
        <v>1064</v>
      </c>
      <c r="C16" s="193" t="s">
        <v>546</v>
      </c>
      <c r="D16" s="192">
        <f t="shared" si="0"/>
        <v>50000</v>
      </c>
    </row>
    <row r="17" spans="1:4" s="191" customFormat="1" ht="16.5" customHeight="1">
      <c r="A17" s="190"/>
      <c r="B17" s="193" t="s">
        <v>1063</v>
      </c>
      <c r="C17" s="193" t="s">
        <v>1059</v>
      </c>
      <c r="D17" s="192" t="str">
        <f t="shared" si="0"/>
        <v/>
      </c>
    </row>
    <row r="18" spans="1:4" s="191" customFormat="1" ht="16.5" customHeight="1">
      <c r="A18" s="190"/>
      <c r="B18" s="193" t="s">
        <v>1062</v>
      </c>
      <c r="C18" s="193" t="s">
        <v>1061</v>
      </c>
      <c r="D18" s="192">
        <f t="shared" si="0"/>
        <v>50000</v>
      </c>
    </row>
    <row r="19" spans="1:4" s="191" customFormat="1" ht="16.5" customHeight="1">
      <c r="A19" s="190"/>
      <c r="B19" s="193" t="s">
        <v>1060</v>
      </c>
      <c r="C19" s="193" t="s">
        <v>1059</v>
      </c>
      <c r="D19" s="192" t="str">
        <f t="shared" si="0"/>
        <v/>
      </c>
    </row>
    <row r="20" spans="1:4" s="191" customFormat="1" ht="16.5" customHeight="1">
      <c r="A20" s="190"/>
      <c r="B20" s="193" t="s">
        <v>1058</v>
      </c>
      <c r="C20" s="193" t="s">
        <v>546</v>
      </c>
      <c r="D20" s="192">
        <f t="shared" si="0"/>
        <v>50000</v>
      </c>
    </row>
  </sheetData>
  <phoneticPr fontId="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zoomScale="115" zoomScaleNormal="115" workbookViewId="0">
      <selection activeCell="E14" sqref="E14"/>
    </sheetView>
  </sheetViews>
  <sheetFormatPr defaultColWidth="9" defaultRowHeight="17.399999999999999"/>
  <cols>
    <col min="1" max="1" width="2.796875" style="323" customWidth="1"/>
    <col min="2" max="2" width="6.796875" style="323" customWidth="1"/>
    <col min="3" max="3" width="8.296875" style="323" customWidth="1"/>
    <col min="4" max="4" width="17.09765625" style="323" customWidth="1"/>
    <col min="5" max="5" width="34" style="323" customWidth="1"/>
    <col min="6" max="16384" width="9" style="323"/>
  </cols>
  <sheetData>
    <row r="1" spans="2:7" ht="25.2">
      <c r="B1" s="615" t="s">
        <v>1687</v>
      </c>
      <c r="C1" s="615"/>
      <c r="D1" s="615"/>
      <c r="E1" s="615"/>
      <c r="F1" s="615"/>
      <c r="G1" s="615"/>
    </row>
    <row r="2" spans="2:7" ht="9.75" customHeight="1" thickBot="1"/>
    <row r="3" spans="2:7" ht="18" thickBot="1">
      <c r="B3" s="504" t="s">
        <v>1686</v>
      </c>
      <c r="C3" s="503" t="s">
        <v>1685</v>
      </c>
      <c r="D3" s="503" t="s">
        <v>1684</v>
      </c>
      <c r="E3" s="503" t="s">
        <v>1683</v>
      </c>
      <c r="F3" s="503" t="s">
        <v>1682</v>
      </c>
      <c r="G3" s="502" t="s">
        <v>1681</v>
      </c>
    </row>
    <row r="4" spans="2:7" ht="18" thickTop="1">
      <c r="B4" s="501" t="s">
        <v>1680</v>
      </c>
      <c r="C4" s="499" t="s">
        <v>1679</v>
      </c>
      <c r="D4" s="500">
        <v>7602031005733</v>
      </c>
      <c r="E4" s="499" t="s">
        <v>1678</v>
      </c>
      <c r="F4" s="499" t="s">
        <v>1640</v>
      </c>
      <c r="G4" s="498" t="s">
        <v>1514</v>
      </c>
    </row>
    <row r="5" spans="2:7">
      <c r="B5" s="497" t="s">
        <v>1677</v>
      </c>
      <c r="C5" s="495" t="s">
        <v>1652</v>
      </c>
      <c r="D5" s="496">
        <v>6602082006000</v>
      </c>
      <c r="E5" s="495" t="s">
        <v>1676</v>
      </c>
      <c r="F5" s="495" t="s">
        <v>1628</v>
      </c>
      <c r="G5" s="494" t="s">
        <v>1514</v>
      </c>
    </row>
    <row r="6" spans="2:7">
      <c r="B6" s="501" t="s">
        <v>1675</v>
      </c>
      <c r="C6" s="499" t="s">
        <v>1674</v>
      </c>
      <c r="D6" s="500">
        <v>7303251002605</v>
      </c>
      <c r="E6" s="499" t="s">
        <v>1673</v>
      </c>
      <c r="F6" s="499" t="s">
        <v>1636</v>
      </c>
      <c r="G6" s="498" t="s">
        <v>1515</v>
      </c>
    </row>
    <row r="7" spans="2:7">
      <c r="B7" s="501" t="s">
        <v>1672</v>
      </c>
      <c r="C7" s="499" t="s">
        <v>1671</v>
      </c>
      <c r="D7" s="500">
        <v>6902091004056</v>
      </c>
      <c r="E7" s="499" t="s">
        <v>1670</v>
      </c>
      <c r="F7" s="499" t="s">
        <v>1625</v>
      </c>
      <c r="G7" s="498" t="s">
        <v>1515</v>
      </c>
    </row>
    <row r="8" spans="2:7">
      <c r="B8" s="497" t="s">
        <v>1669</v>
      </c>
      <c r="C8" s="495" t="s">
        <v>1668</v>
      </c>
      <c r="D8" s="496">
        <v>7809032009775</v>
      </c>
      <c r="E8" s="495" t="s">
        <v>1667</v>
      </c>
      <c r="F8" s="495" t="s">
        <v>1638</v>
      </c>
      <c r="G8" s="494" t="s">
        <v>1514</v>
      </c>
    </row>
    <row r="9" spans="2:7">
      <c r="B9" s="501" t="s">
        <v>1666</v>
      </c>
      <c r="C9" s="499" t="s">
        <v>1665</v>
      </c>
      <c r="D9" s="500">
        <v>7902261005856</v>
      </c>
      <c r="E9" s="499" t="s">
        <v>1664</v>
      </c>
      <c r="F9" s="499" t="s">
        <v>1631</v>
      </c>
      <c r="G9" s="498" t="s">
        <v>1516</v>
      </c>
    </row>
    <row r="10" spans="2:7">
      <c r="B10" s="497" t="s">
        <v>1663</v>
      </c>
      <c r="C10" s="495" t="s">
        <v>1662</v>
      </c>
      <c r="D10" s="496">
        <v>8207021003034</v>
      </c>
      <c r="E10" s="495" t="s">
        <v>1661</v>
      </c>
      <c r="F10" s="495" t="s">
        <v>1634</v>
      </c>
      <c r="G10" s="494" t="s">
        <v>1514</v>
      </c>
    </row>
    <row r="11" spans="2:7">
      <c r="B11" s="497" t="s">
        <v>1660</v>
      </c>
      <c r="C11" s="495" t="s">
        <v>1659</v>
      </c>
      <c r="D11" s="496">
        <v>7605311004812</v>
      </c>
      <c r="E11" s="495" t="s">
        <v>1658</v>
      </c>
      <c r="F11" s="495" t="s">
        <v>1622</v>
      </c>
      <c r="G11" s="494" t="s">
        <v>1516</v>
      </c>
    </row>
    <row r="12" spans="2:7" ht="18" thickBot="1">
      <c r="B12" s="493" t="s">
        <v>1657</v>
      </c>
      <c r="C12" s="491" t="s">
        <v>1656</v>
      </c>
      <c r="D12" s="492">
        <v>8604111002318</v>
      </c>
      <c r="E12" s="491" t="s">
        <v>1655</v>
      </c>
      <c r="F12" s="491" t="s">
        <v>1654</v>
      </c>
      <c r="G12" s="490" t="s">
        <v>1516</v>
      </c>
    </row>
    <row r="13" spans="2:7" ht="18" thickBot="1"/>
    <row r="14" spans="2:7">
      <c r="D14" s="489" t="s">
        <v>1653</v>
      </c>
      <c r="E14" s="488" t="s">
        <v>1659</v>
      </c>
    </row>
    <row r="15" spans="2:7">
      <c r="D15" s="486" t="s">
        <v>1651</v>
      </c>
      <c r="E15" s="485" t="str">
        <f>LOOKUP(E14,사번,성명)</f>
        <v>이상아</v>
      </c>
    </row>
    <row r="16" spans="2:7">
      <c r="D16" s="484" t="s">
        <v>1650</v>
      </c>
      <c r="E16" s="487">
        <f>LOOKUP(E14,사번,주민등록번호)</f>
        <v>7605311004812</v>
      </c>
    </row>
    <row r="17" spans="4:5">
      <c r="D17" s="486" t="s">
        <v>1649</v>
      </c>
      <c r="E17" s="485" t="str">
        <f>LOOKUP(E14,사번,소속)</f>
        <v>교부세과</v>
      </c>
    </row>
    <row r="18" spans="4:5">
      <c r="D18" s="484" t="s">
        <v>1648</v>
      </c>
      <c r="E18" s="487" t="str">
        <f>LOOKUP(E14,사번,주소)</f>
        <v>서울특별시 도봉구 방학동 777</v>
      </c>
    </row>
    <row r="19" spans="4:5" ht="18" thickBot="1">
      <c r="D19" s="483" t="s">
        <v>1647</v>
      </c>
      <c r="E19" s="485" t="str">
        <f>LOOKUP(E14,사번,G4:G12)</f>
        <v>부장</v>
      </c>
    </row>
  </sheetData>
  <mergeCells count="1">
    <mergeCell ref="B1:G1"/>
  </mergeCells>
  <phoneticPr fontId="8" type="noConversion"/>
  <dataValidations count="1">
    <dataValidation type="list" allowBlank="1" showInputMessage="1" showErrorMessage="1" sqref="E14">
      <formula1>사번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workbookViewId="0">
      <selection activeCell="I10" sqref="I10"/>
    </sheetView>
  </sheetViews>
  <sheetFormatPr defaultColWidth="9" defaultRowHeight="17.399999999999999"/>
  <cols>
    <col min="1" max="1" width="1.796875" style="323" customWidth="1"/>
    <col min="2" max="16384" width="9" style="323"/>
  </cols>
  <sheetData>
    <row r="1" spans="2:13" ht="25.5" customHeight="1" thickBot="1"/>
    <row r="2" spans="2:13" ht="18" thickBot="1">
      <c r="B2" s="475" t="s">
        <v>1619</v>
      </c>
      <c r="C2" s="474" t="s">
        <v>1618</v>
      </c>
      <c r="D2" s="474" t="s">
        <v>1617</v>
      </c>
      <c r="E2" s="473" t="s">
        <v>1616</v>
      </c>
      <c r="F2" s="453"/>
      <c r="G2" s="616" t="s">
        <v>1615</v>
      </c>
      <c r="H2" s="616"/>
      <c r="I2" s="445"/>
      <c r="J2" s="445"/>
      <c r="K2" s="445"/>
      <c r="L2" s="445"/>
      <c r="M2" s="445"/>
    </row>
    <row r="3" spans="2:13">
      <c r="B3" s="472">
        <v>17</v>
      </c>
      <c r="C3" s="471" t="s">
        <v>1614</v>
      </c>
      <c r="D3" s="470">
        <v>8000</v>
      </c>
      <c r="E3" s="469">
        <v>30</v>
      </c>
      <c r="F3" s="453"/>
      <c r="G3" s="468" t="s">
        <v>1613</v>
      </c>
      <c r="H3" s="467">
        <v>35</v>
      </c>
      <c r="I3" s="445"/>
      <c r="J3" s="445"/>
      <c r="K3" s="445"/>
      <c r="L3" s="445"/>
      <c r="M3" s="445"/>
    </row>
    <row r="4" spans="2:13">
      <c r="B4" s="461">
        <v>14</v>
      </c>
      <c r="C4" s="460" t="s">
        <v>1612</v>
      </c>
      <c r="D4" s="459">
        <v>3000</v>
      </c>
      <c r="E4" s="458">
        <v>20</v>
      </c>
      <c r="F4" s="453"/>
      <c r="G4" s="466" t="s">
        <v>1611</v>
      </c>
      <c r="H4" s="465"/>
      <c r="I4" s="445"/>
      <c r="J4" s="445"/>
      <c r="K4" s="445"/>
      <c r="L4" s="445"/>
      <c r="M4" s="445"/>
    </row>
    <row r="5" spans="2:13">
      <c r="B5" s="461">
        <v>11</v>
      </c>
      <c r="C5" s="460" t="s">
        <v>1610</v>
      </c>
      <c r="D5" s="459">
        <v>1500</v>
      </c>
      <c r="E5" s="458">
        <v>40</v>
      </c>
      <c r="F5" s="453"/>
      <c r="G5" s="466" t="s">
        <v>1609</v>
      </c>
      <c r="H5" s="465"/>
      <c r="I5" s="445"/>
      <c r="J5" s="445"/>
      <c r="K5" s="445"/>
      <c r="L5" s="445"/>
      <c r="M5" s="445"/>
    </row>
    <row r="6" spans="2:13" ht="18" thickBot="1">
      <c r="B6" s="461">
        <v>1</v>
      </c>
      <c r="C6" s="460" t="s">
        <v>1608</v>
      </c>
      <c r="D6" s="459">
        <v>2000</v>
      </c>
      <c r="E6" s="458">
        <v>15</v>
      </c>
      <c r="F6" s="453"/>
      <c r="G6" s="464" t="s">
        <v>1607</v>
      </c>
      <c r="H6" s="463"/>
      <c r="I6" s="445"/>
      <c r="J6" s="445"/>
      <c r="K6" s="445"/>
      <c r="L6" s="445"/>
      <c r="M6" s="445"/>
    </row>
    <row r="7" spans="2:13">
      <c r="B7" s="461">
        <v>48</v>
      </c>
      <c r="C7" s="460" t="s">
        <v>1606</v>
      </c>
      <c r="D7" s="459">
        <v>6000</v>
      </c>
      <c r="E7" s="458">
        <v>34</v>
      </c>
      <c r="F7" s="453"/>
      <c r="G7" s="453"/>
      <c r="H7" s="453"/>
      <c r="I7" s="445"/>
      <c r="J7" s="445"/>
      <c r="K7" s="462"/>
      <c r="L7" s="445"/>
      <c r="M7" s="445"/>
    </row>
    <row r="8" spans="2:13">
      <c r="B8" s="461">
        <v>10</v>
      </c>
      <c r="C8" s="460" t="s">
        <v>1605</v>
      </c>
      <c r="D8" s="459">
        <v>10000</v>
      </c>
      <c r="E8" s="458">
        <v>26</v>
      </c>
      <c r="F8" s="453"/>
      <c r="G8" s="453"/>
      <c r="H8" s="453"/>
      <c r="I8" s="445"/>
      <c r="J8" s="445"/>
      <c r="K8" s="462"/>
      <c r="L8" s="445"/>
      <c r="M8" s="445"/>
    </row>
    <row r="9" spans="2:13">
      <c r="B9" s="461">
        <v>33</v>
      </c>
      <c r="C9" s="460" t="s">
        <v>1604</v>
      </c>
      <c r="D9" s="459">
        <v>2000</v>
      </c>
      <c r="E9" s="458">
        <v>11</v>
      </c>
      <c r="F9" s="453"/>
      <c r="G9" s="453"/>
      <c r="H9" s="453"/>
      <c r="I9" s="445"/>
      <c r="J9" s="445"/>
      <c r="K9" s="462"/>
      <c r="L9" s="445"/>
      <c r="M9" s="445"/>
    </row>
    <row r="10" spans="2:13">
      <c r="B10" s="461">
        <v>31</v>
      </c>
      <c r="C10" s="460" t="s">
        <v>1603</v>
      </c>
      <c r="D10" s="459">
        <v>3000</v>
      </c>
      <c r="E10" s="458">
        <v>15</v>
      </c>
      <c r="F10" s="453"/>
      <c r="G10" s="453"/>
      <c r="H10" s="453"/>
      <c r="I10" s="445"/>
      <c r="J10" s="445"/>
      <c r="K10" s="462"/>
      <c r="L10" s="445"/>
      <c r="M10" s="445"/>
    </row>
    <row r="11" spans="2:13">
      <c r="B11" s="461">
        <v>13</v>
      </c>
      <c r="C11" s="460" t="s">
        <v>1602</v>
      </c>
      <c r="D11" s="459">
        <v>500</v>
      </c>
      <c r="E11" s="458">
        <v>20</v>
      </c>
      <c r="F11" s="453"/>
      <c r="G11" s="453"/>
      <c r="H11" s="453"/>
      <c r="I11" s="445"/>
      <c r="J11" s="445"/>
      <c r="K11" s="462"/>
      <c r="L11" s="462"/>
      <c r="M11" s="462"/>
    </row>
    <row r="12" spans="2:13">
      <c r="B12" s="461">
        <v>3</v>
      </c>
      <c r="C12" s="460" t="s">
        <v>1601</v>
      </c>
      <c r="D12" s="459">
        <v>5000</v>
      </c>
      <c r="E12" s="458">
        <v>32</v>
      </c>
      <c r="F12" s="453"/>
      <c r="G12" s="453"/>
      <c r="H12" s="453"/>
      <c r="I12" s="449"/>
      <c r="J12" s="462"/>
      <c r="K12" s="462"/>
      <c r="L12" s="462"/>
      <c r="M12" s="462"/>
    </row>
    <row r="13" spans="2:13">
      <c r="B13" s="461">
        <v>32</v>
      </c>
      <c r="C13" s="460" t="s">
        <v>1600</v>
      </c>
      <c r="D13" s="459">
        <v>2200</v>
      </c>
      <c r="E13" s="458">
        <v>33</v>
      </c>
      <c r="F13" s="453"/>
      <c r="G13" s="453"/>
      <c r="H13" s="453"/>
      <c r="I13" s="449"/>
      <c r="J13" s="462"/>
      <c r="K13" s="462"/>
      <c r="L13" s="462"/>
      <c r="M13" s="462"/>
    </row>
    <row r="14" spans="2:13">
      <c r="B14" s="461">
        <v>9</v>
      </c>
      <c r="C14" s="460" t="s">
        <v>1599</v>
      </c>
      <c r="D14" s="459">
        <v>800</v>
      </c>
      <c r="E14" s="458">
        <v>41</v>
      </c>
      <c r="F14" s="453"/>
      <c r="G14" s="453"/>
      <c r="H14" s="453"/>
      <c r="I14" s="449"/>
      <c r="J14" s="462"/>
      <c r="K14" s="462"/>
      <c r="L14" s="462"/>
      <c r="M14" s="462"/>
    </row>
    <row r="15" spans="2:13">
      <c r="B15" s="461">
        <v>28</v>
      </c>
      <c r="C15" s="460" t="s">
        <v>1598</v>
      </c>
      <c r="D15" s="459">
        <v>1000</v>
      </c>
      <c r="E15" s="458">
        <v>13</v>
      </c>
      <c r="F15" s="453"/>
      <c r="G15" s="453"/>
      <c r="H15" s="453"/>
      <c r="I15" s="445"/>
      <c r="J15" s="445"/>
      <c r="K15" s="445"/>
      <c r="L15" s="445"/>
      <c r="M15" s="445"/>
    </row>
    <row r="16" spans="2:13">
      <c r="B16" s="461">
        <v>35</v>
      </c>
      <c r="C16" s="460" t="s">
        <v>1597</v>
      </c>
      <c r="D16" s="459">
        <v>9800</v>
      </c>
      <c r="E16" s="458">
        <v>7</v>
      </c>
      <c r="F16" s="453"/>
      <c r="G16" s="453"/>
      <c r="H16" s="453"/>
      <c r="I16" s="445"/>
      <c r="J16" s="445"/>
      <c r="K16" s="445"/>
      <c r="L16" s="445"/>
      <c r="M16" s="445"/>
    </row>
    <row r="17" spans="2:13" ht="18" thickBot="1">
      <c r="B17" s="457">
        <v>27</v>
      </c>
      <c r="C17" s="456" t="s">
        <v>1596</v>
      </c>
      <c r="D17" s="455">
        <v>2900</v>
      </c>
      <c r="E17" s="454">
        <v>3</v>
      </c>
      <c r="F17" s="453"/>
      <c r="G17" s="453"/>
      <c r="H17" s="453"/>
      <c r="I17" s="445"/>
      <c r="J17" s="445"/>
      <c r="K17" s="445"/>
      <c r="L17" s="445"/>
      <c r="M17" s="445"/>
    </row>
    <row r="18" spans="2:13">
      <c r="B18" s="445"/>
      <c r="C18" s="445"/>
      <c r="D18" s="445"/>
      <c r="E18" s="445"/>
      <c r="F18" s="445"/>
      <c r="G18" s="445"/>
      <c r="H18" s="445"/>
      <c r="I18" s="445"/>
      <c r="J18" s="445"/>
      <c r="K18" s="445"/>
      <c r="L18" s="445"/>
      <c r="M18" s="445"/>
    </row>
    <row r="19" spans="2:13">
      <c r="B19" s="445"/>
      <c r="C19" s="445"/>
      <c r="D19" s="445"/>
      <c r="E19" s="445"/>
      <c r="F19" s="445"/>
      <c r="G19" s="445"/>
      <c r="H19" s="445"/>
      <c r="I19" s="445"/>
      <c r="J19" s="445"/>
      <c r="K19" s="445"/>
      <c r="L19" s="445"/>
      <c r="M19" s="445"/>
    </row>
    <row r="20" spans="2:13">
      <c r="B20" s="445"/>
      <c r="C20" s="445"/>
      <c r="D20" s="445"/>
      <c r="E20" s="445"/>
      <c r="F20" s="445"/>
      <c r="G20" s="445"/>
      <c r="H20" s="445"/>
      <c r="I20" s="445"/>
      <c r="J20" s="445"/>
      <c r="K20" s="445"/>
      <c r="L20" s="445"/>
      <c r="M20" s="445"/>
    </row>
    <row r="21" spans="2:13">
      <c r="B21" s="445"/>
      <c r="C21" s="445"/>
      <c r="D21" s="445"/>
      <c r="E21" s="445"/>
      <c r="F21" s="445"/>
      <c r="G21" s="445"/>
      <c r="H21" s="445"/>
      <c r="I21" s="445"/>
      <c r="J21" s="445"/>
      <c r="K21" s="445"/>
      <c r="L21" s="445"/>
      <c r="M21" s="445"/>
    </row>
    <row r="22" spans="2:13">
      <c r="B22" s="445"/>
      <c r="C22" s="445"/>
      <c r="D22" s="445"/>
      <c r="E22" s="445"/>
      <c r="F22" s="445"/>
      <c r="G22" s="445"/>
      <c r="H22" s="452" t="s">
        <v>1595</v>
      </c>
      <c r="I22" s="445"/>
      <c r="J22" s="445"/>
      <c r="K22" s="445"/>
      <c r="L22" s="445"/>
      <c r="M22" s="445"/>
    </row>
    <row r="23" spans="2:13">
      <c r="B23" s="450" t="s">
        <v>1594</v>
      </c>
      <c r="C23" s="450" t="s">
        <v>1592</v>
      </c>
      <c r="D23" s="451" t="s">
        <v>1591</v>
      </c>
      <c r="E23" s="450" t="s">
        <v>1590</v>
      </c>
      <c r="F23" s="450" t="s">
        <v>1589</v>
      </c>
      <c r="G23" s="447"/>
      <c r="H23" s="450" t="s">
        <v>1593</v>
      </c>
      <c r="I23" s="450" t="s">
        <v>1592</v>
      </c>
      <c r="J23" s="450" t="s">
        <v>1591</v>
      </c>
      <c r="K23" s="445"/>
      <c r="L23" s="450" t="s">
        <v>1590</v>
      </c>
      <c r="M23" s="450" t="s">
        <v>1589</v>
      </c>
    </row>
    <row r="24" spans="2:13">
      <c r="B24" s="448" t="s">
        <v>1588</v>
      </c>
      <c r="C24" s="448"/>
      <c r="D24" s="448"/>
      <c r="E24" s="448">
        <v>20</v>
      </c>
      <c r="F24" s="448"/>
      <c r="G24" s="447"/>
      <c r="H24" s="448" t="s">
        <v>1588</v>
      </c>
      <c r="I24" s="448" t="s">
        <v>1587</v>
      </c>
      <c r="J24" s="448" t="s">
        <v>1586</v>
      </c>
      <c r="K24" s="445"/>
      <c r="L24" s="448">
        <v>0</v>
      </c>
      <c r="M24" s="448" t="s">
        <v>1585</v>
      </c>
    </row>
    <row r="25" spans="2:13">
      <c r="B25" s="448" t="s">
        <v>1584</v>
      </c>
      <c r="C25" s="448"/>
      <c r="D25" s="448"/>
      <c r="E25" s="448">
        <v>10</v>
      </c>
      <c r="F25" s="448"/>
      <c r="G25" s="447"/>
      <c r="H25" s="448" t="s">
        <v>1584</v>
      </c>
      <c r="I25" s="448" t="s">
        <v>1583</v>
      </c>
      <c r="J25" s="448" t="s">
        <v>1582</v>
      </c>
      <c r="K25" s="445"/>
      <c r="L25" s="448">
        <v>50</v>
      </c>
      <c r="M25" s="448" t="s">
        <v>1581</v>
      </c>
    </row>
    <row r="26" spans="2:13">
      <c r="B26" s="448" t="s">
        <v>1580</v>
      </c>
      <c r="C26" s="448"/>
      <c r="D26" s="448"/>
      <c r="E26" s="448">
        <v>56</v>
      </c>
      <c r="F26" s="448"/>
      <c r="G26" s="447"/>
      <c r="H26" s="448" t="s">
        <v>1579</v>
      </c>
      <c r="I26" s="448" t="s">
        <v>1578</v>
      </c>
      <c r="J26" s="448" t="s">
        <v>1577</v>
      </c>
      <c r="K26" s="445"/>
      <c r="L26" s="448">
        <v>70</v>
      </c>
      <c r="M26" s="448" t="s">
        <v>1576</v>
      </c>
    </row>
    <row r="27" spans="2:13">
      <c r="B27" s="448" t="s">
        <v>1571</v>
      </c>
      <c r="C27" s="448"/>
      <c r="D27" s="448"/>
      <c r="E27" s="448">
        <v>30</v>
      </c>
      <c r="F27" s="448"/>
      <c r="G27" s="447"/>
      <c r="H27" s="448" t="s">
        <v>1573</v>
      </c>
      <c r="I27" s="448" t="s">
        <v>1575</v>
      </c>
      <c r="J27" s="448" t="s">
        <v>1574</v>
      </c>
      <c r="K27" s="445"/>
      <c r="L27" s="445"/>
      <c r="M27" s="445"/>
    </row>
    <row r="28" spans="2:13">
      <c r="B28" s="448" t="s">
        <v>1573</v>
      </c>
      <c r="C28" s="448"/>
      <c r="D28" s="448"/>
      <c r="E28" s="448">
        <v>65</v>
      </c>
      <c r="F28" s="448"/>
      <c r="G28" s="447"/>
      <c r="H28" s="449"/>
      <c r="I28" s="445"/>
      <c r="J28" s="445"/>
      <c r="K28" s="445"/>
      <c r="L28" s="445"/>
      <c r="M28" s="445"/>
    </row>
    <row r="29" spans="2:13">
      <c r="B29" s="448" t="s">
        <v>1572</v>
      </c>
      <c r="C29" s="448"/>
      <c r="D29" s="448"/>
      <c r="E29" s="448">
        <v>80</v>
      </c>
      <c r="F29" s="448"/>
      <c r="G29" s="447"/>
      <c r="H29" s="449"/>
      <c r="I29" s="445"/>
      <c r="J29" s="445"/>
      <c r="K29" s="445"/>
      <c r="L29" s="445"/>
      <c r="M29" s="445"/>
    </row>
    <row r="30" spans="2:13">
      <c r="B30" s="448" t="s">
        <v>1571</v>
      </c>
      <c r="C30" s="448"/>
      <c r="D30" s="448"/>
      <c r="E30" s="448">
        <v>22</v>
      </c>
      <c r="F30" s="448"/>
      <c r="G30" s="447"/>
      <c r="H30" s="446"/>
      <c r="I30" s="445"/>
      <c r="J30" s="445"/>
      <c r="K30" s="445"/>
      <c r="L30" s="445"/>
      <c r="M30" s="445"/>
    </row>
  </sheetData>
  <mergeCells count="1">
    <mergeCell ref="G2:H2"/>
  </mergeCells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zoomScale="130" zoomScaleNormal="130" workbookViewId="0">
      <selection activeCell="I8" sqref="I8"/>
    </sheetView>
  </sheetViews>
  <sheetFormatPr defaultColWidth="9" defaultRowHeight="17.399999999999999"/>
  <cols>
    <col min="1" max="1" width="2.19921875" style="323" customWidth="1"/>
    <col min="2" max="2" width="10.09765625" style="323" customWidth="1"/>
    <col min="3" max="3" width="7.69921875" style="323" customWidth="1"/>
    <col min="4" max="4" width="7.19921875" style="323" customWidth="1"/>
    <col min="5" max="5" width="5.09765625" style="323" customWidth="1"/>
    <col min="6" max="6" width="10.19921875" style="323" customWidth="1"/>
    <col min="7" max="7" width="2.09765625" style="323" customWidth="1"/>
    <col min="8" max="12" width="11.09765625" style="323" bestFit="1" customWidth="1"/>
    <col min="13" max="16384" width="9" style="323"/>
  </cols>
  <sheetData>
    <row r="1" spans="2:13" ht="21">
      <c r="B1" s="617" t="s">
        <v>1646</v>
      </c>
      <c r="C1" s="617"/>
      <c r="D1" s="617"/>
      <c r="E1" s="617"/>
      <c r="F1" s="617"/>
      <c r="G1" s="402"/>
      <c r="H1" s="618" t="s">
        <v>1645</v>
      </c>
      <c r="I1" s="618"/>
      <c r="J1" s="618"/>
      <c r="K1" s="618"/>
      <c r="L1" s="618"/>
      <c r="M1" s="323" t="s">
        <v>1864</v>
      </c>
    </row>
    <row r="2" spans="2:13">
      <c r="B2" s="402"/>
      <c r="C2" s="390"/>
      <c r="D2" s="390"/>
      <c r="E2" s="390"/>
      <c r="F2" s="390"/>
      <c r="G2" s="402"/>
      <c r="H2" s="476"/>
      <c r="I2" s="476"/>
      <c r="J2" s="476"/>
      <c r="K2" s="476"/>
      <c r="L2" s="476"/>
    </row>
    <row r="3" spans="2:13" ht="18" thickBot="1">
      <c r="B3" s="482" t="s">
        <v>1644</v>
      </c>
      <c r="C3" s="482" t="s">
        <v>1644</v>
      </c>
      <c r="D3" s="482" t="s">
        <v>1643</v>
      </c>
      <c r="E3" s="482" t="s">
        <v>1642</v>
      </c>
      <c r="F3" s="482" t="s">
        <v>1641</v>
      </c>
      <c r="G3" s="402"/>
      <c r="H3" s="512">
        <v>1</v>
      </c>
      <c r="I3" s="512">
        <v>2</v>
      </c>
      <c r="J3" s="512">
        <v>3</v>
      </c>
      <c r="K3" s="512">
        <v>4</v>
      </c>
      <c r="L3" s="512">
        <v>5</v>
      </c>
    </row>
    <row r="4" spans="2:13" ht="18" thickTop="1">
      <c r="B4" s="479" t="s">
        <v>1640</v>
      </c>
      <c r="C4" s="479" t="s">
        <v>1639</v>
      </c>
      <c r="D4" s="479" t="s">
        <v>1620</v>
      </c>
      <c r="E4" s="479">
        <v>1</v>
      </c>
      <c r="F4" s="478">
        <f>HLOOKUP(E4,$H$3:$L$4,2,FALSE)</f>
        <v>1860000</v>
      </c>
      <c r="G4" s="402"/>
      <c r="H4" s="481">
        <v>1860000</v>
      </c>
      <c r="I4" s="481">
        <v>1950000</v>
      </c>
      <c r="J4" s="481">
        <v>2100000</v>
      </c>
      <c r="K4" s="481">
        <v>2350000</v>
      </c>
      <c r="L4" s="480">
        <v>2680000</v>
      </c>
    </row>
    <row r="5" spans="2:13">
      <c r="B5" s="477" t="s">
        <v>1638</v>
      </c>
      <c r="C5" s="477" t="s">
        <v>1637</v>
      </c>
      <c r="D5" s="477" t="s">
        <v>1623</v>
      </c>
      <c r="E5" s="477">
        <v>2</v>
      </c>
      <c r="F5" s="478">
        <f t="shared" ref="F5:F11" si="0">HLOOKUP(E5,$H$3:$L$4,2,FALSE)</f>
        <v>1950000</v>
      </c>
      <c r="G5" s="402"/>
      <c r="H5" s="402"/>
      <c r="I5" s="402"/>
      <c r="J5" s="402"/>
      <c r="K5" s="402"/>
      <c r="L5" s="402"/>
    </row>
    <row r="6" spans="2:13">
      <c r="B6" s="479" t="s">
        <v>1636</v>
      </c>
      <c r="C6" s="479" t="s">
        <v>1635</v>
      </c>
      <c r="D6" s="479" t="s">
        <v>1632</v>
      </c>
      <c r="E6" s="479">
        <v>4</v>
      </c>
      <c r="F6" s="478">
        <f t="shared" si="0"/>
        <v>2350000</v>
      </c>
      <c r="G6" s="402"/>
      <c r="H6" s="476"/>
      <c r="I6" s="476"/>
      <c r="J6" s="476"/>
      <c r="K6" s="476"/>
      <c r="L6" s="476"/>
    </row>
    <row r="7" spans="2:13">
      <c r="B7" s="477" t="s">
        <v>1634</v>
      </c>
      <c r="C7" s="477" t="s">
        <v>1633</v>
      </c>
      <c r="D7" s="477" t="s">
        <v>1632</v>
      </c>
      <c r="E7" s="477">
        <v>4</v>
      </c>
      <c r="F7" s="478">
        <f t="shared" si="0"/>
        <v>2350000</v>
      </c>
      <c r="G7" s="402"/>
      <c r="H7" s="476"/>
      <c r="I7" s="476"/>
      <c r="J7" s="476"/>
      <c r="K7" s="476"/>
      <c r="L7" s="476"/>
    </row>
    <row r="8" spans="2:13">
      <c r="B8" s="479" t="s">
        <v>1631</v>
      </c>
      <c r="C8" s="479" t="s">
        <v>1630</v>
      </c>
      <c r="D8" s="479" t="s">
        <v>1629</v>
      </c>
      <c r="E8" s="479">
        <v>3</v>
      </c>
      <c r="F8" s="478">
        <f t="shared" si="0"/>
        <v>2100000</v>
      </c>
      <c r="G8" s="402"/>
      <c r="H8" s="476"/>
      <c r="I8" s="476"/>
      <c r="J8" s="476"/>
      <c r="K8" s="476"/>
      <c r="L8" s="476"/>
    </row>
    <row r="9" spans="2:13">
      <c r="B9" s="477" t="s">
        <v>1628</v>
      </c>
      <c r="C9" s="477" t="s">
        <v>1627</v>
      </c>
      <c r="D9" s="477" t="s">
        <v>1626</v>
      </c>
      <c r="E9" s="477">
        <v>5</v>
      </c>
      <c r="F9" s="478">
        <f t="shared" si="0"/>
        <v>2680000</v>
      </c>
      <c r="G9" s="402"/>
      <c r="H9" s="476"/>
      <c r="I9" s="476"/>
      <c r="J9" s="476"/>
      <c r="K9" s="476"/>
      <c r="L9" s="476"/>
    </row>
    <row r="10" spans="2:13">
      <c r="B10" s="479" t="s">
        <v>1625</v>
      </c>
      <c r="C10" s="479" t="s">
        <v>1624</v>
      </c>
      <c r="D10" s="479" t="s">
        <v>1623</v>
      </c>
      <c r="E10" s="479">
        <v>2</v>
      </c>
      <c r="F10" s="478">
        <f t="shared" si="0"/>
        <v>1950000</v>
      </c>
      <c r="G10" s="402"/>
      <c r="H10" s="476"/>
      <c r="I10" s="476"/>
      <c r="J10" s="476"/>
      <c r="K10" s="476"/>
      <c r="L10" s="476"/>
    </row>
    <row r="11" spans="2:13">
      <c r="B11" s="477" t="s">
        <v>1622</v>
      </c>
      <c r="C11" s="477" t="s">
        <v>1621</v>
      </c>
      <c r="D11" s="477" t="s">
        <v>1620</v>
      </c>
      <c r="E11" s="477">
        <v>1</v>
      </c>
      <c r="F11" s="478">
        <f t="shared" si="0"/>
        <v>1860000</v>
      </c>
      <c r="G11" s="402"/>
      <c r="H11" s="476"/>
      <c r="I11" s="476"/>
      <c r="J11" s="476"/>
      <c r="K11" s="476"/>
      <c r="L11" s="476"/>
    </row>
    <row r="12" spans="2:13">
      <c r="B12" s="402"/>
      <c r="C12" s="402"/>
      <c r="D12" s="402"/>
      <c r="E12" s="402"/>
      <c r="F12" s="402"/>
      <c r="G12" s="402"/>
      <c r="H12" s="476"/>
      <c r="I12" s="476"/>
      <c r="J12" s="476"/>
      <c r="K12" s="476"/>
      <c r="L12" s="476"/>
    </row>
  </sheetData>
  <mergeCells count="2">
    <mergeCell ref="B1:F1"/>
    <mergeCell ref="H1:L1"/>
  </mergeCells>
  <phoneticPr fontId="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2"/>
  <sheetViews>
    <sheetView showGridLines="0" topLeftCell="A4" zoomScale="110" zoomScaleNormal="110" workbookViewId="0">
      <selection activeCell="D12" sqref="D12:E12"/>
    </sheetView>
  </sheetViews>
  <sheetFormatPr defaultColWidth="8.8984375" defaultRowHeight="16.5" customHeight="1"/>
  <cols>
    <col min="1" max="1" width="3" style="8" customWidth="1"/>
    <col min="2" max="2" width="8.296875" style="8" customWidth="1"/>
    <col min="3" max="3" width="14.09765625" style="8" customWidth="1"/>
    <col min="4" max="4" width="9.3984375" style="8" customWidth="1"/>
    <col min="5" max="5" width="8.8984375" style="8" customWidth="1"/>
    <col min="6" max="6" width="6.796875" style="8" customWidth="1"/>
    <col min="7" max="7" width="11.09765625" style="8" customWidth="1"/>
    <col min="8" max="8" width="2.09765625" style="109" customWidth="1"/>
    <col min="9" max="9" width="8" style="8" customWidth="1"/>
    <col min="10" max="10" width="8.69921875" style="8" customWidth="1"/>
    <col min="11" max="11" width="9.8984375" style="8" bestFit="1" customWidth="1"/>
    <col min="12" max="12" width="8.09765625" style="8" bestFit="1" customWidth="1"/>
    <col min="13" max="15" width="8.296875" style="8" bestFit="1" customWidth="1"/>
    <col min="16" max="16384" width="8.8984375" style="8"/>
  </cols>
  <sheetData>
    <row r="4" spans="1:18" ht="27.6">
      <c r="A4" s="619" t="s">
        <v>540</v>
      </c>
      <c r="B4" s="619"/>
      <c r="C4" s="619"/>
      <c r="D4" s="619"/>
      <c r="E4" s="619"/>
      <c r="F4" s="619"/>
      <c r="G4" s="619"/>
      <c r="I4" s="110" t="s">
        <v>541</v>
      </c>
      <c r="J4" s="111"/>
      <c r="K4" s="111"/>
      <c r="L4" s="111"/>
      <c r="M4" s="111"/>
      <c r="N4" s="111"/>
      <c r="O4" s="111"/>
      <c r="P4" s="111"/>
      <c r="Q4" s="111"/>
      <c r="R4" s="111"/>
    </row>
    <row r="5" spans="1:18" ht="17.399999999999999">
      <c r="I5" s="247" t="s">
        <v>542</v>
      </c>
      <c r="J5" s="112" t="s">
        <v>543</v>
      </c>
      <c r="K5" s="112" t="s">
        <v>544</v>
      </c>
      <c r="L5" s="112" t="s">
        <v>545</v>
      </c>
      <c r="M5" s="112" t="s">
        <v>546</v>
      </c>
      <c r="N5" s="112" t="s">
        <v>547</v>
      </c>
      <c r="O5" s="113" t="s">
        <v>548</v>
      </c>
    </row>
    <row r="6" spans="1:18" ht="17.399999999999999">
      <c r="B6" s="8" t="s">
        <v>549</v>
      </c>
      <c r="C6" s="114">
        <v>1122</v>
      </c>
      <c r="F6" s="115" t="s">
        <v>550</v>
      </c>
      <c r="G6" s="114" t="s">
        <v>551</v>
      </c>
      <c r="I6" s="248" t="s">
        <v>552</v>
      </c>
      <c r="J6" s="116" t="s">
        <v>553</v>
      </c>
      <c r="K6" s="116" t="s">
        <v>553</v>
      </c>
      <c r="L6" s="116" t="s">
        <v>553</v>
      </c>
      <c r="M6" s="116" t="s">
        <v>554</v>
      </c>
      <c r="N6" s="116" t="s">
        <v>554</v>
      </c>
      <c r="O6" s="117" t="s">
        <v>554</v>
      </c>
    </row>
    <row r="7" spans="1:18" ht="17.399999999999999">
      <c r="B7" s="8" t="s">
        <v>555</v>
      </c>
      <c r="C7" s="118">
        <f ca="1">TODAY()</f>
        <v>44726</v>
      </c>
      <c r="D7" s="118"/>
      <c r="F7" s="115" t="s">
        <v>556</v>
      </c>
      <c r="G7" s="114" t="s">
        <v>543</v>
      </c>
      <c r="I7" s="249" t="s">
        <v>557</v>
      </c>
      <c r="J7" s="119">
        <v>5000</v>
      </c>
      <c r="K7" s="119">
        <v>5500</v>
      </c>
      <c r="L7" s="119">
        <v>8000</v>
      </c>
      <c r="M7" s="119">
        <v>12000</v>
      </c>
      <c r="N7" s="119">
        <v>12000</v>
      </c>
      <c r="O7" s="120">
        <v>15000</v>
      </c>
    </row>
    <row r="8" spans="1:18" ht="17.399999999999999">
      <c r="F8" s="115" t="s">
        <v>558</v>
      </c>
      <c r="G8" s="246">
        <f>HLOOKUP(G7,J5:O7,3,FALSE)</f>
        <v>5000</v>
      </c>
    </row>
    <row r="9" spans="1:18" ht="19.2">
      <c r="I9" s="110" t="s">
        <v>559</v>
      </c>
    </row>
    <row r="10" spans="1:18" ht="18" thickBot="1">
      <c r="A10" s="121" t="s">
        <v>560</v>
      </c>
      <c r="B10" s="122" t="s">
        <v>561</v>
      </c>
      <c r="C10" s="122" t="s">
        <v>562</v>
      </c>
      <c r="D10" s="122" t="s">
        <v>563</v>
      </c>
      <c r="E10" s="122" t="s">
        <v>564</v>
      </c>
      <c r="F10" s="122" t="s">
        <v>565</v>
      </c>
      <c r="G10" s="123" t="s">
        <v>566</v>
      </c>
      <c r="I10" s="247" t="s">
        <v>561</v>
      </c>
      <c r="J10" s="250" t="s">
        <v>562</v>
      </c>
      <c r="K10" s="250" t="s">
        <v>563</v>
      </c>
      <c r="L10" s="251" t="s">
        <v>564</v>
      </c>
    </row>
    <row r="11" spans="1:18" ht="18.600000000000001" thickTop="1" thickBot="1">
      <c r="A11" s="124">
        <f t="shared" ref="A11:A20" si="0">ROW()-10</f>
        <v>1</v>
      </c>
      <c r="B11" s="125" t="s">
        <v>567</v>
      </c>
      <c r="C11" s="126" t="str">
        <f>VLOOKUP(B11,$I$11:$L$20,2,FALSE)</f>
        <v>유미식품</v>
      </c>
      <c r="D11" s="126" t="str">
        <f>VLOOKUP($B$11,$I$11:$L$20,3,FALSE)</f>
        <v>딸기소스</v>
      </c>
      <c r="E11" s="126">
        <f>VLOOKUP($B$11,$I$11:$L$20,4,FALSE)</f>
        <v>500</v>
      </c>
      <c r="F11" s="126"/>
      <c r="G11" s="126"/>
      <c r="I11" s="127" t="s">
        <v>568</v>
      </c>
      <c r="J11" s="116" t="s">
        <v>569</v>
      </c>
      <c r="K11" s="116" t="s">
        <v>570</v>
      </c>
      <c r="L11" s="128">
        <v>300</v>
      </c>
    </row>
    <row r="12" spans="1:18" ht="18.600000000000001" thickTop="1" thickBot="1">
      <c r="A12" s="127">
        <f t="shared" si="0"/>
        <v>2</v>
      </c>
      <c r="B12" s="116" t="s">
        <v>568</v>
      </c>
      <c r="C12" s="126" t="str">
        <f t="shared" ref="C12:C15" si="1">VLOOKUP(B12,$I$11:$L$20,2,FALSE)</f>
        <v>서울무역</v>
      </c>
      <c r="D12" s="126"/>
      <c r="E12" s="126"/>
      <c r="F12" s="129"/>
      <c r="G12" s="129"/>
      <c r="I12" s="127" t="s">
        <v>571</v>
      </c>
      <c r="J12" s="116" t="s">
        <v>572</v>
      </c>
      <c r="K12" s="116" t="s">
        <v>573</v>
      </c>
      <c r="L12" s="128">
        <v>400</v>
      </c>
    </row>
    <row r="13" spans="1:18" ht="18.600000000000001" thickTop="1" thickBot="1">
      <c r="A13" s="127">
        <f t="shared" si="0"/>
        <v>3</v>
      </c>
      <c r="B13" s="116" t="s">
        <v>574</v>
      </c>
      <c r="C13" s="126" t="str">
        <f t="shared" si="1"/>
        <v>세종물산</v>
      </c>
      <c r="D13" s="129"/>
      <c r="E13" s="129"/>
      <c r="F13" s="129"/>
      <c r="G13" s="129"/>
      <c r="I13" s="127" t="s">
        <v>575</v>
      </c>
      <c r="J13" s="116" t="s">
        <v>576</v>
      </c>
      <c r="K13" s="116" t="s">
        <v>577</v>
      </c>
      <c r="L13" s="128">
        <v>500</v>
      </c>
    </row>
    <row r="14" spans="1:18" ht="18.600000000000001" thickTop="1" thickBot="1">
      <c r="A14" s="127">
        <f t="shared" si="0"/>
        <v>4</v>
      </c>
      <c r="B14" s="116" t="s">
        <v>578</v>
      </c>
      <c r="C14" s="126" t="str">
        <f t="shared" si="1"/>
        <v>신한식품</v>
      </c>
      <c r="D14" s="129"/>
      <c r="E14" s="129"/>
      <c r="F14" s="129"/>
      <c r="G14" s="129"/>
      <c r="I14" s="127" t="s">
        <v>579</v>
      </c>
      <c r="J14" s="116" t="s">
        <v>580</v>
      </c>
      <c r="K14" s="116" t="s">
        <v>581</v>
      </c>
      <c r="L14" s="128">
        <v>700</v>
      </c>
    </row>
    <row r="15" spans="1:18" ht="18" thickTop="1">
      <c r="A15" s="127">
        <f t="shared" si="0"/>
        <v>5</v>
      </c>
      <c r="B15" s="116" t="s">
        <v>582</v>
      </c>
      <c r="C15" s="126" t="str">
        <f t="shared" si="1"/>
        <v>삼화음료</v>
      </c>
      <c r="D15" s="129"/>
      <c r="E15" s="129"/>
      <c r="F15" s="129"/>
      <c r="G15" s="129"/>
      <c r="I15" s="127" t="s">
        <v>583</v>
      </c>
      <c r="J15" s="116" t="s">
        <v>584</v>
      </c>
      <c r="K15" s="116" t="s">
        <v>585</v>
      </c>
      <c r="L15" s="128">
        <v>300</v>
      </c>
    </row>
    <row r="16" spans="1:18" ht="17.399999999999999">
      <c r="A16" s="127">
        <f t="shared" si="0"/>
        <v>6</v>
      </c>
      <c r="B16" s="116"/>
      <c r="C16" s="129"/>
      <c r="D16" s="129"/>
      <c r="E16" s="129"/>
      <c r="F16" s="129"/>
      <c r="G16" s="129"/>
      <c r="I16" s="127" t="s">
        <v>586</v>
      </c>
      <c r="J16" s="116" t="s">
        <v>587</v>
      </c>
      <c r="K16" s="116" t="s">
        <v>588</v>
      </c>
      <c r="L16" s="128">
        <v>500</v>
      </c>
    </row>
    <row r="17" spans="1:12" ht="17.399999999999999">
      <c r="A17" s="127">
        <f t="shared" si="0"/>
        <v>7</v>
      </c>
      <c r="B17" s="116"/>
      <c r="C17" s="129"/>
      <c r="D17" s="129"/>
      <c r="E17" s="129"/>
      <c r="F17" s="129"/>
      <c r="G17" s="129"/>
      <c r="I17" s="127" t="s">
        <v>589</v>
      </c>
      <c r="J17" s="116" t="s">
        <v>590</v>
      </c>
      <c r="K17" s="116" t="s">
        <v>591</v>
      </c>
      <c r="L17" s="128">
        <v>1000</v>
      </c>
    </row>
    <row r="18" spans="1:12" ht="17.399999999999999">
      <c r="A18" s="127">
        <f t="shared" si="0"/>
        <v>8</v>
      </c>
      <c r="B18" s="116"/>
      <c r="C18" s="129"/>
      <c r="D18" s="129"/>
      <c r="E18" s="129"/>
      <c r="F18" s="129"/>
      <c r="G18" s="129"/>
      <c r="I18" s="127" t="s">
        <v>592</v>
      </c>
      <c r="J18" s="116" t="s">
        <v>593</v>
      </c>
      <c r="K18" s="116" t="s">
        <v>594</v>
      </c>
      <c r="L18" s="128">
        <v>500</v>
      </c>
    </row>
    <row r="19" spans="1:12" ht="17.399999999999999">
      <c r="A19" s="127">
        <f t="shared" si="0"/>
        <v>9</v>
      </c>
      <c r="B19" s="116"/>
      <c r="C19" s="129"/>
      <c r="D19" s="129"/>
      <c r="E19" s="129"/>
      <c r="F19" s="129"/>
      <c r="G19" s="129"/>
      <c r="I19" s="127" t="s">
        <v>595</v>
      </c>
      <c r="J19" s="116" t="s">
        <v>596</v>
      </c>
      <c r="K19" s="116" t="s">
        <v>597</v>
      </c>
      <c r="L19" s="128">
        <v>1000</v>
      </c>
    </row>
    <row r="20" spans="1:12" ht="17.399999999999999">
      <c r="A20" s="130">
        <f t="shared" si="0"/>
        <v>10</v>
      </c>
      <c r="B20" s="131"/>
      <c r="C20" s="132"/>
      <c r="D20" s="132"/>
      <c r="E20" s="132"/>
      <c r="F20" s="132"/>
      <c r="G20" s="132"/>
      <c r="I20" s="130" t="s">
        <v>598</v>
      </c>
      <c r="J20" s="131" t="s">
        <v>599</v>
      </c>
      <c r="K20" s="131" t="s">
        <v>600</v>
      </c>
      <c r="L20" s="133">
        <v>300</v>
      </c>
    </row>
    <row r="21" spans="1:12" ht="18" thickBot="1">
      <c r="A21" s="134"/>
      <c r="B21" s="134"/>
      <c r="C21" s="134"/>
      <c r="D21" s="134"/>
      <c r="E21" s="620" t="s">
        <v>601</v>
      </c>
      <c r="F21" s="621"/>
      <c r="G21" s="135"/>
    </row>
    <row r="22" spans="1:12" ht="18" thickTop="1"/>
  </sheetData>
  <mergeCells count="2">
    <mergeCell ref="A4:G4"/>
    <mergeCell ref="E21:F21"/>
  </mergeCells>
  <phoneticPr fontId="8" type="noConversion"/>
  <dataValidations disablePrompts="1" count="1">
    <dataValidation type="list" allowBlank="1" showInputMessage="1" showErrorMessage="1" sqref="G7">
      <formula1>$J$5:$O$5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workbookViewId="0">
      <selection activeCell="J5" sqref="J5"/>
    </sheetView>
  </sheetViews>
  <sheetFormatPr defaultRowHeight="17.399999999999999"/>
  <cols>
    <col min="1" max="1" width="1.796875" style="41" customWidth="1"/>
    <col min="2" max="2" width="4" style="41" bestFit="1" customWidth="1"/>
    <col min="3" max="4" width="7" style="41" customWidth="1"/>
    <col min="5" max="7" width="8.296875" style="41" customWidth="1"/>
    <col min="8" max="9" width="6.796875" style="41" customWidth="1"/>
    <col min="10" max="10" width="8.8984375" style="41"/>
    <col min="11" max="11" width="4.69921875" style="41" customWidth="1"/>
    <col min="12" max="13" width="8.8984375" style="41"/>
    <col min="14" max="14" width="5" style="41" customWidth="1"/>
    <col min="15" max="256" width="8.8984375" style="41"/>
    <col min="257" max="257" width="1.796875" style="41" customWidth="1"/>
    <col min="258" max="258" width="4" style="41" bestFit="1" customWidth="1"/>
    <col min="259" max="260" width="7" style="41" customWidth="1"/>
    <col min="261" max="263" width="8.296875" style="41" customWidth="1"/>
    <col min="264" max="265" width="6.796875" style="41" customWidth="1"/>
    <col min="266" max="512" width="8.8984375" style="41"/>
    <col min="513" max="513" width="1.796875" style="41" customWidth="1"/>
    <col min="514" max="514" width="4" style="41" bestFit="1" customWidth="1"/>
    <col min="515" max="516" width="7" style="41" customWidth="1"/>
    <col min="517" max="519" width="8.296875" style="41" customWidth="1"/>
    <col min="520" max="521" width="6.796875" style="41" customWidth="1"/>
    <col min="522" max="768" width="8.8984375" style="41"/>
    <col min="769" max="769" width="1.796875" style="41" customWidth="1"/>
    <col min="770" max="770" width="4" style="41" bestFit="1" customWidth="1"/>
    <col min="771" max="772" width="7" style="41" customWidth="1"/>
    <col min="773" max="775" width="8.296875" style="41" customWidth="1"/>
    <col min="776" max="777" width="6.796875" style="41" customWidth="1"/>
    <col min="778" max="1024" width="8.8984375" style="41"/>
    <col min="1025" max="1025" width="1.796875" style="41" customWidth="1"/>
    <col min="1026" max="1026" width="4" style="41" bestFit="1" customWidth="1"/>
    <col min="1027" max="1028" width="7" style="41" customWidth="1"/>
    <col min="1029" max="1031" width="8.296875" style="41" customWidth="1"/>
    <col min="1032" max="1033" width="6.796875" style="41" customWidth="1"/>
    <col min="1034" max="1280" width="8.8984375" style="41"/>
    <col min="1281" max="1281" width="1.796875" style="41" customWidth="1"/>
    <col min="1282" max="1282" width="4" style="41" bestFit="1" customWidth="1"/>
    <col min="1283" max="1284" width="7" style="41" customWidth="1"/>
    <col min="1285" max="1287" width="8.296875" style="41" customWidth="1"/>
    <col min="1288" max="1289" width="6.796875" style="41" customWidth="1"/>
    <col min="1290" max="1536" width="8.8984375" style="41"/>
    <col min="1537" max="1537" width="1.796875" style="41" customWidth="1"/>
    <col min="1538" max="1538" width="4" style="41" bestFit="1" customWidth="1"/>
    <col min="1539" max="1540" width="7" style="41" customWidth="1"/>
    <col min="1541" max="1543" width="8.296875" style="41" customWidth="1"/>
    <col min="1544" max="1545" width="6.796875" style="41" customWidth="1"/>
    <col min="1546" max="1792" width="8.8984375" style="41"/>
    <col min="1793" max="1793" width="1.796875" style="41" customWidth="1"/>
    <col min="1794" max="1794" width="4" style="41" bestFit="1" customWidth="1"/>
    <col min="1795" max="1796" width="7" style="41" customWidth="1"/>
    <col min="1797" max="1799" width="8.296875" style="41" customWidth="1"/>
    <col min="1800" max="1801" width="6.796875" style="41" customWidth="1"/>
    <col min="1802" max="2048" width="8.8984375" style="41"/>
    <col min="2049" max="2049" width="1.796875" style="41" customWidth="1"/>
    <col min="2050" max="2050" width="4" style="41" bestFit="1" customWidth="1"/>
    <col min="2051" max="2052" width="7" style="41" customWidth="1"/>
    <col min="2053" max="2055" width="8.296875" style="41" customWidth="1"/>
    <col min="2056" max="2057" width="6.796875" style="41" customWidth="1"/>
    <col min="2058" max="2304" width="8.8984375" style="41"/>
    <col min="2305" max="2305" width="1.796875" style="41" customWidth="1"/>
    <col min="2306" max="2306" width="4" style="41" bestFit="1" customWidth="1"/>
    <col min="2307" max="2308" width="7" style="41" customWidth="1"/>
    <col min="2309" max="2311" width="8.296875" style="41" customWidth="1"/>
    <col min="2312" max="2313" width="6.796875" style="41" customWidth="1"/>
    <col min="2314" max="2560" width="8.8984375" style="41"/>
    <col min="2561" max="2561" width="1.796875" style="41" customWidth="1"/>
    <col min="2562" max="2562" width="4" style="41" bestFit="1" customWidth="1"/>
    <col min="2563" max="2564" width="7" style="41" customWidth="1"/>
    <col min="2565" max="2567" width="8.296875" style="41" customWidth="1"/>
    <col min="2568" max="2569" width="6.796875" style="41" customWidth="1"/>
    <col min="2570" max="2816" width="8.8984375" style="41"/>
    <col min="2817" max="2817" width="1.796875" style="41" customWidth="1"/>
    <col min="2818" max="2818" width="4" style="41" bestFit="1" customWidth="1"/>
    <col min="2819" max="2820" width="7" style="41" customWidth="1"/>
    <col min="2821" max="2823" width="8.296875" style="41" customWidth="1"/>
    <col min="2824" max="2825" width="6.796875" style="41" customWidth="1"/>
    <col min="2826" max="3072" width="8.8984375" style="41"/>
    <col min="3073" max="3073" width="1.796875" style="41" customWidth="1"/>
    <col min="3074" max="3074" width="4" style="41" bestFit="1" customWidth="1"/>
    <col min="3075" max="3076" width="7" style="41" customWidth="1"/>
    <col min="3077" max="3079" width="8.296875" style="41" customWidth="1"/>
    <col min="3080" max="3081" width="6.796875" style="41" customWidth="1"/>
    <col min="3082" max="3328" width="8.8984375" style="41"/>
    <col min="3329" max="3329" width="1.796875" style="41" customWidth="1"/>
    <col min="3330" max="3330" width="4" style="41" bestFit="1" customWidth="1"/>
    <col min="3331" max="3332" width="7" style="41" customWidth="1"/>
    <col min="3333" max="3335" width="8.296875" style="41" customWidth="1"/>
    <col min="3336" max="3337" width="6.796875" style="41" customWidth="1"/>
    <col min="3338" max="3584" width="8.8984375" style="41"/>
    <col min="3585" max="3585" width="1.796875" style="41" customWidth="1"/>
    <col min="3586" max="3586" width="4" style="41" bestFit="1" customWidth="1"/>
    <col min="3587" max="3588" width="7" style="41" customWidth="1"/>
    <col min="3589" max="3591" width="8.296875" style="41" customWidth="1"/>
    <col min="3592" max="3593" width="6.796875" style="41" customWidth="1"/>
    <col min="3594" max="3840" width="8.8984375" style="41"/>
    <col min="3841" max="3841" width="1.796875" style="41" customWidth="1"/>
    <col min="3842" max="3842" width="4" style="41" bestFit="1" customWidth="1"/>
    <col min="3843" max="3844" width="7" style="41" customWidth="1"/>
    <col min="3845" max="3847" width="8.296875" style="41" customWidth="1"/>
    <col min="3848" max="3849" width="6.796875" style="41" customWidth="1"/>
    <col min="3850" max="4096" width="8.8984375" style="41"/>
    <col min="4097" max="4097" width="1.796875" style="41" customWidth="1"/>
    <col min="4098" max="4098" width="4" style="41" bestFit="1" customWidth="1"/>
    <col min="4099" max="4100" width="7" style="41" customWidth="1"/>
    <col min="4101" max="4103" width="8.296875" style="41" customWidth="1"/>
    <col min="4104" max="4105" width="6.796875" style="41" customWidth="1"/>
    <col min="4106" max="4352" width="8.8984375" style="41"/>
    <col min="4353" max="4353" width="1.796875" style="41" customWidth="1"/>
    <col min="4354" max="4354" width="4" style="41" bestFit="1" customWidth="1"/>
    <col min="4355" max="4356" width="7" style="41" customWidth="1"/>
    <col min="4357" max="4359" width="8.296875" style="41" customWidth="1"/>
    <col min="4360" max="4361" width="6.796875" style="41" customWidth="1"/>
    <col min="4362" max="4608" width="8.8984375" style="41"/>
    <col min="4609" max="4609" width="1.796875" style="41" customWidth="1"/>
    <col min="4610" max="4610" width="4" style="41" bestFit="1" customWidth="1"/>
    <col min="4611" max="4612" width="7" style="41" customWidth="1"/>
    <col min="4613" max="4615" width="8.296875" style="41" customWidth="1"/>
    <col min="4616" max="4617" width="6.796875" style="41" customWidth="1"/>
    <col min="4618" max="4864" width="8.8984375" style="41"/>
    <col min="4865" max="4865" width="1.796875" style="41" customWidth="1"/>
    <col min="4866" max="4866" width="4" style="41" bestFit="1" customWidth="1"/>
    <col min="4867" max="4868" width="7" style="41" customWidth="1"/>
    <col min="4869" max="4871" width="8.296875" style="41" customWidth="1"/>
    <col min="4872" max="4873" width="6.796875" style="41" customWidth="1"/>
    <col min="4874" max="5120" width="8.8984375" style="41"/>
    <col min="5121" max="5121" width="1.796875" style="41" customWidth="1"/>
    <col min="5122" max="5122" width="4" style="41" bestFit="1" customWidth="1"/>
    <col min="5123" max="5124" width="7" style="41" customWidth="1"/>
    <col min="5125" max="5127" width="8.296875" style="41" customWidth="1"/>
    <col min="5128" max="5129" width="6.796875" style="41" customWidth="1"/>
    <col min="5130" max="5376" width="8.8984375" style="41"/>
    <col min="5377" max="5377" width="1.796875" style="41" customWidth="1"/>
    <col min="5378" max="5378" width="4" style="41" bestFit="1" customWidth="1"/>
    <col min="5379" max="5380" width="7" style="41" customWidth="1"/>
    <col min="5381" max="5383" width="8.296875" style="41" customWidth="1"/>
    <col min="5384" max="5385" width="6.796875" style="41" customWidth="1"/>
    <col min="5386" max="5632" width="8.8984375" style="41"/>
    <col min="5633" max="5633" width="1.796875" style="41" customWidth="1"/>
    <col min="5634" max="5634" width="4" style="41" bestFit="1" customWidth="1"/>
    <col min="5635" max="5636" width="7" style="41" customWidth="1"/>
    <col min="5637" max="5639" width="8.296875" style="41" customWidth="1"/>
    <col min="5640" max="5641" width="6.796875" style="41" customWidth="1"/>
    <col min="5642" max="5888" width="8.8984375" style="41"/>
    <col min="5889" max="5889" width="1.796875" style="41" customWidth="1"/>
    <col min="5890" max="5890" width="4" style="41" bestFit="1" customWidth="1"/>
    <col min="5891" max="5892" width="7" style="41" customWidth="1"/>
    <col min="5893" max="5895" width="8.296875" style="41" customWidth="1"/>
    <col min="5896" max="5897" width="6.796875" style="41" customWidth="1"/>
    <col min="5898" max="6144" width="8.8984375" style="41"/>
    <col min="6145" max="6145" width="1.796875" style="41" customWidth="1"/>
    <col min="6146" max="6146" width="4" style="41" bestFit="1" customWidth="1"/>
    <col min="6147" max="6148" width="7" style="41" customWidth="1"/>
    <col min="6149" max="6151" width="8.296875" style="41" customWidth="1"/>
    <col min="6152" max="6153" width="6.796875" style="41" customWidth="1"/>
    <col min="6154" max="6400" width="8.8984375" style="41"/>
    <col min="6401" max="6401" width="1.796875" style="41" customWidth="1"/>
    <col min="6402" max="6402" width="4" style="41" bestFit="1" customWidth="1"/>
    <col min="6403" max="6404" width="7" style="41" customWidth="1"/>
    <col min="6405" max="6407" width="8.296875" style="41" customWidth="1"/>
    <col min="6408" max="6409" width="6.796875" style="41" customWidth="1"/>
    <col min="6410" max="6656" width="8.8984375" style="41"/>
    <col min="6657" max="6657" width="1.796875" style="41" customWidth="1"/>
    <col min="6658" max="6658" width="4" style="41" bestFit="1" customWidth="1"/>
    <col min="6659" max="6660" width="7" style="41" customWidth="1"/>
    <col min="6661" max="6663" width="8.296875" style="41" customWidth="1"/>
    <col min="6664" max="6665" width="6.796875" style="41" customWidth="1"/>
    <col min="6666" max="6912" width="8.8984375" style="41"/>
    <col min="6913" max="6913" width="1.796875" style="41" customWidth="1"/>
    <col min="6914" max="6914" width="4" style="41" bestFit="1" customWidth="1"/>
    <col min="6915" max="6916" width="7" style="41" customWidth="1"/>
    <col min="6917" max="6919" width="8.296875" style="41" customWidth="1"/>
    <col min="6920" max="6921" width="6.796875" style="41" customWidth="1"/>
    <col min="6922" max="7168" width="8.8984375" style="41"/>
    <col min="7169" max="7169" width="1.796875" style="41" customWidth="1"/>
    <col min="7170" max="7170" width="4" style="41" bestFit="1" customWidth="1"/>
    <col min="7171" max="7172" width="7" style="41" customWidth="1"/>
    <col min="7173" max="7175" width="8.296875" style="41" customWidth="1"/>
    <col min="7176" max="7177" width="6.796875" style="41" customWidth="1"/>
    <col min="7178" max="7424" width="8.8984375" style="41"/>
    <col min="7425" max="7425" width="1.796875" style="41" customWidth="1"/>
    <col min="7426" max="7426" width="4" style="41" bestFit="1" customWidth="1"/>
    <col min="7427" max="7428" width="7" style="41" customWidth="1"/>
    <col min="7429" max="7431" width="8.296875" style="41" customWidth="1"/>
    <col min="7432" max="7433" width="6.796875" style="41" customWidth="1"/>
    <col min="7434" max="7680" width="8.8984375" style="41"/>
    <col min="7681" max="7681" width="1.796875" style="41" customWidth="1"/>
    <col min="7682" max="7682" width="4" style="41" bestFit="1" customWidth="1"/>
    <col min="7683" max="7684" width="7" style="41" customWidth="1"/>
    <col min="7685" max="7687" width="8.296875" style="41" customWidth="1"/>
    <col min="7688" max="7689" width="6.796875" style="41" customWidth="1"/>
    <col min="7690" max="7936" width="8.8984375" style="41"/>
    <col min="7937" max="7937" width="1.796875" style="41" customWidth="1"/>
    <col min="7938" max="7938" width="4" style="41" bestFit="1" customWidth="1"/>
    <col min="7939" max="7940" width="7" style="41" customWidth="1"/>
    <col min="7941" max="7943" width="8.296875" style="41" customWidth="1"/>
    <col min="7944" max="7945" width="6.796875" style="41" customWidth="1"/>
    <col min="7946" max="8192" width="8.8984375" style="41"/>
    <col min="8193" max="8193" width="1.796875" style="41" customWidth="1"/>
    <col min="8194" max="8194" width="4" style="41" bestFit="1" customWidth="1"/>
    <col min="8195" max="8196" width="7" style="41" customWidth="1"/>
    <col min="8197" max="8199" width="8.296875" style="41" customWidth="1"/>
    <col min="8200" max="8201" width="6.796875" style="41" customWidth="1"/>
    <col min="8202" max="8448" width="8.8984375" style="41"/>
    <col min="8449" max="8449" width="1.796875" style="41" customWidth="1"/>
    <col min="8450" max="8450" width="4" style="41" bestFit="1" customWidth="1"/>
    <col min="8451" max="8452" width="7" style="41" customWidth="1"/>
    <col min="8453" max="8455" width="8.296875" style="41" customWidth="1"/>
    <col min="8456" max="8457" width="6.796875" style="41" customWidth="1"/>
    <col min="8458" max="8704" width="8.8984375" style="41"/>
    <col min="8705" max="8705" width="1.796875" style="41" customWidth="1"/>
    <col min="8706" max="8706" width="4" style="41" bestFit="1" customWidth="1"/>
    <col min="8707" max="8708" width="7" style="41" customWidth="1"/>
    <col min="8709" max="8711" width="8.296875" style="41" customWidth="1"/>
    <col min="8712" max="8713" width="6.796875" style="41" customWidth="1"/>
    <col min="8714" max="8960" width="8.8984375" style="41"/>
    <col min="8961" max="8961" width="1.796875" style="41" customWidth="1"/>
    <col min="8962" max="8962" width="4" style="41" bestFit="1" customWidth="1"/>
    <col min="8963" max="8964" width="7" style="41" customWidth="1"/>
    <col min="8965" max="8967" width="8.296875" style="41" customWidth="1"/>
    <col min="8968" max="8969" width="6.796875" style="41" customWidth="1"/>
    <col min="8970" max="9216" width="8.8984375" style="41"/>
    <col min="9217" max="9217" width="1.796875" style="41" customWidth="1"/>
    <col min="9218" max="9218" width="4" style="41" bestFit="1" customWidth="1"/>
    <col min="9219" max="9220" width="7" style="41" customWidth="1"/>
    <col min="9221" max="9223" width="8.296875" style="41" customWidth="1"/>
    <col min="9224" max="9225" width="6.796875" style="41" customWidth="1"/>
    <col min="9226" max="9472" width="8.8984375" style="41"/>
    <col min="9473" max="9473" width="1.796875" style="41" customWidth="1"/>
    <col min="9474" max="9474" width="4" style="41" bestFit="1" customWidth="1"/>
    <col min="9475" max="9476" width="7" style="41" customWidth="1"/>
    <col min="9477" max="9479" width="8.296875" style="41" customWidth="1"/>
    <col min="9480" max="9481" width="6.796875" style="41" customWidth="1"/>
    <col min="9482" max="9728" width="8.8984375" style="41"/>
    <col min="9729" max="9729" width="1.796875" style="41" customWidth="1"/>
    <col min="9730" max="9730" width="4" style="41" bestFit="1" customWidth="1"/>
    <col min="9731" max="9732" width="7" style="41" customWidth="1"/>
    <col min="9733" max="9735" width="8.296875" style="41" customWidth="1"/>
    <col min="9736" max="9737" width="6.796875" style="41" customWidth="1"/>
    <col min="9738" max="9984" width="8.8984375" style="41"/>
    <col min="9985" max="9985" width="1.796875" style="41" customWidth="1"/>
    <col min="9986" max="9986" width="4" style="41" bestFit="1" customWidth="1"/>
    <col min="9987" max="9988" width="7" style="41" customWidth="1"/>
    <col min="9989" max="9991" width="8.296875" style="41" customWidth="1"/>
    <col min="9992" max="9993" width="6.796875" style="41" customWidth="1"/>
    <col min="9994" max="10240" width="8.8984375" style="41"/>
    <col min="10241" max="10241" width="1.796875" style="41" customWidth="1"/>
    <col min="10242" max="10242" width="4" style="41" bestFit="1" customWidth="1"/>
    <col min="10243" max="10244" width="7" style="41" customWidth="1"/>
    <col min="10245" max="10247" width="8.296875" style="41" customWidth="1"/>
    <col min="10248" max="10249" width="6.796875" style="41" customWidth="1"/>
    <col min="10250" max="10496" width="8.8984375" style="41"/>
    <col min="10497" max="10497" width="1.796875" style="41" customWidth="1"/>
    <col min="10498" max="10498" width="4" style="41" bestFit="1" customWidth="1"/>
    <col min="10499" max="10500" width="7" style="41" customWidth="1"/>
    <col min="10501" max="10503" width="8.296875" style="41" customWidth="1"/>
    <col min="10504" max="10505" width="6.796875" style="41" customWidth="1"/>
    <col min="10506" max="10752" width="8.8984375" style="41"/>
    <col min="10753" max="10753" width="1.796875" style="41" customWidth="1"/>
    <col min="10754" max="10754" width="4" style="41" bestFit="1" customWidth="1"/>
    <col min="10755" max="10756" width="7" style="41" customWidth="1"/>
    <col min="10757" max="10759" width="8.296875" style="41" customWidth="1"/>
    <col min="10760" max="10761" width="6.796875" style="41" customWidth="1"/>
    <col min="10762" max="11008" width="8.8984375" style="41"/>
    <col min="11009" max="11009" width="1.796875" style="41" customWidth="1"/>
    <col min="11010" max="11010" width="4" style="41" bestFit="1" customWidth="1"/>
    <col min="11011" max="11012" width="7" style="41" customWidth="1"/>
    <col min="11013" max="11015" width="8.296875" style="41" customWidth="1"/>
    <col min="11016" max="11017" width="6.796875" style="41" customWidth="1"/>
    <col min="11018" max="11264" width="8.8984375" style="41"/>
    <col min="11265" max="11265" width="1.796875" style="41" customWidth="1"/>
    <col min="11266" max="11266" width="4" style="41" bestFit="1" customWidth="1"/>
    <col min="11267" max="11268" width="7" style="41" customWidth="1"/>
    <col min="11269" max="11271" width="8.296875" style="41" customWidth="1"/>
    <col min="11272" max="11273" width="6.796875" style="41" customWidth="1"/>
    <col min="11274" max="11520" width="8.8984375" style="41"/>
    <col min="11521" max="11521" width="1.796875" style="41" customWidth="1"/>
    <col min="11522" max="11522" width="4" style="41" bestFit="1" customWidth="1"/>
    <col min="11523" max="11524" width="7" style="41" customWidth="1"/>
    <col min="11525" max="11527" width="8.296875" style="41" customWidth="1"/>
    <col min="11528" max="11529" width="6.796875" style="41" customWidth="1"/>
    <col min="11530" max="11776" width="8.8984375" style="41"/>
    <col min="11777" max="11777" width="1.796875" style="41" customWidth="1"/>
    <col min="11778" max="11778" width="4" style="41" bestFit="1" customWidth="1"/>
    <col min="11779" max="11780" width="7" style="41" customWidth="1"/>
    <col min="11781" max="11783" width="8.296875" style="41" customWidth="1"/>
    <col min="11784" max="11785" width="6.796875" style="41" customWidth="1"/>
    <col min="11786" max="12032" width="8.8984375" style="41"/>
    <col min="12033" max="12033" width="1.796875" style="41" customWidth="1"/>
    <col min="12034" max="12034" width="4" style="41" bestFit="1" customWidth="1"/>
    <col min="12035" max="12036" width="7" style="41" customWidth="1"/>
    <col min="12037" max="12039" width="8.296875" style="41" customWidth="1"/>
    <col min="12040" max="12041" width="6.796875" style="41" customWidth="1"/>
    <col min="12042" max="12288" width="8.8984375" style="41"/>
    <col min="12289" max="12289" width="1.796875" style="41" customWidth="1"/>
    <col min="12290" max="12290" width="4" style="41" bestFit="1" customWidth="1"/>
    <col min="12291" max="12292" width="7" style="41" customWidth="1"/>
    <col min="12293" max="12295" width="8.296875" style="41" customWidth="1"/>
    <col min="12296" max="12297" width="6.796875" style="41" customWidth="1"/>
    <col min="12298" max="12544" width="8.8984375" style="41"/>
    <col min="12545" max="12545" width="1.796875" style="41" customWidth="1"/>
    <col min="12546" max="12546" width="4" style="41" bestFit="1" customWidth="1"/>
    <col min="12547" max="12548" width="7" style="41" customWidth="1"/>
    <col min="12549" max="12551" width="8.296875" style="41" customWidth="1"/>
    <col min="12552" max="12553" width="6.796875" style="41" customWidth="1"/>
    <col min="12554" max="12800" width="8.8984375" style="41"/>
    <col min="12801" max="12801" width="1.796875" style="41" customWidth="1"/>
    <col min="12802" max="12802" width="4" style="41" bestFit="1" customWidth="1"/>
    <col min="12803" max="12804" width="7" style="41" customWidth="1"/>
    <col min="12805" max="12807" width="8.296875" style="41" customWidth="1"/>
    <col min="12808" max="12809" width="6.796875" style="41" customWidth="1"/>
    <col min="12810" max="13056" width="8.8984375" style="41"/>
    <col min="13057" max="13057" width="1.796875" style="41" customWidth="1"/>
    <col min="13058" max="13058" width="4" style="41" bestFit="1" customWidth="1"/>
    <col min="13059" max="13060" width="7" style="41" customWidth="1"/>
    <col min="13061" max="13063" width="8.296875" style="41" customWidth="1"/>
    <col min="13064" max="13065" width="6.796875" style="41" customWidth="1"/>
    <col min="13066" max="13312" width="8.8984375" style="41"/>
    <col min="13313" max="13313" width="1.796875" style="41" customWidth="1"/>
    <col min="13314" max="13314" width="4" style="41" bestFit="1" customWidth="1"/>
    <col min="13315" max="13316" width="7" style="41" customWidth="1"/>
    <col min="13317" max="13319" width="8.296875" style="41" customWidth="1"/>
    <col min="13320" max="13321" width="6.796875" style="41" customWidth="1"/>
    <col min="13322" max="13568" width="8.8984375" style="41"/>
    <col min="13569" max="13569" width="1.796875" style="41" customWidth="1"/>
    <col min="13570" max="13570" width="4" style="41" bestFit="1" customWidth="1"/>
    <col min="13571" max="13572" width="7" style="41" customWidth="1"/>
    <col min="13573" max="13575" width="8.296875" style="41" customWidth="1"/>
    <col min="13576" max="13577" width="6.796875" style="41" customWidth="1"/>
    <col min="13578" max="13824" width="8.8984375" style="41"/>
    <col min="13825" max="13825" width="1.796875" style="41" customWidth="1"/>
    <col min="13826" max="13826" width="4" style="41" bestFit="1" customWidth="1"/>
    <col min="13827" max="13828" width="7" style="41" customWidth="1"/>
    <col min="13829" max="13831" width="8.296875" style="41" customWidth="1"/>
    <col min="13832" max="13833" width="6.796875" style="41" customWidth="1"/>
    <col min="13834" max="14080" width="8.8984375" style="41"/>
    <col min="14081" max="14081" width="1.796875" style="41" customWidth="1"/>
    <col min="14082" max="14082" width="4" style="41" bestFit="1" customWidth="1"/>
    <col min="14083" max="14084" width="7" style="41" customWidth="1"/>
    <col min="14085" max="14087" width="8.296875" style="41" customWidth="1"/>
    <col min="14088" max="14089" width="6.796875" style="41" customWidth="1"/>
    <col min="14090" max="14336" width="8.8984375" style="41"/>
    <col min="14337" max="14337" width="1.796875" style="41" customWidth="1"/>
    <col min="14338" max="14338" width="4" style="41" bestFit="1" customWidth="1"/>
    <col min="14339" max="14340" width="7" style="41" customWidth="1"/>
    <col min="14341" max="14343" width="8.296875" style="41" customWidth="1"/>
    <col min="14344" max="14345" width="6.796875" style="41" customWidth="1"/>
    <col min="14346" max="14592" width="8.8984375" style="41"/>
    <col min="14593" max="14593" width="1.796875" style="41" customWidth="1"/>
    <col min="14594" max="14594" width="4" style="41" bestFit="1" customWidth="1"/>
    <col min="14595" max="14596" width="7" style="41" customWidth="1"/>
    <col min="14597" max="14599" width="8.296875" style="41" customWidth="1"/>
    <col min="14600" max="14601" width="6.796875" style="41" customWidth="1"/>
    <col min="14602" max="14848" width="8.8984375" style="41"/>
    <col min="14849" max="14849" width="1.796875" style="41" customWidth="1"/>
    <col min="14850" max="14850" width="4" style="41" bestFit="1" customWidth="1"/>
    <col min="14851" max="14852" width="7" style="41" customWidth="1"/>
    <col min="14853" max="14855" width="8.296875" style="41" customWidth="1"/>
    <col min="14856" max="14857" width="6.796875" style="41" customWidth="1"/>
    <col min="14858" max="15104" width="8.8984375" style="41"/>
    <col min="15105" max="15105" width="1.796875" style="41" customWidth="1"/>
    <col min="15106" max="15106" width="4" style="41" bestFit="1" customWidth="1"/>
    <col min="15107" max="15108" width="7" style="41" customWidth="1"/>
    <col min="15109" max="15111" width="8.296875" style="41" customWidth="1"/>
    <col min="15112" max="15113" width="6.796875" style="41" customWidth="1"/>
    <col min="15114" max="15360" width="8.8984375" style="41"/>
    <col min="15361" max="15361" width="1.796875" style="41" customWidth="1"/>
    <col min="15362" max="15362" width="4" style="41" bestFit="1" customWidth="1"/>
    <col min="15363" max="15364" width="7" style="41" customWidth="1"/>
    <col min="15365" max="15367" width="8.296875" style="41" customWidth="1"/>
    <col min="15368" max="15369" width="6.796875" style="41" customWidth="1"/>
    <col min="15370" max="15616" width="8.8984375" style="41"/>
    <col min="15617" max="15617" width="1.796875" style="41" customWidth="1"/>
    <col min="15618" max="15618" width="4" style="41" bestFit="1" customWidth="1"/>
    <col min="15619" max="15620" width="7" style="41" customWidth="1"/>
    <col min="15621" max="15623" width="8.296875" style="41" customWidth="1"/>
    <col min="15624" max="15625" width="6.796875" style="41" customWidth="1"/>
    <col min="15626" max="15872" width="8.8984375" style="41"/>
    <col min="15873" max="15873" width="1.796875" style="41" customWidth="1"/>
    <col min="15874" max="15874" width="4" style="41" bestFit="1" customWidth="1"/>
    <col min="15875" max="15876" width="7" style="41" customWidth="1"/>
    <col min="15877" max="15879" width="8.296875" style="41" customWidth="1"/>
    <col min="15880" max="15881" width="6.796875" style="41" customWidth="1"/>
    <col min="15882" max="16128" width="8.8984375" style="41"/>
    <col min="16129" max="16129" width="1.796875" style="41" customWidth="1"/>
    <col min="16130" max="16130" width="4" style="41" bestFit="1" customWidth="1"/>
    <col min="16131" max="16132" width="7" style="41" customWidth="1"/>
    <col min="16133" max="16135" width="8.296875" style="41" customWidth="1"/>
    <col min="16136" max="16137" width="6.796875" style="41" customWidth="1"/>
    <col min="16138" max="16384" width="8.8984375" style="41"/>
  </cols>
  <sheetData>
    <row r="1" spans="2:15" ht="25.2">
      <c r="B1" s="622" t="s">
        <v>602</v>
      </c>
      <c r="C1" s="622"/>
      <c r="D1" s="622"/>
      <c r="E1" s="622"/>
      <c r="F1" s="622"/>
      <c r="G1" s="622"/>
      <c r="H1" s="622"/>
      <c r="I1" s="622"/>
      <c r="J1" s="622"/>
    </row>
    <row r="2" spans="2:15">
      <c r="B2" s="136"/>
      <c r="C2" s="136"/>
      <c r="D2" s="136"/>
      <c r="E2" s="136"/>
      <c r="F2" s="136"/>
      <c r="G2" s="136"/>
      <c r="H2" s="136"/>
      <c r="I2" s="136"/>
    </row>
    <row r="3" spans="2:15">
      <c r="B3" s="252" t="s">
        <v>603</v>
      </c>
      <c r="C3" s="252" t="s">
        <v>285</v>
      </c>
      <c r="D3" s="252" t="s">
        <v>604</v>
      </c>
      <c r="E3" s="252" t="s">
        <v>605</v>
      </c>
      <c r="F3" s="252" t="s">
        <v>606</v>
      </c>
      <c r="G3" s="252" t="s">
        <v>607</v>
      </c>
      <c r="H3" s="252" t="s">
        <v>608</v>
      </c>
      <c r="I3" s="252" t="s">
        <v>242</v>
      </c>
      <c r="J3" s="252" t="s">
        <v>609</v>
      </c>
      <c r="L3" s="623" t="s">
        <v>610</v>
      </c>
      <c r="M3" s="623"/>
      <c r="O3" s="41" t="s">
        <v>643</v>
      </c>
    </row>
    <row r="4" spans="2:15">
      <c r="B4" s="137">
        <v>1</v>
      </c>
      <c r="C4" s="137" t="s">
        <v>611</v>
      </c>
      <c r="D4" s="137" t="s">
        <v>612</v>
      </c>
      <c r="E4" s="137">
        <v>82</v>
      </c>
      <c r="F4" s="137">
        <v>67</v>
      </c>
      <c r="G4" s="137">
        <v>65</v>
      </c>
      <c r="H4" s="253">
        <f>SUM(E4:G4)</f>
        <v>214</v>
      </c>
      <c r="I4" s="254">
        <f>AVERAGE(E4:G4)</f>
        <v>71.333333333333329</v>
      </c>
      <c r="J4" s="255" t="str">
        <f>VLOOKUP(I4,$L$5:$M$13,2,TRUE)</f>
        <v>C</v>
      </c>
      <c r="L4" s="256" t="s">
        <v>613</v>
      </c>
      <c r="M4" s="256" t="s">
        <v>614</v>
      </c>
      <c r="O4" s="41" t="s">
        <v>644</v>
      </c>
    </row>
    <row r="5" spans="2:15">
      <c r="B5" s="137">
        <v>2</v>
      </c>
      <c r="C5" s="137" t="s">
        <v>615</v>
      </c>
      <c r="D5" s="137" t="s">
        <v>616</v>
      </c>
      <c r="E5" s="137">
        <v>92</v>
      </c>
      <c r="F5" s="137">
        <v>100</v>
      </c>
      <c r="G5" s="137">
        <v>97</v>
      </c>
      <c r="H5" s="253">
        <f t="shared" ref="H5:H23" si="0">SUM(E5:G5)</f>
        <v>289</v>
      </c>
      <c r="I5" s="254">
        <f t="shared" ref="I5:I23" si="1">AVERAGE(E5:G5)</f>
        <v>96.333333333333329</v>
      </c>
      <c r="J5" s="255" t="str">
        <f t="shared" ref="J5:J23" si="2">VLOOKUP(I5,$L$5:$M$13,2,TRUE)</f>
        <v>A+</v>
      </c>
      <c r="L5" s="137">
        <v>0</v>
      </c>
      <c r="M5" s="137" t="s">
        <v>617</v>
      </c>
      <c r="O5" s="41" t="s">
        <v>645</v>
      </c>
    </row>
    <row r="6" spans="2:15">
      <c r="B6" s="137">
        <v>3</v>
      </c>
      <c r="C6" s="137" t="s">
        <v>618</v>
      </c>
      <c r="D6" s="137" t="s">
        <v>616</v>
      </c>
      <c r="E6" s="137">
        <v>92</v>
      </c>
      <c r="F6" s="137">
        <v>94</v>
      </c>
      <c r="G6" s="137">
        <v>97</v>
      </c>
      <c r="H6" s="253">
        <f t="shared" si="0"/>
        <v>283</v>
      </c>
      <c r="I6" s="254">
        <f t="shared" si="1"/>
        <v>94.333333333333329</v>
      </c>
      <c r="J6" s="255" t="str">
        <f t="shared" si="2"/>
        <v>A</v>
      </c>
      <c r="L6" s="137">
        <v>60</v>
      </c>
      <c r="M6" s="137" t="s">
        <v>221</v>
      </c>
    </row>
    <row r="7" spans="2:15">
      <c r="B7" s="137">
        <v>4</v>
      </c>
      <c r="C7" s="137" t="s">
        <v>619</v>
      </c>
      <c r="D7" s="137" t="s">
        <v>616</v>
      </c>
      <c r="E7" s="137">
        <v>45</v>
      </c>
      <c r="F7" s="137">
        <v>92</v>
      </c>
      <c r="G7" s="137">
        <v>77</v>
      </c>
      <c r="H7" s="253">
        <f t="shared" si="0"/>
        <v>214</v>
      </c>
      <c r="I7" s="254">
        <f t="shared" si="1"/>
        <v>71.333333333333329</v>
      </c>
      <c r="J7" s="255" t="str">
        <f t="shared" si="2"/>
        <v>C</v>
      </c>
      <c r="L7" s="137">
        <v>65</v>
      </c>
      <c r="M7" s="137" t="s">
        <v>620</v>
      </c>
    </row>
    <row r="8" spans="2:15">
      <c r="B8" s="137">
        <v>5</v>
      </c>
      <c r="C8" s="137" t="s">
        <v>621</v>
      </c>
      <c r="D8" s="137" t="s">
        <v>622</v>
      </c>
      <c r="E8" s="137">
        <v>88</v>
      </c>
      <c r="F8" s="137">
        <v>90</v>
      </c>
      <c r="G8" s="137">
        <v>80</v>
      </c>
      <c r="H8" s="253">
        <f t="shared" si="0"/>
        <v>258</v>
      </c>
      <c r="I8" s="254">
        <f t="shared" si="1"/>
        <v>86</v>
      </c>
      <c r="J8" s="255" t="str">
        <f t="shared" si="2"/>
        <v>B+</v>
      </c>
      <c r="L8" s="137">
        <v>70</v>
      </c>
      <c r="M8" s="137" t="s">
        <v>203</v>
      </c>
    </row>
    <row r="9" spans="2:15">
      <c r="B9" s="137">
        <v>6</v>
      </c>
      <c r="C9" s="137" t="s">
        <v>623</v>
      </c>
      <c r="D9" s="137" t="s">
        <v>624</v>
      </c>
      <c r="E9" s="137">
        <v>54</v>
      </c>
      <c r="F9" s="137">
        <v>98</v>
      </c>
      <c r="G9" s="137">
        <v>81</v>
      </c>
      <c r="H9" s="253">
        <f t="shared" si="0"/>
        <v>233</v>
      </c>
      <c r="I9" s="254">
        <f t="shared" si="1"/>
        <v>77.666666666666671</v>
      </c>
      <c r="J9" s="255" t="str">
        <f t="shared" si="2"/>
        <v>C+</v>
      </c>
      <c r="L9" s="137">
        <v>75</v>
      </c>
      <c r="M9" s="137" t="s">
        <v>625</v>
      </c>
    </row>
    <row r="10" spans="2:15">
      <c r="B10" s="137">
        <v>7</v>
      </c>
      <c r="C10" s="137" t="s">
        <v>626</v>
      </c>
      <c r="D10" s="137" t="s">
        <v>622</v>
      </c>
      <c r="E10" s="137">
        <v>45</v>
      </c>
      <c r="F10" s="137">
        <v>76</v>
      </c>
      <c r="G10" s="137">
        <v>97</v>
      </c>
      <c r="H10" s="253">
        <f t="shared" si="0"/>
        <v>218</v>
      </c>
      <c r="I10" s="254">
        <f t="shared" si="1"/>
        <v>72.666666666666671</v>
      </c>
      <c r="J10" s="255" t="str">
        <f t="shared" si="2"/>
        <v>C</v>
      </c>
      <c r="L10" s="137">
        <v>80</v>
      </c>
      <c r="M10" s="137" t="s">
        <v>209</v>
      </c>
    </row>
    <row r="11" spans="2:15">
      <c r="B11" s="137">
        <v>8</v>
      </c>
      <c r="C11" s="137" t="s">
        <v>627</v>
      </c>
      <c r="D11" s="137" t="s">
        <v>622</v>
      </c>
      <c r="E11" s="137">
        <v>82</v>
      </c>
      <c r="F11" s="137">
        <v>59</v>
      </c>
      <c r="G11" s="137">
        <v>66</v>
      </c>
      <c r="H11" s="253">
        <f t="shared" si="0"/>
        <v>207</v>
      </c>
      <c r="I11" s="254">
        <f t="shared" si="1"/>
        <v>69</v>
      </c>
      <c r="J11" s="255" t="str">
        <f t="shared" si="2"/>
        <v>D+</v>
      </c>
      <c r="L11" s="137">
        <v>85</v>
      </c>
      <c r="M11" s="137" t="s">
        <v>628</v>
      </c>
    </row>
    <row r="12" spans="2:15">
      <c r="B12" s="137">
        <v>9</v>
      </c>
      <c r="C12" s="137" t="s">
        <v>629</v>
      </c>
      <c r="D12" s="137" t="s">
        <v>624</v>
      </c>
      <c r="E12" s="137">
        <v>94</v>
      </c>
      <c r="F12" s="137">
        <v>60</v>
      </c>
      <c r="G12" s="137">
        <v>66</v>
      </c>
      <c r="H12" s="253">
        <f t="shared" si="0"/>
        <v>220</v>
      </c>
      <c r="I12" s="254">
        <f t="shared" si="1"/>
        <v>73.333333333333329</v>
      </c>
      <c r="J12" s="255" t="str">
        <f t="shared" si="2"/>
        <v>C</v>
      </c>
      <c r="L12" s="137">
        <v>90</v>
      </c>
      <c r="M12" s="137" t="s">
        <v>206</v>
      </c>
    </row>
    <row r="13" spans="2:15">
      <c r="B13" s="137">
        <v>10</v>
      </c>
      <c r="C13" s="137" t="s">
        <v>630</v>
      </c>
      <c r="D13" s="137" t="s">
        <v>631</v>
      </c>
      <c r="E13" s="137">
        <v>96</v>
      </c>
      <c r="F13" s="137">
        <v>67</v>
      </c>
      <c r="G13" s="137">
        <v>78</v>
      </c>
      <c r="H13" s="253">
        <f t="shared" si="0"/>
        <v>241</v>
      </c>
      <c r="I13" s="254">
        <f t="shared" si="1"/>
        <v>80.333333333333329</v>
      </c>
      <c r="J13" s="255" t="str">
        <f t="shared" si="2"/>
        <v>B</v>
      </c>
      <c r="L13" s="137">
        <v>95</v>
      </c>
      <c r="M13" s="137" t="s">
        <v>632</v>
      </c>
    </row>
    <row r="14" spans="2:15">
      <c r="B14" s="137">
        <v>11</v>
      </c>
      <c r="C14" s="137" t="s">
        <v>633</v>
      </c>
      <c r="D14" s="137" t="s">
        <v>612</v>
      </c>
      <c r="E14" s="137">
        <v>60</v>
      </c>
      <c r="F14" s="137">
        <v>91</v>
      </c>
      <c r="G14" s="137">
        <v>72</v>
      </c>
      <c r="H14" s="253">
        <f t="shared" si="0"/>
        <v>223</v>
      </c>
      <c r="I14" s="254">
        <f t="shared" si="1"/>
        <v>74.333333333333329</v>
      </c>
      <c r="J14" s="255" t="str">
        <f t="shared" si="2"/>
        <v>C</v>
      </c>
    </row>
    <row r="15" spans="2:15">
      <c r="B15" s="137">
        <v>12</v>
      </c>
      <c r="C15" s="137" t="s">
        <v>634</v>
      </c>
      <c r="D15" s="137" t="s">
        <v>631</v>
      </c>
      <c r="E15" s="137">
        <v>97</v>
      </c>
      <c r="F15" s="137">
        <v>46</v>
      </c>
      <c r="G15" s="137">
        <v>67</v>
      </c>
      <c r="H15" s="253">
        <f t="shared" si="0"/>
        <v>210</v>
      </c>
      <c r="I15" s="254">
        <f t="shared" si="1"/>
        <v>70</v>
      </c>
      <c r="J15" s="255" t="str">
        <f t="shared" si="2"/>
        <v>C</v>
      </c>
    </row>
    <row r="16" spans="2:15">
      <c r="B16" s="137">
        <v>13</v>
      </c>
      <c r="C16" s="137" t="s">
        <v>635</v>
      </c>
      <c r="D16" s="137" t="s">
        <v>624</v>
      </c>
      <c r="E16" s="137">
        <v>84</v>
      </c>
      <c r="F16" s="137">
        <v>71</v>
      </c>
      <c r="G16" s="137">
        <v>100</v>
      </c>
      <c r="H16" s="253">
        <f t="shared" si="0"/>
        <v>255</v>
      </c>
      <c r="I16" s="254">
        <f t="shared" si="1"/>
        <v>85</v>
      </c>
      <c r="J16" s="255" t="str">
        <f t="shared" si="2"/>
        <v>B+</v>
      </c>
    </row>
    <row r="17" spans="2:10">
      <c r="B17" s="137">
        <v>14</v>
      </c>
      <c r="C17" s="137" t="s">
        <v>636</v>
      </c>
      <c r="D17" s="137" t="s">
        <v>622</v>
      </c>
      <c r="E17" s="137">
        <v>61</v>
      </c>
      <c r="F17" s="137">
        <v>54</v>
      </c>
      <c r="G17" s="137">
        <v>69</v>
      </c>
      <c r="H17" s="253">
        <f t="shared" si="0"/>
        <v>184</v>
      </c>
      <c r="I17" s="254">
        <f t="shared" si="1"/>
        <v>61.333333333333336</v>
      </c>
      <c r="J17" s="255" t="str">
        <f t="shared" si="2"/>
        <v>D</v>
      </c>
    </row>
    <row r="18" spans="2:10">
      <c r="B18" s="137">
        <v>15</v>
      </c>
      <c r="C18" s="137" t="s">
        <v>637</v>
      </c>
      <c r="D18" s="137" t="s">
        <v>631</v>
      </c>
      <c r="E18" s="137">
        <v>93</v>
      </c>
      <c r="F18" s="137">
        <v>70</v>
      </c>
      <c r="G18" s="137">
        <v>84</v>
      </c>
      <c r="H18" s="253">
        <f t="shared" si="0"/>
        <v>247</v>
      </c>
      <c r="I18" s="254">
        <f t="shared" si="1"/>
        <v>82.333333333333329</v>
      </c>
      <c r="J18" s="255" t="str">
        <f t="shared" si="2"/>
        <v>B</v>
      </c>
    </row>
    <row r="19" spans="2:10">
      <c r="B19" s="137">
        <v>16</v>
      </c>
      <c r="C19" s="137" t="s">
        <v>638</v>
      </c>
      <c r="D19" s="137" t="s">
        <v>612</v>
      </c>
      <c r="E19" s="137">
        <v>52</v>
      </c>
      <c r="F19" s="137">
        <v>65</v>
      </c>
      <c r="G19" s="137">
        <v>55</v>
      </c>
      <c r="H19" s="253">
        <f t="shared" si="0"/>
        <v>172</v>
      </c>
      <c r="I19" s="254">
        <f t="shared" si="1"/>
        <v>57.333333333333336</v>
      </c>
      <c r="J19" s="255" t="str">
        <f t="shared" si="2"/>
        <v>F</v>
      </c>
    </row>
    <row r="20" spans="2:10">
      <c r="B20" s="137">
        <v>17</v>
      </c>
      <c r="C20" s="137" t="s">
        <v>639</v>
      </c>
      <c r="D20" s="137" t="s">
        <v>612</v>
      </c>
      <c r="E20" s="137">
        <v>32</v>
      </c>
      <c r="F20" s="137">
        <v>60</v>
      </c>
      <c r="G20" s="137">
        <v>94</v>
      </c>
      <c r="H20" s="253">
        <f t="shared" si="0"/>
        <v>186</v>
      </c>
      <c r="I20" s="254">
        <f t="shared" si="1"/>
        <v>62</v>
      </c>
      <c r="J20" s="255" t="str">
        <f t="shared" si="2"/>
        <v>D</v>
      </c>
    </row>
    <row r="21" spans="2:10">
      <c r="B21" s="137">
        <v>18</v>
      </c>
      <c r="C21" s="137" t="s">
        <v>640</v>
      </c>
      <c r="D21" s="137" t="s">
        <v>624</v>
      </c>
      <c r="E21" s="137">
        <v>81</v>
      </c>
      <c r="F21" s="137">
        <v>67</v>
      </c>
      <c r="G21" s="137">
        <v>80</v>
      </c>
      <c r="H21" s="253">
        <f t="shared" si="0"/>
        <v>228</v>
      </c>
      <c r="I21" s="254">
        <f t="shared" si="1"/>
        <v>76</v>
      </c>
      <c r="J21" s="255" t="str">
        <f t="shared" si="2"/>
        <v>C+</v>
      </c>
    </row>
    <row r="22" spans="2:10">
      <c r="B22" s="137">
        <v>19</v>
      </c>
      <c r="C22" s="137" t="s">
        <v>641</v>
      </c>
      <c r="D22" s="137" t="s">
        <v>616</v>
      </c>
      <c r="E22" s="137">
        <v>48</v>
      </c>
      <c r="F22" s="137">
        <v>83</v>
      </c>
      <c r="G22" s="137">
        <v>88</v>
      </c>
      <c r="H22" s="253">
        <f t="shared" si="0"/>
        <v>219</v>
      </c>
      <c r="I22" s="254">
        <f t="shared" si="1"/>
        <v>73</v>
      </c>
      <c r="J22" s="255" t="str">
        <f t="shared" si="2"/>
        <v>C</v>
      </c>
    </row>
    <row r="23" spans="2:10">
      <c r="B23" s="137">
        <v>20</v>
      </c>
      <c r="C23" s="137" t="s">
        <v>642</v>
      </c>
      <c r="D23" s="137" t="s">
        <v>624</v>
      </c>
      <c r="E23" s="137">
        <v>73</v>
      </c>
      <c r="F23" s="137">
        <v>75</v>
      </c>
      <c r="G23" s="137">
        <v>82</v>
      </c>
      <c r="H23" s="253">
        <f t="shared" si="0"/>
        <v>230</v>
      </c>
      <c r="I23" s="254">
        <f t="shared" si="1"/>
        <v>76.666666666666671</v>
      </c>
      <c r="J23" s="255" t="str">
        <f t="shared" si="2"/>
        <v>C+</v>
      </c>
    </row>
    <row r="24" spans="2:10">
      <c r="B24" s="138"/>
    </row>
  </sheetData>
  <mergeCells count="2">
    <mergeCell ref="B1:J1"/>
    <mergeCell ref="L3:M3"/>
  </mergeCells>
  <phoneticPr fontId="8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D3" sqref="D3"/>
    </sheetView>
  </sheetViews>
  <sheetFormatPr defaultColWidth="9" defaultRowHeight="17.399999999999999"/>
  <cols>
    <col min="1" max="1" width="14.19921875" style="517" customWidth="1"/>
    <col min="2" max="2" width="7.296875" style="517" customWidth="1"/>
    <col min="3" max="3" width="17.19921875" style="517" bestFit="1" customWidth="1"/>
    <col min="4" max="4" width="15.09765625" style="517" customWidth="1"/>
    <col min="5" max="5" width="9" style="517"/>
    <col min="6" max="6" width="4" style="517" customWidth="1"/>
    <col min="7" max="7" width="17.19921875" style="517" bestFit="1" customWidth="1"/>
    <col min="8" max="8" width="13.796875" style="517" customWidth="1"/>
    <col min="9" max="16384" width="9" style="517"/>
  </cols>
  <sheetData>
    <row r="1" spans="1:11" ht="30">
      <c r="A1" s="624" t="s">
        <v>1725</v>
      </c>
      <c r="B1" s="624"/>
      <c r="C1" s="624"/>
      <c r="D1" s="624"/>
      <c r="E1" s="624"/>
      <c r="G1" s="624" t="s">
        <v>1726</v>
      </c>
      <c r="H1" s="624"/>
      <c r="I1" s="624"/>
    </row>
    <row r="2" spans="1:11">
      <c r="D2" s="587" t="s">
        <v>1865</v>
      </c>
    </row>
    <row r="3" spans="1:11" ht="24.9" customHeight="1" thickBot="1">
      <c r="A3" s="518" t="s">
        <v>989</v>
      </c>
      <c r="B3" s="518" t="s">
        <v>1727</v>
      </c>
      <c r="C3" s="518" t="s">
        <v>1728</v>
      </c>
      <c r="D3" s="518" t="s">
        <v>1729</v>
      </c>
      <c r="E3" s="518" t="s">
        <v>993</v>
      </c>
      <c r="G3" s="518" t="s">
        <v>1728</v>
      </c>
      <c r="H3" s="518" t="s">
        <v>1729</v>
      </c>
      <c r="I3" s="518" t="s">
        <v>993</v>
      </c>
    </row>
    <row r="4" spans="1:11" ht="24.9" customHeight="1" thickTop="1">
      <c r="A4" s="519" t="s">
        <v>1730</v>
      </c>
      <c r="B4" s="520" t="s">
        <v>1731</v>
      </c>
      <c r="C4" s="521">
        <v>1427105500</v>
      </c>
      <c r="D4" s="521">
        <f>VLOOKUP(C4,{0,1000000;500000000,1500000;800000000,1800000;1000000000,2200000;1300000000,2500000;1700000000,3200000},2,1)</f>
        <v>2500000</v>
      </c>
      <c r="E4" s="522"/>
      <c r="G4" s="523"/>
      <c r="H4" s="523"/>
      <c r="I4" s="524"/>
    </row>
    <row r="5" spans="1:11" ht="24.9" customHeight="1">
      <c r="A5" s="519" t="s">
        <v>1732</v>
      </c>
      <c r="B5" s="525" t="s">
        <v>1731</v>
      </c>
      <c r="C5" s="521">
        <v>1398481600</v>
      </c>
      <c r="D5" s="521">
        <f>VLOOKUP(C5,{0,1000000;500000000,1500000;800000000,1800000;1000000000,2200000;1300000000,2500000;1700000000,3200000},2,1)</f>
        <v>2500000</v>
      </c>
      <c r="E5" s="526"/>
      <c r="G5" s="523"/>
      <c r="H5" s="523"/>
      <c r="I5" s="524"/>
    </row>
    <row r="6" spans="1:11" ht="24.9" customHeight="1">
      <c r="A6" s="519" t="s">
        <v>1733</v>
      </c>
      <c r="B6" s="525" t="s">
        <v>1731</v>
      </c>
      <c r="C6" s="521">
        <v>1133873000</v>
      </c>
      <c r="D6" s="521">
        <f>VLOOKUP(C6,{0,1000000;500000000,1500000;800000000,1800000;1000000000,2200000;1300000000,2500000;1700000000,3200000},2,1)</f>
        <v>2200000</v>
      </c>
      <c r="E6" s="526"/>
      <c r="G6" s="523"/>
      <c r="H6" s="523"/>
      <c r="I6" s="524"/>
    </row>
    <row r="7" spans="1:11" ht="24.9" customHeight="1">
      <c r="A7" s="519" t="s">
        <v>1734</v>
      </c>
      <c r="B7" s="525" t="s">
        <v>1731</v>
      </c>
      <c r="C7" s="521">
        <v>813530800</v>
      </c>
      <c r="D7" s="521">
        <f>VLOOKUP(C7,{0,1000000;500000000,1500000;800000000,1800000;1000000000,2200000;1300000000,2500000;1700000000,3200000},2,1)</f>
        <v>1800000</v>
      </c>
      <c r="E7" s="526"/>
      <c r="G7" s="523"/>
      <c r="H7" s="523"/>
      <c r="I7" s="524"/>
    </row>
    <row r="8" spans="1:11" ht="24.9" customHeight="1">
      <c r="A8" s="519" t="s">
        <v>1735</v>
      </c>
      <c r="B8" s="525" t="s">
        <v>1731</v>
      </c>
      <c r="C8" s="521">
        <v>1200100000</v>
      </c>
      <c r="D8" s="521">
        <f>VLOOKUP(C8,{0,1000000;500000000,1500000;800000000,1800000;1000000000,2200000;1300000000,2500000;1700000000,3200000},2,1)</f>
        <v>2200000</v>
      </c>
      <c r="E8" s="526"/>
      <c r="G8" s="523"/>
      <c r="H8" s="523"/>
      <c r="I8" s="524"/>
    </row>
    <row r="9" spans="1:11" ht="24.9" customHeight="1">
      <c r="A9" s="519" t="s">
        <v>1736</v>
      </c>
      <c r="B9" s="525" t="s">
        <v>1731</v>
      </c>
      <c r="C9" s="521">
        <v>1500500000</v>
      </c>
      <c r="D9" s="521">
        <f>VLOOKUP(C9,{0,1000000;500000000,1500000;800000000,1800000;1000000000,2200000;1300000000,2500000;1700000000,3200000},2,1)</f>
        <v>2500000</v>
      </c>
      <c r="E9" s="526"/>
      <c r="G9" s="523"/>
      <c r="H9" s="523"/>
      <c r="I9" s="524"/>
    </row>
    <row r="10" spans="1:11" ht="24.9" customHeight="1">
      <c r="A10" s="519" t="s">
        <v>1737</v>
      </c>
      <c r="B10" s="525" t="s">
        <v>1731</v>
      </c>
      <c r="C10" s="521">
        <v>753000000</v>
      </c>
      <c r="D10" s="521">
        <f>VLOOKUP(C10,{0,1000000;500000000,1500000;800000000,1800000;1000000000,2200000;1300000000,2500000;1700000000,3200000},2,1)</f>
        <v>1500000</v>
      </c>
      <c r="E10" s="526"/>
      <c r="G10" s="527"/>
      <c r="H10" s="527"/>
      <c r="I10" s="527"/>
    </row>
    <row r="11" spans="1:11" ht="24.9" customHeight="1">
      <c r="G11" s="527"/>
      <c r="H11" s="527"/>
      <c r="I11" s="527"/>
    </row>
    <row r="12" spans="1:11">
      <c r="G12" s="527"/>
      <c r="H12" s="527"/>
      <c r="I12" s="527"/>
    </row>
  </sheetData>
  <mergeCells count="2">
    <mergeCell ref="A1:E1"/>
    <mergeCell ref="G1:I1"/>
  </mergeCells>
  <phoneticPr fontId="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showGridLines="0" workbookViewId="0">
      <pane ySplit="3" topLeftCell="A4" activePane="bottomLeft" state="frozen"/>
      <selection sqref="A1:E1"/>
      <selection pane="bottomLeft" activeCell="K4" sqref="K4"/>
    </sheetView>
  </sheetViews>
  <sheetFormatPr defaultColWidth="9" defaultRowHeight="17.399999999999999"/>
  <cols>
    <col min="1" max="1" width="10.09765625" style="528" customWidth="1"/>
    <col min="2" max="3" width="9" style="528"/>
    <col min="4" max="4" width="8.8984375" style="528" customWidth="1"/>
    <col min="5" max="5" width="9" style="528"/>
    <col min="6" max="6" width="10.69921875" style="528" customWidth="1"/>
    <col min="7" max="7" width="9.19921875" style="528" customWidth="1"/>
    <col min="8" max="8" width="9" style="528"/>
    <col min="9" max="9" width="11.19921875" style="528" hidden="1" customWidth="1"/>
    <col min="10" max="10" width="9" style="528"/>
    <col min="11" max="11" width="14.796875" style="528" customWidth="1"/>
    <col min="12" max="12" width="9" style="528"/>
    <col min="13" max="13" width="4.796875" style="528" customWidth="1"/>
    <col min="14" max="16384" width="9" style="528"/>
  </cols>
  <sheetData>
    <row r="1" spans="1:14" ht="30">
      <c r="A1" s="625" t="s">
        <v>1784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</row>
    <row r="2" spans="1:14">
      <c r="A2" s="529"/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</row>
    <row r="3" spans="1:14" ht="20.100000000000001" customHeight="1" thickBot="1">
      <c r="A3" s="530" t="s">
        <v>1738</v>
      </c>
      <c r="B3" s="531" t="s">
        <v>562</v>
      </c>
      <c r="C3" s="531" t="s">
        <v>1739</v>
      </c>
      <c r="D3" s="531" t="s">
        <v>1740</v>
      </c>
      <c r="E3" s="531" t="s">
        <v>1741</v>
      </c>
      <c r="F3" s="531" t="s">
        <v>1742</v>
      </c>
      <c r="G3" s="531" t="s">
        <v>1743</v>
      </c>
      <c r="H3" s="531" t="s">
        <v>1744</v>
      </c>
      <c r="I3" s="531" t="s">
        <v>1745</v>
      </c>
      <c r="J3" s="531" t="s">
        <v>1746</v>
      </c>
      <c r="K3" s="531" t="s">
        <v>1747</v>
      </c>
      <c r="L3" s="531" t="s">
        <v>1748</v>
      </c>
    </row>
    <row r="4" spans="1:14" ht="20.100000000000001" customHeight="1" thickTop="1">
      <c r="A4" s="532" t="s">
        <v>1749</v>
      </c>
      <c r="B4" s="533" t="s">
        <v>1750</v>
      </c>
      <c r="C4" s="534">
        <v>20</v>
      </c>
      <c r="D4" s="534">
        <v>19</v>
      </c>
      <c r="E4" s="534">
        <v>17</v>
      </c>
      <c r="F4" s="534">
        <v>15</v>
      </c>
      <c r="G4" s="534">
        <v>15</v>
      </c>
      <c r="H4" s="534">
        <f t="shared" ref="H4:H20" si="0">SUM(C4:G4)</f>
        <v>86</v>
      </c>
      <c r="I4" s="535">
        <v>0.312</v>
      </c>
      <c r="J4" s="533" t="str">
        <f>VLOOKUP(H4,{0,"탈락";60,"D";70,"C";80,"B";90,"A"},2,1)</f>
        <v>B</v>
      </c>
      <c r="K4" s="536">
        <f>AVERAGE(LARGE(C4:G4,{1,2,3}))</f>
        <v>18.666666666666668</v>
      </c>
      <c r="L4" s="537"/>
    </row>
    <row r="5" spans="1:14" ht="20.100000000000001" customHeight="1">
      <c r="A5" s="532" t="s">
        <v>1751</v>
      </c>
      <c r="B5" s="533" t="s">
        <v>1752</v>
      </c>
      <c r="C5" s="534">
        <v>19</v>
      </c>
      <c r="D5" s="534">
        <v>20</v>
      </c>
      <c r="E5" s="534">
        <v>15</v>
      </c>
      <c r="F5" s="534">
        <v>14</v>
      </c>
      <c r="G5" s="534">
        <v>20</v>
      </c>
      <c r="H5" s="534">
        <f t="shared" si="0"/>
        <v>88</v>
      </c>
      <c r="I5" s="535">
        <v>0</v>
      </c>
      <c r="J5" s="533" t="str">
        <f>VLOOKUP(H5,{0,"탈락";60,"D";70,"C";80,"B";90,"A"},2,1)</f>
        <v>B</v>
      </c>
      <c r="K5" s="536">
        <f>AVERAGE(LARGE(C5:G5,{1,2,3}))</f>
        <v>19.666666666666668</v>
      </c>
      <c r="L5" s="537"/>
    </row>
    <row r="6" spans="1:14" ht="20.100000000000001" customHeight="1">
      <c r="A6" s="532" t="s">
        <v>1753</v>
      </c>
      <c r="B6" s="533" t="s">
        <v>1754</v>
      </c>
      <c r="C6" s="534">
        <v>13</v>
      </c>
      <c r="D6" s="534">
        <v>16</v>
      </c>
      <c r="E6" s="534">
        <v>17</v>
      </c>
      <c r="F6" s="534">
        <v>13</v>
      </c>
      <c r="G6" s="534">
        <v>15</v>
      </c>
      <c r="H6" s="534">
        <f t="shared" si="0"/>
        <v>74</v>
      </c>
      <c r="I6" s="535">
        <v>0.875</v>
      </c>
      <c r="J6" s="533" t="str">
        <f>VLOOKUP(H6,{0,"탈락";60,"D";70,"C";80,"B";90,"A"},2,1)</f>
        <v>C</v>
      </c>
      <c r="K6" s="536">
        <f>AVERAGE(LARGE(C6:G6,{1,2,3}))</f>
        <v>16</v>
      </c>
      <c r="L6" s="537"/>
    </row>
    <row r="7" spans="1:14" ht="20.100000000000001" customHeight="1">
      <c r="A7" s="532" t="s">
        <v>1755</v>
      </c>
      <c r="B7" s="533" t="s">
        <v>1756</v>
      </c>
      <c r="C7" s="534">
        <v>17</v>
      </c>
      <c r="D7" s="534">
        <v>18</v>
      </c>
      <c r="E7" s="534">
        <v>15</v>
      </c>
      <c r="F7" s="534">
        <v>20</v>
      </c>
      <c r="G7" s="534">
        <v>20</v>
      </c>
      <c r="H7" s="534">
        <f t="shared" si="0"/>
        <v>90</v>
      </c>
      <c r="I7" s="535">
        <v>0.68700000000000006</v>
      </c>
      <c r="J7" s="533" t="str">
        <f>VLOOKUP(H7,{0,"탈락";60,"D";70,"C";80,"B";90,"A"},2,1)</f>
        <v>A</v>
      </c>
      <c r="K7" s="536">
        <f>AVERAGE(LARGE(C7:G7,{1,2,3}))</f>
        <v>19.333333333333332</v>
      </c>
      <c r="L7" s="537"/>
    </row>
    <row r="8" spans="1:14" ht="20.100000000000001" customHeight="1">
      <c r="A8" s="532" t="s">
        <v>1757</v>
      </c>
      <c r="B8" s="533" t="s">
        <v>424</v>
      </c>
      <c r="C8" s="534">
        <v>12</v>
      </c>
      <c r="D8" s="534">
        <v>18</v>
      </c>
      <c r="E8" s="534">
        <v>15</v>
      </c>
      <c r="F8" s="534">
        <v>16</v>
      </c>
      <c r="G8" s="534">
        <v>14</v>
      </c>
      <c r="H8" s="534">
        <f t="shared" si="0"/>
        <v>75</v>
      </c>
      <c r="I8" s="535">
        <v>0.187</v>
      </c>
      <c r="J8" s="533" t="str">
        <f>VLOOKUP(H8,{0,"탈락";60,"D";70,"C";80,"B";90,"A"},2,1)</f>
        <v>C</v>
      </c>
      <c r="K8" s="536">
        <f>AVERAGE(LARGE(C8:G8,{1,2,3}))</f>
        <v>16.333333333333332</v>
      </c>
      <c r="L8" s="537"/>
    </row>
    <row r="9" spans="1:14" ht="20.100000000000001" customHeight="1">
      <c r="A9" s="532" t="s">
        <v>1758</v>
      </c>
      <c r="B9" s="533" t="s">
        <v>1759</v>
      </c>
      <c r="C9" s="534">
        <v>18</v>
      </c>
      <c r="D9" s="534">
        <v>13</v>
      </c>
      <c r="E9" s="534">
        <v>19</v>
      </c>
      <c r="F9" s="534">
        <v>15</v>
      </c>
      <c r="G9" s="534">
        <v>13</v>
      </c>
      <c r="H9" s="534">
        <f t="shared" si="0"/>
        <v>78</v>
      </c>
      <c r="I9" s="535">
        <v>0.375</v>
      </c>
      <c r="J9" s="533" t="str">
        <f>VLOOKUP(H9,{0,"탈락";60,"D";70,"C";80,"B";90,"A"},2,1)</f>
        <v>C</v>
      </c>
      <c r="K9" s="536">
        <f>AVERAGE(LARGE(C9:G9,{1,2,3}))</f>
        <v>17.333333333333332</v>
      </c>
      <c r="L9" s="537"/>
    </row>
    <row r="10" spans="1:14" ht="20.100000000000001" customHeight="1">
      <c r="A10" s="532" t="s">
        <v>1760</v>
      </c>
      <c r="B10" s="533" t="s">
        <v>1761</v>
      </c>
      <c r="C10" s="534">
        <v>13</v>
      </c>
      <c r="D10" s="534">
        <v>16</v>
      </c>
      <c r="E10" s="534">
        <v>12</v>
      </c>
      <c r="F10" s="534">
        <v>18</v>
      </c>
      <c r="G10" s="534">
        <v>20</v>
      </c>
      <c r="H10" s="534">
        <f t="shared" si="0"/>
        <v>79</v>
      </c>
      <c r="I10" s="535">
        <v>0.125</v>
      </c>
      <c r="J10" s="533" t="str">
        <f>VLOOKUP(H10,{0,"탈락";60,"D";70,"C";80,"B";90,"A"},2,1)</f>
        <v>C</v>
      </c>
      <c r="K10" s="536">
        <f>AVERAGE(LARGE(C10:G10,{1,2,3}))</f>
        <v>18</v>
      </c>
      <c r="L10" s="537"/>
    </row>
    <row r="11" spans="1:14" ht="20.100000000000001" customHeight="1">
      <c r="A11" s="532" t="s">
        <v>1762</v>
      </c>
      <c r="B11" s="533" t="s">
        <v>1763</v>
      </c>
      <c r="C11" s="534">
        <v>19</v>
      </c>
      <c r="D11" s="534">
        <v>15</v>
      </c>
      <c r="E11" s="534">
        <v>15</v>
      </c>
      <c r="F11" s="534">
        <v>18</v>
      </c>
      <c r="G11" s="534">
        <v>16</v>
      </c>
      <c r="H11" s="534">
        <f t="shared" si="0"/>
        <v>83</v>
      </c>
      <c r="I11" s="535">
        <v>0.375</v>
      </c>
      <c r="J11" s="533" t="str">
        <f>VLOOKUP(H11,{0,"탈락";60,"D";70,"C";80,"B";90,"A"},2,1)</f>
        <v>B</v>
      </c>
      <c r="K11" s="536">
        <f>AVERAGE(LARGE(C11:G11,{1,2,3}))</f>
        <v>17.666666666666668</v>
      </c>
      <c r="L11" s="537"/>
    </row>
    <row r="12" spans="1:14" ht="20.100000000000001" customHeight="1">
      <c r="A12" s="532" t="s">
        <v>1764</v>
      </c>
      <c r="B12" s="533" t="s">
        <v>1765</v>
      </c>
      <c r="C12" s="534">
        <v>12</v>
      </c>
      <c r="D12" s="534">
        <v>17</v>
      </c>
      <c r="E12" s="534">
        <v>16</v>
      </c>
      <c r="F12" s="534">
        <v>20</v>
      </c>
      <c r="G12" s="534">
        <v>13</v>
      </c>
      <c r="H12" s="534">
        <f t="shared" si="0"/>
        <v>78</v>
      </c>
      <c r="I12" s="535">
        <v>6.2E-2</v>
      </c>
      <c r="J12" s="533" t="str">
        <f>VLOOKUP(H12,{0,"탈락";60,"D";70,"C";80,"B";90,"A"},2,1)</f>
        <v>C</v>
      </c>
      <c r="K12" s="536">
        <f>AVERAGE(LARGE(C12:G12,{1,2,3}))</f>
        <v>17.666666666666668</v>
      </c>
      <c r="L12" s="537"/>
    </row>
    <row r="13" spans="1:14" ht="20.100000000000001" customHeight="1">
      <c r="A13" s="532" t="s">
        <v>1766</v>
      </c>
      <c r="B13" s="533" t="s">
        <v>1767</v>
      </c>
      <c r="C13" s="534">
        <v>14</v>
      </c>
      <c r="D13" s="534">
        <v>17</v>
      </c>
      <c r="E13" s="534">
        <v>19</v>
      </c>
      <c r="F13" s="534">
        <v>15</v>
      </c>
      <c r="G13" s="534">
        <v>19</v>
      </c>
      <c r="H13" s="534">
        <f t="shared" si="0"/>
        <v>84</v>
      </c>
      <c r="I13" s="535">
        <v>0.5</v>
      </c>
      <c r="J13" s="533" t="str">
        <f>VLOOKUP(H13,{0,"탈락";60,"D";70,"C";80,"B";90,"A"},2,1)</f>
        <v>B</v>
      </c>
      <c r="K13" s="536">
        <f>AVERAGE(LARGE(C13:G13,{1,2,3}))</f>
        <v>18.333333333333332</v>
      </c>
      <c r="L13" s="537"/>
    </row>
    <row r="14" spans="1:14" ht="20.100000000000001" customHeight="1">
      <c r="A14" s="532" t="s">
        <v>1768</v>
      </c>
      <c r="B14" s="533" t="s">
        <v>1769</v>
      </c>
      <c r="C14" s="534">
        <v>14</v>
      </c>
      <c r="D14" s="534">
        <v>20</v>
      </c>
      <c r="E14" s="534">
        <v>16</v>
      </c>
      <c r="F14" s="534">
        <v>18</v>
      </c>
      <c r="G14" s="534">
        <v>17</v>
      </c>
      <c r="H14" s="534">
        <f t="shared" si="0"/>
        <v>85</v>
      </c>
      <c r="I14" s="535">
        <v>0.68700000000000006</v>
      </c>
      <c r="J14" s="533" t="str">
        <f>VLOOKUP(H14,{0,"탈락";60,"D";70,"C";80,"B";90,"A"},2,1)</f>
        <v>B</v>
      </c>
      <c r="K14" s="536">
        <f>AVERAGE(LARGE(C14:G14,{1,2,3}))</f>
        <v>18.333333333333332</v>
      </c>
      <c r="L14" s="537"/>
    </row>
    <row r="15" spans="1:14" ht="20.100000000000001" customHeight="1">
      <c r="A15" s="532" t="s">
        <v>1770</v>
      </c>
      <c r="B15" s="533" t="s">
        <v>1771</v>
      </c>
      <c r="C15" s="534">
        <v>13</v>
      </c>
      <c r="D15" s="534">
        <v>20</v>
      </c>
      <c r="E15" s="534">
        <v>20</v>
      </c>
      <c r="F15" s="534">
        <v>15</v>
      </c>
      <c r="G15" s="534">
        <v>15</v>
      </c>
      <c r="H15" s="534">
        <f t="shared" si="0"/>
        <v>83</v>
      </c>
      <c r="I15" s="535">
        <v>1</v>
      </c>
      <c r="J15" s="533" t="str">
        <f>VLOOKUP(H15,{0,"탈락";60,"D";70,"C";80,"B";90,"A"},2,1)</f>
        <v>B</v>
      </c>
      <c r="K15" s="536">
        <f>AVERAGE(LARGE(C15:G15,{1,2,3}))</f>
        <v>18.333333333333332</v>
      </c>
      <c r="L15" s="537"/>
    </row>
    <row r="16" spans="1:14" ht="20.100000000000001" customHeight="1">
      <c r="A16" s="532" t="s">
        <v>1772</v>
      </c>
      <c r="B16" s="533" t="s">
        <v>1773</v>
      </c>
      <c r="C16" s="534">
        <v>16</v>
      </c>
      <c r="D16" s="534">
        <v>20</v>
      </c>
      <c r="E16" s="534">
        <v>16</v>
      </c>
      <c r="F16" s="534">
        <v>18</v>
      </c>
      <c r="G16" s="534">
        <v>12</v>
      </c>
      <c r="H16" s="534">
        <f t="shared" si="0"/>
        <v>82</v>
      </c>
      <c r="I16" s="535">
        <v>0.68700000000000006</v>
      </c>
      <c r="J16" s="533" t="str">
        <f>VLOOKUP(H16,{0,"탈락";60,"D";70,"C";80,"B";90,"A"},2,1)</f>
        <v>B</v>
      </c>
      <c r="K16" s="536">
        <f>AVERAGE(LARGE(C16:G16,{1,2,3}))</f>
        <v>18</v>
      </c>
      <c r="L16" s="537"/>
    </row>
    <row r="17" spans="1:12" ht="20.100000000000001" customHeight="1">
      <c r="A17" s="532" t="s">
        <v>1774</v>
      </c>
      <c r="B17" s="533" t="s">
        <v>1775</v>
      </c>
      <c r="C17" s="534">
        <v>19</v>
      </c>
      <c r="D17" s="534">
        <v>14</v>
      </c>
      <c r="E17" s="534">
        <v>17</v>
      </c>
      <c r="F17" s="534">
        <v>19</v>
      </c>
      <c r="G17" s="534">
        <v>16</v>
      </c>
      <c r="H17" s="534">
        <f t="shared" si="0"/>
        <v>85</v>
      </c>
      <c r="I17" s="535">
        <v>0.187</v>
      </c>
      <c r="J17" s="533" t="str">
        <f>VLOOKUP(H17,{0,"탈락";60,"D";70,"C";80,"B";90,"A"},2,1)</f>
        <v>B</v>
      </c>
      <c r="K17" s="536">
        <f>AVERAGE(LARGE(C17:G17,{1,2,3}))</f>
        <v>18.333333333333332</v>
      </c>
      <c r="L17" s="537"/>
    </row>
    <row r="18" spans="1:12" ht="20.100000000000001" customHeight="1">
      <c r="A18" s="532" t="s">
        <v>1776</v>
      </c>
      <c r="B18" s="533" t="s">
        <v>1777</v>
      </c>
      <c r="C18" s="534">
        <v>14</v>
      </c>
      <c r="D18" s="534">
        <v>20</v>
      </c>
      <c r="E18" s="534">
        <v>20</v>
      </c>
      <c r="F18" s="534">
        <v>19</v>
      </c>
      <c r="G18" s="534">
        <v>12</v>
      </c>
      <c r="H18" s="534">
        <f t="shared" si="0"/>
        <v>85</v>
      </c>
      <c r="I18" s="535">
        <v>0.93700000000000006</v>
      </c>
      <c r="J18" s="533" t="str">
        <f>VLOOKUP(H18,{0,"탈락";60,"D";70,"C";80,"B";90,"A"},2,1)</f>
        <v>B</v>
      </c>
      <c r="K18" s="536">
        <f>AVERAGE(LARGE(C18:G18,{1,2,3}))</f>
        <v>19.666666666666668</v>
      </c>
      <c r="L18" s="537"/>
    </row>
    <row r="19" spans="1:12" ht="20.100000000000001" customHeight="1">
      <c r="A19" s="532" t="s">
        <v>1778</v>
      </c>
      <c r="B19" s="533" t="s">
        <v>1779</v>
      </c>
      <c r="C19" s="534">
        <v>17</v>
      </c>
      <c r="D19" s="534">
        <v>16</v>
      </c>
      <c r="E19" s="534">
        <v>19</v>
      </c>
      <c r="F19" s="534">
        <v>20</v>
      </c>
      <c r="G19" s="534">
        <v>17</v>
      </c>
      <c r="H19" s="534">
        <f t="shared" si="0"/>
        <v>89</v>
      </c>
      <c r="I19" s="535">
        <v>0.5</v>
      </c>
      <c r="J19" s="533" t="str">
        <f>VLOOKUP(H19,{0,"탈락";60,"D";70,"C";80,"B";90,"A"},2,1)</f>
        <v>B</v>
      </c>
      <c r="K19" s="536">
        <f>AVERAGE(LARGE(C19:G19,{1,2,3}))</f>
        <v>18.666666666666668</v>
      </c>
      <c r="L19" s="537"/>
    </row>
    <row r="20" spans="1:12" ht="20.100000000000001" customHeight="1">
      <c r="A20" s="532" t="s">
        <v>1780</v>
      </c>
      <c r="B20" s="533" t="s">
        <v>1781</v>
      </c>
      <c r="C20" s="534">
        <v>14</v>
      </c>
      <c r="D20" s="534">
        <v>15</v>
      </c>
      <c r="E20" s="534">
        <v>16</v>
      </c>
      <c r="F20" s="534">
        <v>18</v>
      </c>
      <c r="G20" s="534">
        <v>15</v>
      </c>
      <c r="H20" s="534">
        <f t="shared" si="0"/>
        <v>78</v>
      </c>
      <c r="I20" s="535">
        <v>0.625</v>
      </c>
      <c r="J20" s="533" t="str">
        <f>VLOOKUP(H20,{0,"탈락";60,"D";70,"C";80,"B";90,"A"},2,1)</f>
        <v>C</v>
      </c>
      <c r="K20" s="536">
        <f>AVERAGE(LARGE(C20:G20,{1,2,3}))</f>
        <v>16.333333333333332</v>
      </c>
      <c r="L20" s="537"/>
    </row>
    <row r="21" spans="1:12">
      <c r="A21" s="529"/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</row>
    <row r="22" spans="1:12">
      <c r="A22" s="529"/>
      <c r="B22" s="529"/>
      <c r="C22" s="529"/>
      <c r="D22" s="529"/>
      <c r="E22" s="529"/>
      <c r="F22" s="529"/>
      <c r="G22" s="529"/>
      <c r="H22" s="529"/>
      <c r="I22" s="529"/>
      <c r="J22" s="529"/>
      <c r="K22" s="529"/>
      <c r="L22" s="529"/>
    </row>
  </sheetData>
  <mergeCells count="1">
    <mergeCell ref="A1:L1"/>
  </mergeCells>
  <phoneticPr fontId="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zoomScale="120" zoomScaleNormal="120" workbookViewId="0">
      <selection activeCell="E4" sqref="E4"/>
    </sheetView>
  </sheetViews>
  <sheetFormatPr defaultColWidth="8.8984375" defaultRowHeight="17.399999999999999"/>
  <cols>
    <col min="1" max="1" width="2.296875" style="63" customWidth="1"/>
    <col min="2" max="2" width="21.296875" style="63" customWidth="1"/>
    <col min="3" max="3" width="15.3984375" style="63" customWidth="1"/>
    <col min="4" max="4" width="12.09765625" style="63" customWidth="1"/>
    <col min="5" max="5" width="14.796875" style="63" customWidth="1"/>
    <col min="6" max="6" width="9.69921875" style="63" customWidth="1"/>
    <col min="7" max="7" width="11" style="63" bestFit="1" customWidth="1"/>
    <col min="8" max="16384" width="8.8984375" style="63"/>
  </cols>
  <sheetData>
    <row r="1" spans="2:8" ht="21" thickBot="1">
      <c r="B1" s="626" t="s">
        <v>294</v>
      </c>
      <c r="C1" s="627"/>
      <c r="D1" s="627"/>
      <c r="E1" s="627"/>
      <c r="F1" s="627"/>
      <c r="G1" s="63" t="s">
        <v>1866</v>
      </c>
      <c r="H1" s="63" t="s">
        <v>1867</v>
      </c>
    </row>
    <row r="2" spans="2:8" ht="9.9" customHeight="1" thickTop="1"/>
    <row r="3" spans="2:8">
      <c r="B3" s="262" t="s">
        <v>293</v>
      </c>
      <c r="C3" s="263" t="s">
        <v>292</v>
      </c>
      <c r="D3" s="263" t="s">
        <v>291</v>
      </c>
      <c r="E3" s="264" t="s">
        <v>290</v>
      </c>
      <c r="F3" s="265" t="s">
        <v>289</v>
      </c>
      <c r="G3" s="63" t="b">
        <f>F4=1</f>
        <v>1</v>
      </c>
    </row>
    <row r="4" spans="2:8" ht="24" customHeight="1">
      <c r="B4" s="266" t="s">
        <v>1719</v>
      </c>
      <c r="C4" s="68" t="str">
        <f>LEFT(B4,13)</f>
        <v>9512151715526</v>
      </c>
      <c r="D4" s="68" t="str">
        <f>RIGHT(B4,3)</f>
        <v>신용천</v>
      </c>
      <c r="E4" s="67" t="str">
        <f>REPLACE(C4,8,6,"******")</f>
        <v>9512151******</v>
      </c>
      <c r="F4" s="66">
        <f>VALUE(MID(B4,7,1))</f>
        <v>1</v>
      </c>
    </row>
    <row r="5" spans="2:8" ht="24" customHeight="1">
      <c r="B5" s="267" t="s">
        <v>1720</v>
      </c>
      <c r="C5" s="68" t="str">
        <f t="shared" ref="C5:C12" si="0">LEFT(B5,13)</f>
        <v>8812261190622</v>
      </c>
      <c r="D5" s="68" t="str">
        <f t="shared" ref="D5:D12" si="1">RIGHT(B5,3)</f>
        <v>황인석</v>
      </c>
      <c r="E5" s="67" t="str">
        <f t="shared" ref="E5:E12" si="2">REPLACE(C5,8,6,"******")</f>
        <v>8812261******</v>
      </c>
      <c r="F5" s="66">
        <f t="shared" ref="F5:F12" si="3">VALUE(MID(B5,7,1))</f>
        <v>1</v>
      </c>
    </row>
    <row r="6" spans="2:8" ht="24" customHeight="1">
      <c r="B6" s="267" t="s">
        <v>288</v>
      </c>
      <c r="C6" s="68" t="str">
        <f t="shared" si="0"/>
        <v>8008202240417</v>
      </c>
      <c r="D6" s="68" t="str">
        <f t="shared" si="1"/>
        <v>정성진</v>
      </c>
      <c r="E6" s="67" t="str">
        <f t="shared" si="2"/>
        <v>8008202******</v>
      </c>
      <c r="F6" s="66">
        <f t="shared" si="3"/>
        <v>2</v>
      </c>
    </row>
    <row r="7" spans="2:8" ht="24" customHeight="1">
      <c r="B7" s="267" t="s">
        <v>1721</v>
      </c>
      <c r="C7" s="68" t="str">
        <f t="shared" si="0"/>
        <v>9906291070911</v>
      </c>
      <c r="D7" s="68" t="str">
        <f t="shared" si="1"/>
        <v>고호장</v>
      </c>
      <c r="E7" s="67" t="str">
        <f t="shared" si="2"/>
        <v>9906291******</v>
      </c>
      <c r="F7" s="66">
        <f t="shared" si="3"/>
        <v>1</v>
      </c>
    </row>
    <row r="8" spans="2:8" ht="24" customHeight="1">
      <c r="B8" s="267" t="s">
        <v>287</v>
      </c>
      <c r="C8" s="68" t="str">
        <f t="shared" si="0"/>
        <v>7701292155019</v>
      </c>
      <c r="D8" s="68" t="str">
        <f t="shared" si="1"/>
        <v>조연곤</v>
      </c>
      <c r="E8" s="67" t="str">
        <f t="shared" si="2"/>
        <v>7701292******</v>
      </c>
      <c r="F8" s="66">
        <f t="shared" si="3"/>
        <v>2</v>
      </c>
    </row>
    <row r="9" spans="2:8" ht="24" customHeight="1">
      <c r="B9" s="267" t="s">
        <v>1724</v>
      </c>
      <c r="C9" s="68" t="str">
        <f t="shared" si="0"/>
        <v>8104091110913</v>
      </c>
      <c r="D9" s="68" t="str">
        <f t="shared" si="1"/>
        <v>홍종훈</v>
      </c>
      <c r="E9" s="67" t="str">
        <f t="shared" si="2"/>
        <v>8104091******</v>
      </c>
      <c r="F9" s="66">
        <f t="shared" si="3"/>
        <v>1</v>
      </c>
    </row>
    <row r="10" spans="2:8" ht="24" customHeight="1">
      <c r="B10" s="267" t="s">
        <v>1722</v>
      </c>
      <c r="C10" s="68" t="str">
        <f t="shared" si="0"/>
        <v>8911211146018</v>
      </c>
      <c r="D10" s="68" t="str">
        <f t="shared" si="1"/>
        <v>이원일</v>
      </c>
      <c r="E10" s="67" t="str">
        <f t="shared" si="2"/>
        <v>8911211******</v>
      </c>
      <c r="F10" s="66">
        <f t="shared" si="3"/>
        <v>1</v>
      </c>
    </row>
    <row r="11" spans="2:8" ht="24" customHeight="1">
      <c r="B11" s="267" t="s">
        <v>1723</v>
      </c>
      <c r="C11" s="68" t="str">
        <f t="shared" si="0"/>
        <v>9012131829119</v>
      </c>
      <c r="D11" s="68" t="str">
        <f t="shared" si="1"/>
        <v>박종훈</v>
      </c>
      <c r="E11" s="67" t="str">
        <f t="shared" si="2"/>
        <v>9012131******</v>
      </c>
      <c r="F11" s="66">
        <f t="shared" si="3"/>
        <v>1</v>
      </c>
    </row>
    <row r="12" spans="2:8" ht="24" customHeight="1">
      <c r="B12" s="268" t="s">
        <v>286</v>
      </c>
      <c r="C12" s="68" t="str">
        <f t="shared" si="0"/>
        <v>7311102172211</v>
      </c>
      <c r="D12" s="68" t="str">
        <f t="shared" si="1"/>
        <v>최미나</v>
      </c>
      <c r="E12" s="67" t="str">
        <f t="shared" si="2"/>
        <v>7311102******</v>
      </c>
      <c r="F12" s="66">
        <f t="shared" si="3"/>
        <v>2</v>
      </c>
    </row>
    <row r="14" spans="2:8">
      <c r="C14" s="65"/>
      <c r="D14" s="65"/>
      <c r="E14" s="65"/>
    </row>
    <row r="15" spans="2:8">
      <c r="B15"/>
      <c r="C15"/>
      <c r="D15"/>
      <c r="E15" s="65"/>
    </row>
    <row r="16" spans="2:8">
      <c r="B16"/>
      <c r="C16"/>
      <c r="D16"/>
      <c r="E16" s="8"/>
    </row>
    <row r="17" spans="2:6">
      <c r="B17"/>
      <c r="C17"/>
      <c r="D17"/>
      <c r="E17" s="8"/>
      <c r="F17" s="8"/>
    </row>
    <row r="18" spans="2:6">
      <c r="B18"/>
      <c r="C18"/>
      <c r="D18"/>
      <c r="E18" s="64"/>
    </row>
    <row r="19" spans="2:6">
      <c r="B19"/>
      <c r="C19"/>
      <c r="D19"/>
      <c r="E19" s="64"/>
    </row>
    <row r="20" spans="2:6">
      <c r="B20"/>
      <c r="C20"/>
      <c r="D20"/>
      <c r="E20" s="64"/>
    </row>
    <row r="21" spans="2:6">
      <c r="B21"/>
      <c r="C21"/>
      <c r="D21"/>
      <c r="E21" s="64"/>
    </row>
    <row r="22" spans="2:6">
      <c r="B22"/>
      <c r="C22"/>
      <c r="D22"/>
      <c r="E22" s="64"/>
    </row>
  </sheetData>
  <mergeCells count="1">
    <mergeCell ref="B1:F1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zoomScale="130" zoomScaleNormal="130" workbookViewId="0">
      <selection activeCell="K12" sqref="K12"/>
    </sheetView>
  </sheetViews>
  <sheetFormatPr defaultColWidth="9" defaultRowHeight="15.6"/>
  <cols>
    <col min="1" max="1" width="1.8984375" style="402" customWidth="1"/>
    <col min="2" max="2" width="22.09765625" style="403" customWidth="1"/>
    <col min="3" max="3" width="7.19921875" style="403" customWidth="1"/>
    <col min="4" max="4" width="8.3984375" style="403" customWidth="1"/>
    <col min="5" max="5" width="6.3984375" style="403" customWidth="1"/>
    <col min="6" max="6" width="19.3984375" style="403" customWidth="1"/>
    <col min="7" max="7" width="7.796875" style="403" customWidth="1"/>
    <col min="8" max="8" width="8.3984375" style="403" customWidth="1"/>
    <col min="9" max="16384" width="9" style="402"/>
  </cols>
  <sheetData>
    <row r="1" spans="2:9" ht="21">
      <c r="B1" s="618" t="s">
        <v>1538</v>
      </c>
      <c r="C1" s="618"/>
      <c r="D1" s="618"/>
      <c r="E1" s="618"/>
      <c r="F1" s="618"/>
      <c r="G1" s="618"/>
      <c r="H1" s="618"/>
    </row>
    <row r="2" spans="2:9" ht="6" customHeight="1" thickBot="1">
      <c r="B2" s="405"/>
      <c r="C2" s="405"/>
      <c r="D2" s="405"/>
      <c r="E2" s="405"/>
      <c r="F2" s="405"/>
      <c r="G2" s="405"/>
      <c r="H2" s="405"/>
      <c r="I2" s="404"/>
    </row>
    <row r="3" spans="2:9" ht="16.5" customHeight="1">
      <c r="B3" s="424" t="s">
        <v>1537</v>
      </c>
      <c r="C3" s="423" t="s">
        <v>1536</v>
      </c>
      <c r="D3" s="423" t="s">
        <v>1535</v>
      </c>
      <c r="E3" s="422" t="s">
        <v>1534</v>
      </c>
      <c r="F3" s="421" t="s">
        <v>1533</v>
      </c>
      <c r="G3" s="420" t="s">
        <v>1532</v>
      </c>
      <c r="H3" s="419" t="s">
        <v>1531</v>
      </c>
      <c r="I3" s="404"/>
    </row>
    <row r="4" spans="2:9" ht="16.5" customHeight="1">
      <c r="B4" s="418" t="s">
        <v>1714</v>
      </c>
      <c r="C4" s="417" t="s">
        <v>1530</v>
      </c>
      <c r="D4" s="416">
        <v>4</v>
      </c>
      <c r="E4" s="415" t="str">
        <f>RIGHT(B4,3)</f>
        <v>강희주</v>
      </c>
      <c r="F4" s="414" t="str">
        <f>LEFT(B4,13)</f>
        <v>9002151715526</v>
      </c>
      <c r="G4" s="413">
        <f>VALUE(MID(B4,7,1))</f>
        <v>1</v>
      </c>
      <c r="H4" s="412" t="str">
        <f>IF(G4=1,"남","여")</f>
        <v>남</v>
      </c>
      <c r="I4" s="404"/>
    </row>
    <row r="5" spans="2:9" ht="16.5" customHeight="1">
      <c r="B5" s="411" t="s">
        <v>1529</v>
      </c>
      <c r="C5" s="410" t="s">
        <v>1528</v>
      </c>
      <c r="D5" s="409">
        <v>7</v>
      </c>
      <c r="E5" s="415" t="str">
        <f t="shared" ref="E5:E12" si="0">RIGHT(B5,3)</f>
        <v>차범근</v>
      </c>
      <c r="F5" s="414" t="str">
        <f t="shared" ref="F5:F12" si="1">LEFT(B5,13)</f>
        <v>7608261190622</v>
      </c>
      <c r="G5" s="413">
        <f t="shared" ref="G5:G12" si="2">VALUE(MID(B5,7,1))</f>
        <v>1</v>
      </c>
      <c r="H5" s="412" t="str">
        <f t="shared" ref="H5:H12" si="3">IF(G5=1,"남","여")</f>
        <v>남</v>
      </c>
      <c r="I5" s="404"/>
    </row>
    <row r="6" spans="2:9" ht="16.5" customHeight="1">
      <c r="B6" s="418" t="s">
        <v>1715</v>
      </c>
      <c r="C6" s="417" t="s">
        <v>1527</v>
      </c>
      <c r="D6" s="416">
        <v>3</v>
      </c>
      <c r="E6" s="415" t="str">
        <f t="shared" si="0"/>
        <v>류동성</v>
      </c>
      <c r="F6" s="414" t="str">
        <f t="shared" si="1"/>
        <v>9910202240417</v>
      </c>
      <c r="G6" s="413">
        <f t="shared" si="2"/>
        <v>2</v>
      </c>
      <c r="H6" s="412" t="str">
        <f t="shared" si="3"/>
        <v>여</v>
      </c>
      <c r="I6" s="404"/>
    </row>
    <row r="7" spans="2:9" ht="16.5" customHeight="1">
      <c r="B7" s="411" t="s">
        <v>1718</v>
      </c>
      <c r="C7" s="410" t="s">
        <v>1526</v>
      </c>
      <c r="D7" s="409">
        <v>0</v>
      </c>
      <c r="E7" s="415" t="str">
        <f t="shared" si="0"/>
        <v>문희정</v>
      </c>
      <c r="F7" s="414" t="str">
        <f t="shared" si="1"/>
        <v>7811291070911</v>
      </c>
      <c r="G7" s="413">
        <f t="shared" si="2"/>
        <v>1</v>
      </c>
      <c r="H7" s="412" t="str">
        <f t="shared" si="3"/>
        <v>남</v>
      </c>
      <c r="I7" s="404"/>
    </row>
    <row r="8" spans="2:9" ht="16.5" customHeight="1">
      <c r="B8" s="418" t="s">
        <v>1525</v>
      </c>
      <c r="C8" s="417" t="s">
        <v>1524</v>
      </c>
      <c r="D8" s="416">
        <v>8</v>
      </c>
      <c r="E8" s="415" t="str">
        <f t="shared" si="0"/>
        <v>강희철</v>
      </c>
      <c r="F8" s="414" t="str">
        <f t="shared" si="1"/>
        <v>7609292155019</v>
      </c>
      <c r="G8" s="413">
        <f t="shared" si="2"/>
        <v>2</v>
      </c>
      <c r="H8" s="412" t="str">
        <f t="shared" si="3"/>
        <v>여</v>
      </c>
      <c r="I8" s="404"/>
    </row>
    <row r="9" spans="2:9" ht="16.5" customHeight="1">
      <c r="B9" s="411" t="s">
        <v>1716</v>
      </c>
      <c r="C9" s="410" t="s">
        <v>1523</v>
      </c>
      <c r="D9" s="409">
        <v>9</v>
      </c>
      <c r="E9" s="415" t="str">
        <f t="shared" si="0"/>
        <v>이순임</v>
      </c>
      <c r="F9" s="414" t="str">
        <f t="shared" si="1"/>
        <v>8305091110913</v>
      </c>
      <c r="G9" s="413">
        <f t="shared" si="2"/>
        <v>1</v>
      </c>
      <c r="H9" s="412" t="str">
        <f t="shared" si="3"/>
        <v>남</v>
      </c>
      <c r="I9" s="404"/>
    </row>
    <row r="10" spans="2:9" ht="16.5" customHeight="1">
      <c r="B10" s="418" t="s">
        <v>1717</v>
      </c>
      <c r="C10" s="417" t="s">
        <v>1522</v>
      </c>
      <c r="D10" s="416">
        <v>3</v>
      </c>
      <c r="E10" s="415" t="str">
        <f t="shared" si="0"/>
        <v>최만복</v>
      </c>
      <c r="F10" s="414" t="str">
        <f t="shared" si="1"/>
        <v>8903211146018</v>
      </c>
      <c r="G10" s="413">
        <f t="shared" si="2"/>
        <v>1</v>
      </c>
      <c r="H10" s="412" t="str">
        <f t="shared" si="3"/>
        <v>남</v>
      </c>
      <c r="I10" s="404"/>
    </row>
    <row r="11" spans="2:9" ht="16.5" customHeight="1">
      <c r="B11" s="411" t="s">
        <v>1521</v>
      </c>
      <c r="C11" s="410" t="s">
        <v>1520</v>
      </c>
      <c r="D11" s="409">
        <v>5</v>
      </c>
      <c r="E11" s="415" t="str">
        <f t="shared" si="0"/>
        <v>강현석</v>
      </c>
      <c r="F11" s="414" t="str">
        <f t="shared" si="1"/>
        <v>8904131829119</v>
      </c>
      <c r="G11" s="413">
        <f t="shared" si="2"/>
        <v>1</v>
      </c>
      <c r="H11" s="412" t="str">
        <f t="shared" si="3"/>
        <v>남</v>
      </c>
      <c r="I11" s="404"/>
    </row>
    <row r="12" spans="2:9" ht="16.5" customHeight="1" thickBot="1">
      <c r="B12" s="408" t="s">
        <v>1519</v>
      </c>
      <c r="C12" s="407" t="s">
        <v>1518</v>
      </c>
      <c r="D12" s="406">
        <v>6</v>
      </c>
      <c r="E12" s="415" t="str">
        <f t="shared" si="0"/>
        <v>윤희주</v>
      </c>
      <c r="F12" s="414" t="str">
        <f t="shared" si="1"/>
        <v>8511102172211</v>
      </c>
      <c r="G12" s="413">
        <f t="shared" si="2"/>
        <v>2</v>
      </c>
      <c r="H12" s="412" t="str">
        <f t="shared" si="3"/>
        <v>여</v>
      </c>
      <c r="I12" s="404"/>
    </row>
    <row r="13" spans="2:9">
      <c r="B13" s="405"/>
      <c r="C13" s="405"/>
      <c r="D13" s="405"/>
      <c r="E13" s="405"/>
      <c r="F13" s="405"/>
      <c r="G13" s="405"/>
      <c r="H13" s="405"/>
      <c r="I13" s="404"/>
    </row>
    <row r="14" spans="2:9">
      <c r="B14" s="405"/>
      <c r="C14" s="405"/>
      <c r="D14" s="405"/>
      <c r="E14" s="405"/>
      <c r="F14" s="405"/>
      <c r="G14" s="405"/>
      <c r="H14" s="405"/>
      <c r="I14" s="404"/>
    </row>
    <row r="15" spans="2:9">
      <c r="B15" s="405"/>
      <c r="C15" s="405"/>
      <c r="D15" s="405"/>
      <c r="E15" s="405"/>
      <c r="F15" s="405"/>
      <c r="G15" s="405"/>
      <c r="H15" s="405"/>
      <c r="I15" s="404"/>
    </row>
  </sheetData>
  <mergeCells count="1">
    <mergeCell ref="B1:H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zoomScale="115" zoomScaleNormal="115" workbookViewId="0">
      <selection activeCell="H4" sqref="H4:H12"/>
    </sheetView>
  </sheetViews>
  <sheetFormatPr defaultColWidth="9" defaultRowHeight="17.399999999999999"/>
  <cols>
    <col min="1" max="1" width="1.3984375" style="323" customWidth="1"/>
    <col min="2" max="2" width="8.3984375" style="323" customWidth="1"/>
    <col min="3" max="3" width="9.3984375" style="323" customWidth="1"/>
    <col min="4" max="4" width="15.69921875" style="323" customWidth="1"/>
    <col min="5" max="5" width="15.296875" style="323" customWidth="1"/>
    <col min="6" max="6" width="16.296875" style="323" customWidth="1"/>
    <col min="7" max="7" width="6.69921875" style="323" customWidth="1"/>
    <col min="8" max="8" width="24.796875" style="323" customWidth="1"/>
    <col min="9" max="16384" width="9" style="323"/>
  </cols>
  <sheetData>
    <row r="1" spans="2:8" ht="21">
      <c r="B1" s="589" t="s">
        <v>1560</v>
      </c>
      <c r="C1" s="589"/>
      <c r="D1" s="589"/>
      <c r="E1" s="589"/>
      <c r="F1" s="589"/>
      <c r="G1" s="589"/>
      <c r="H1" s="589"/>
    </row>
    <row r="2" spans="2:8" ht="18" thickBot="1"/>
    <row r="3" spans="2:8" ht="20.25" customHeight="1">
      <c r="B3" s="437" t="s">
        <v>1534</v>
      </c>
      <c r="C3" s="435" t="s">
        <v>1536</v>
      </c>
      <c r="D3" s="436" t="s">
        <v>1533</v>
      </c>
      <c r="E3" s="435" t="s">
        <v>1559</v>
      </c>
      <c r="F3" s="435" t="s">
        <v>1558</v>
      </c>
      <c r="G3" s="435" t="s">
        <v>1535</v>
      </c>
      <c r="H3" s="434" t="s">
        <v>1557</v>
      </c>
    </row>
    <row r="4" spans="2:8" ht="20.25" customHeight="1">
      <c r="B4" s="418" t="s">
        <v>1556</v>
      </c>
      <c r="C4" s="432" t="s">
        <v>1530</v>
      </c>
      <c r="D4" s="433" t="s">
        <v>1555</v>
      </c>
      <c r="E4" s="432" t="str">
        <f>CONCATENATE(B4,"(",C4,")")</f>
        <v>강희주(康熙主)</v>
      </c>
      <c r="F4" s="432"/>
      <c r="G4" s="431">
        <v>4</v>
      </c>
      <c r="H4" s="658" t="str">
        <f>REPT("■",G4)</f>
        <v>■■■■</v>
      </c>
    </row>
    <row r="5" spans="2:8" ht="20.25" customHeight="1">
      <c r="B5" s="411" t="s">
        <v>1554</v>
      </c>
      <c r="C5" s="429" t="s">
        <v>1528</v>
      </c>
      <c r="D5" s="430" t="s">
        <v>1553</v>
      </c>
      <c r="E5" s="432" t="str">
        <f t="shared" ref="E5:E12" si="0">CONCATENATE(B5,"(",C5,")")</f>
        <v>차범근(車範根)</v>
      </c>
      <c r="F5" s="429"/>
      <c r="G5" s="428">
        <v>7</v>
      </c>
      <c r="H5" s="659" t="str">
        <f t="shared" ref="H5:H13" si="1">REPT("■",G5)</f>
        <v>■■■■■■■</v>
      </c>
    </row>
    <row r="6" spans="2:8" ht="20.25" customHeight="1">
      <c r="B6" s="418" t="s">
        <v>1552</v>
      </c>
      <c r="C6" s="432" t="s">
        <v>1527</v>
      </c>
      <c r="D6" s="433" t="s">
        <v>1551</v>
      </c>
      <c r="E6" s="432" t="str">
        <f t="shared" si="0"/>
        <v>류동성(流動性)</v>
      </c>
      <c r="F6" s="432"/>
      <c r="G6" s="431">
        <v>3</v>
      </c>
      <c r="H6" s="658" t="str">
        <f t="shared" si="1"/>
        <v>■■■</v>
      </c>
    </row>
    <row r="7" spans="2:8" ht="20.25" customHeight="1">
      <c r="B7" s="411" t="s">
        <v>1550</v>
      </c>
      <c r="C7" s="429" t="s">
        <v>1526</v>
      </c>
      <c r="D7" s="430" t="s">
        <v>1549</v>
      </c>
      <c r="E7" s="432" t="str">
        <f t="shared" si="0"/>
        <v>문희정(文熙政)</v>
      </c>
      <c r="F7" s="429"/>
      <c r="G7" s="428">
        <v>0</v>
      </c>
      <c r="H7" s="659" t="str">
        <f t="shared" si="1"/>
        <v/>
      </c>
    </row>
    <row r="8" spans="2:8" ht="20.25" customHeight="1">
      <c r="B8" s="418" t="s">
        <v>1548</v>
      </c>
      <c r="C8" s="432" t="s">
        <v>1524</v>
      </c>
      <c r="D8" s="433" t="s">
        <v>1547</v>
      </c>
      <c r="E8" s="432" t="str">
        <f t="shared" si="0"/>
        <v>강희철(康熙哲)</v>
      </c>
      <c r="F8" s="432"/>
      <c r="G8" s="431">
        <v>8</v>
      </c>
      <c r="H8" s="658" t="str">
        <f t="shared" si="1"/>
        <v>■■■■■■■■</v>
      </c>
    </row>
    <row r="9" spans="2:8" ht="20.25" customHeight="1">
      <c r="B9" s="411" t="s">
        <v>1546</v>
      </c>
      <c r="C9" s="429" t="s">
        <v>1523</v>
      </c>
      <c r="D9" s="430" t="s">
        <v>1545</v>
      </c>
      <c r="E9" s="432" t="str">
        <f t="shared" si="0"/>
        <v>이순임(二筍任)</v>
      </c>
      <c r="F9" s="429"/>
      <c r="G9" s="428">
        <v>9</v>
      </c>
      <c r="H9" s="659" t="str">
        <f t="shared" si="1"/>
        <v>■■■■■■■■■</v>
      </c>
    </row>
    <row r="10" spans="2:8" ht="20.25" customHeight="1">
      <c r="B10" s="418" t="s">
        <v>1544</v>
      </c>
      <c r="C10" s="432" t="s">
        <v>1522</v>
      </c>
      <c r="D10" s="433" t="s">
        <v>1543</v>
      </c>
      <c r="E10" s="432" t="str">
        <f t="shared" si="0"/>
        <v>최만복(最晩福)</v>
      </c>
      <c r="F10" s="432"/>
      <c r="G10" s="431">
        <v>3</v>
      </c>
      <c r="H10" s="658" t="str">
        <f t="shared" si="1"/>
        <v>■■■</v>
      </c>
    </row>
    <row r="11" spans="2:8" ht="20.25" customHeight="1">
      <c r="B11" s="411" t="s">
        <v>1542</v>
      </c>
      <c r="C11" s="429" t="s">
        <v>1520</v>
      </c>
      <c r="D11" s="430" t="s">
        <v>1541</v>
      </c>
      <c r="E11" s="432" t="str">
        <f t="shared" si="0"/>
        <v>강현석(姜玄石)</v>
      </c>
      <c r="F11" s="429"/>
      <c r="G11" s="428">
        <v>5</v>
      </c>
      <c r="H11" s="659" t="str">
        <f t="shared" si="1"/>
        <v>■■■■■</v>
      </c>
    </row>
    <row r="12" spans="2:8" ht="20.25" customHeight="1" thickBot="1">
      <c r="B12" s="408" t="s">
        <v>1540</v>
      </c>
      <c r="C12" s="426" t="s">
        <v>1518</v>
      </c>
      <c r="D12" s="427" t="s">
        <v>1539</v>
      </c>
      <c r="E12" s="432" t="str">
        <f t="shared" si="0"/>
        <v>윤희주(尹喜主)</v>
      </c>
      <c r="F12" s="426"/>
      <c r="G12" s="425">
        <v>6</v>
      </c>
      <c r="H12" s="660" t="str">
        <f t="shared" si="1"/>
        <v>■■■■■■</v>
      </c>
    </row>
    <row r="13" spans="2:8">
      <c r="E13" s="323" t="s">
        <v>1713</v>
      </c>
      <c r="H13" s="323" t="str">
        <f t="shared" si="1"/>
        <v/>
      </c>
    </row>
  </sheetData>
  <mergeCells count="1">
    <mergeCell ref="B1:H1"/>
  </mergeCells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60"/>
  <sheetViews>
    <sheetView showGridLines="0" zoomScaleNormal="100" workbookViewId="0">
      <selection activeCell="K3" sqref="K3"/>
    </sheetView>
  </sheetViews>
  <sheetFormatPr defaultColWidth="9" defaultRowHeight="19.5" customHeight="1"/>
  <cols>
    <col min="1" max="1" width="9" style="196"/>
    <col min="2" max="3" width="7" style="196" customWidth="1"/>
    <col min="4" max="4" width="14" style="196" bestFit="1" customWidth="1"/>
    <col min="5" max="5" width="14" style="196" customWidth="1"/>
    <col min="6" max="9" width="14" style="196" hidden="1" customWidth="1"/>
    <col min="10" max="10" width="7.296875" style="197" hidden="1" customWidth="1"/>
    <col min="11" max="11" width="13.296875" style="197" customWidth="1"/>
    <col min="12" max="12" width="4" style="196" customWidth="1"/>
    <col min="13" max="16384" width="9" style="196"/>
  </cols>
  <sheetData>
    <row r="1" spans="1:13" ht="25.8">
      <c r="A1" s="628" t="s">
        <v>1219</v>
      </c>
      <c r="B1" s="628"/>
      <c r="C1" s="628"/>
      <c r="D1" s="628"/>
      <c r="E1" s="628"/>
      <c r="F1" s="628"/>
      <c r="G1" s="628"/>
      <c r="H1" s="628"/>
      <c r="I1" s="628"/>
      <c r="J1" s="628"/>
      <c r="K1" s="582"/>
    </row>
    <row r="2" spans="1:13" ht="6.75" customHeight="1"/>
    <row r="3" spans="1:13" ht="19.5" customHeight="1">
      <c r="A3" s="269" t="s">
        <v>1218</v>
      </c>
      <c r="B3" s="269" t="s">
        <v>1217</v>
      </c>
      <c r="C3" s="269" t="s">
        <v>1216</v>
      </c>
      <c r="D3" s="269" t="s">
        <v>1215</v>
      </c>
      <c r="E3" s="269" t="s">
        <v>1214</v>
      </c>
      <c r="F3" s="269" t="s">
        <v>1213</v>
      </c>
      <c r="G3" s="269"/>
      <c r="H3" s="269"/>
      <c r="I3" s="269"/>
      <c r="J3" s="270" t="s">
        <v>1212</v>
      </c>
      <c r="K3" s="661" t="s">
        <v>1868</v>
      </c>
    </row>
    <row r="4" spans="1:13" ht="19.5" customHeight="1">
      <c r="A4" s="202" t="s">
        <v>1211</v>
      </c>
      <c r="B4" s="201" t="s">
        <v>1210</v>
      </c>
      <c r="C4" s="201" t="s">
        <v>1186</v>
      </c>
      <c r="D4" s="201" t="str">
        <f>VLOOKUP(A4,인적사항!A2:F51,4,FALSE)</f>
        <v>730514-*******</v>
      </c>
      <c r="E4" s="201" t="str">
        <f>IF(MID(D4,8,1)="1","남","여")</f>
        <v>여</v>
      </c>
      <c r="F4" s="203" t="str">
        <f>LEFT(D4,6)</f>
        <v>730514</v>
      </c>
      <c r="G4" s="201">
        <v>73</v>
      </c>
      <c r="H4" s="201">
        <f>1900+G4</f>
        <v>1973</v>
      </c>
      <c r="I4" s="201">
        <v>5</v>
      </c>
      <c r="J4" s="200">
        <v>14</v>
      </c>
      <c r="K4" s="662">
        <f>DATE(H4,I4,J4)</f>
        <v>26798</v>
      </c>
      <c r="M4" s="196" t="s">
        <v>1209</v>
      </c>
    </row>
    <row r="5" spans="1:13" ht="19.5" customHeight="1">
      <c r="A5" s="202" t="s">
        <v>1208</v>
      </c>
      <c r="B5" s="201" t="s">
        <v>1207</v>
      </c>
      <c r="C5" s="201" t="s">
        <v>1164</v>
      </c>
      <c r="D5" s="201" t="str">
        <f>VLOOKUP(A5,인적사항!A3:F52,4,FALSE)</f>
        <v>600526-*******</v>
      </c>
      <c r="E5" s="201" t="str">
        <f t="shared" ref="E5:E53" si="0">IF(MID(D5,8,1)="1","남","여")</f>
        <v>여</v>
      </c>
      <c r="F5" s="203" t="str">
        <f t="shared" ref="F5:F53" si="1">LEFT(D5,6)</f>
        <v>600526</v>
      </c>
      <c r="G5" s="201">
        <v>60</v>
      </c>
      <c r="H5" s="201">
        <f t="shared" ref="H5:H53" si="2">1900+G5</f>
        <v>1960</v>
      </c>
      <c r="I5" s="201">
        <v>5</v>
      </c>
      <c r="J5" s="200">
        <v>26</v>
      </c>
      <c r="K5" s="662">
        <f t="shared" ref="K5:K53" si="3">DATE(H5,I5,J5)</f>
        <v>22062</v>
      </c>
    </row>
    <row r="6" spans="1:13" ht="19.5" customHeight="1">
      <c r="A6" s="202" t="s">
        <v>1206</v>
      </c>
      <c r="B6" s="201" t="s">
        <v>1205</v>
      </c>
      <c r="C6" s="201" t="s">
        <v>1095</v>
      </c>
      <c r="D6" s="201" t="str">
        <f>VLOOKUP(A6,인적사항!A4:F53,4,FALSE)</f>
        <v>610715-*******</v>
      </c>
      <c r="E6" s="201" t="str">
        <f t="shared" si="0"/>
        <v>여</v>
      </c>
      <c r="F6" s="203" t="str">
        <f t="shared" si="1"/>
        <v>610715</v>
      </c>
      <c r="G6" s="201">
        <v>61</v>
      </c>
      <c r="H6" s="201">
        <f t="shared" si="2"/>
        <v>1961</v>
      </c>
      <c r="I6" s="201">
        <v>7</v>
      </c>
      <c r="J6" s="200">
        <v>15</v>
      </c>
      <c r="K6" s="662">
        <f t="shared" si="3"/>
        <v>22477</v>
      </c>
      <c r="M6" s="196" t="s">
        <v>1204</v>
      </c>
    </row>
    <row r="7" spans="1:13" ht="19.5" customHeight="1">
      <c r="A7" s="202" t="s">
        <v>1203</v>
      </c>
      <c r="B7" s="201" t="s">
        <v>1202</v>
      </c>
      <c r="C7" s="201" t="s">
        <v>1158</v>
      </c>
      <c r="D7" s="201" t="str">
        <f>VLOOKUP(A7,인적사항!A5:F54,4,FALSE)</f>
        <v>610322-*******</v>
      </c>
      <c r="E7" s="201" t="str">
        <f t="shared" si="0"/>
        <v>여</v>
      </c>
      <c r="F7" s="203" t="str">
        <f t="shared" si="1"/>
        <v>610322</v>
      </c>
      <c r="G7" s="201">
        <v>61</v>
      </c>
      <c r="H7" s="201">
        <f t="shared" si="2"/>
        <v>1961</v>
      </c>
      <c r="I7" s="201">
        <v>3</v>
      </c>
      <c r="J7" s="200">
        <v>22</v>
      </c>
      <c r="K7" s="662">
        <f t="shared" si="3"/>
        <v>22362</v>
      </c>
    </row>
    <row r="8" spans="1:13" ht="19.5" customHeight="1">
      <c r="A8" s="202" t="s">
        <v>1201</v>
      </c>
      <c r="B8" s="201" t="s">
        <v>1200</v>
      </c>
      <c r="C8" s="201" t="s">
        <v>1174</v>
      </c>
      <c r="D8" s="201" t="str">
        <f>VLOOKUP(A8,인적사항!A6:F55,4,FALSE)</f>
        <v>740111-*******</v>
      </c>
      <c r="E8" s="201" t="str">
        <f t="shared" si="0"/>
        <v>여</v>
      </c>
      <c r="F8" s="203" t="str">
        <f t="shared" si="1"/>
        <v>740111</v>
      </c>
      <c r="G8" s="201">
        <v>74</v>
      </c>
      <c r="H8" s="201">
        <f t="shared" si="2"/>
        <v>1974</v>
      </c>
      <c r="I8" s="201">
        <v>1</v>
      </c>
      <c r="J8" s="200">
        <v>11</v>
      </c>
      <c r="K8" s="662">
        <f t="shared" si="3"/>
        <v>27040</v>
      </c>
      <c r="M8" s="196" t="s">
        <v>1199</v>
      </c>
    </row>
    <row r="9" spans="1:13" ht="19.5" customHeight="1">
      <c r="A9" s="202" t="s">
        <v>1198</v>
      </c>
      <c r="B9" s="201" t="s">
        <v>1197</v>
      </c>
      <c r="C9" s="201" t="s">
        <v>1105</v>
      </c>
      <c r="D9" s="201" t="str">
        <f>VLOOKUP(A9,인적사항!A7:F56,4,FALSE)</f>
        <v>651122-*******</v>
      </c>
      <c r="E9" s="201" t="str">
        <f t="shared" si="0"/>
        <v>여</v>
      </c>
      <c r="F9" s="203" t="str">
        <f t="shared" si="1"/>
        <v>651122</v>
      </c>
      <c r="G9" s="201">
        <v>65</v>
      </c>
      <c r="H9" s="201">
        <f t="shared" si="2"/>
        <v>1965</v>
      </c>
      <c r="I9" s="201">
        <v>11</v>
      </c>
      <c r="J9" s="200">
        <v>22</v>
      </c>
      <c r="K9" s="662">
        <f t="shared" si="3"/>
        <v>24068</v>
      </c>
    </row>
    <row r="10" spans="1:13" ht="19.5" customHeight="1">
      <c r="A10" s="202" t="s">
        <v>1196</v>
      </c>
      <c r="B10" s="201" t="s">
        <v>215</v>
      </c>
      <c r="C10" s="201" t="s">
        <v>1174</v>
      </c>
      <c r="D10" s="201" t="str">
        <f>VLOOKUP(A10,인적사항!A8:F57,4,FALSE)</f>
        <v>720313-*******</v>
      </c>
      <c r="E10" s="201" t="str">
        <f t="shared" si="0"/>
        <v>여</v>
      </c>
      <c r="F10" s="203" t="str">
        <f t="shared" si="1"/>
        <v>720313</v>
      </c>
      <c r="G10" s="201">
        <v>72</v>
      </c>
      <c r="H10" s="201">
        <f t="shared" si="2"/>
        <v>1972</v>
      </c>
      <c r="I10" s="201">
        <v>3</v>
      </c>
      <c r="J10" s="200">
        <v>13</v>
      </c>
      <c r="K10" s="662">
        <f t="shared" si="3"/>
        <v>26371</v>
      </c>
    </row>
    <row r="11" spans="1:13" ht="19.5" customHeight="1">
      <c r="A11" s="202" t="s">
        <v>1195</v>
      </c>
      <c r="B11" s="201" t="s">
        <v>1194</v>
      </c>
      <c r="C11" s="201" t="s">
        <v>1193</v>
      </c>
      <c r="D11" s="201" t="str">
        <f>VLOOKUP(A11,인적사항!A9:F58,4,FALSE)</f>
        <v>660822-*******</v>
      </c>
      <c r="E11" s="201" t="str">
        <f t="shared" si="0"/>
        <v>여</v>
      </c>
      <c r="F11" s="203" t="str">
        <f t="shared" si="1"/>
        <v>660822</v>
      </c>
      <c r="G11" s="201">
        <v>66</v>
      </c>
      <c r="H11" s="201">
        <f t="shared" si="2"/>
        <v>1966</v>
      </c>
      <c r="I11" s="201">
        <v>8</v>
      </c>
      <c r="J11" s="200">
        <v>22</v>
      </c>
      <c r="K11" s="662">
        <f t="shared" si="3"/>
        <v>24341</v>
      </c>
    </row>
    <row r="12" spans="1:13" ht="19.5" customHeight="1">
      <c r="A12" s="202" t="s">
        <v>1192</v>
      </c>
      <c r="B12" s="201" t="s">
        <v>1083</v>
      </c>
      <c r="C12" s="201" t="s">
        <v>1191</v>
      </c>
      <c r="D12" s="201" t="str">
        <f>VLOOKUP(A12,인적사항!A10:F59,4,FALSE)</f>
        <v>680816-*******</v>
      </c>
      <c r="E12" s="201" t="str">
        <f t="shared" si="0"/>
        <v>여</v>
      </c>
      <c r="F12" s="203" t="str">
        <f t="shared" si="1"/>
        <v>680816</v>
      </c>
      <c r="G12" s="201">
        <v>68</v>
      </c>
      <c r="H12" s="201">
        <f t="shared" si="2"/>
        <v>1968</v>
      </c>
      <c r="I12" s="201">
        <v>8</v>
      </c>
      <c r="J12" s="200">
        <v>16</v>
      </c>
      <c r="K12" s="662">
        <f t="shared" si="3"/>
        <v>25066</v>
      </c>
    </row>
    <row r="13" spans="1:13" ht="19.5" customHeight="1">
      <c r="A13" s="202" t="s">
        <v>1190</v>
      </c>
      <c r="B13" s="201" t="s">
        <v>1189</v>
      </c>
      <c r="C13" s="201" t="s">
        <v>1105</v>
      </c>
      <c r="D13" s="201" t="str">
        <f>VLOOKUP(A13,인적사항!A11:F60,4,FALSE)</f>
        <v>590607-*******</v>
      </c>
      <c r="E13" s="201" t="str">
        <f t="shared" si="0"/>
        <v>여</v>
      </c>
      <c r="F13" s="203" t="str">
        <f t="shared" si="1"/>
        <v>590607</v>
      </c>
      <c r="G13" s="201">
        <v>59</v>
      </c>
      <c r="H13" s="201">
        <f t="shared" si="2"/>
        <v>1959</v>
      </c>
      <c r="I13" s="201">
        <v>6</v>
      </c>
      <c r="J13" s="200">
        <v>7</v>
      </c>
      <c r="K13" s="662">
        <f t="shared" si="3"/>
        <v>21708</v>
      </c>
    </row>
    <row r="14" spans="1:13" ht="19.5" customHeight="1">
      <c r="A14" s="202" t="s">
        <v>1188</v>
      </c>
      <c r="B14" s="201" t="s">
        <v>1187</v>
      </c>
      <c r="C14" s="201" t="s">
        <v>1186</v>
      </c>
      <c r="D14" s="201" t="str">
        <f>VLOOKUP(A14,인적사항!A12:F61,4,FALSE)</f>
        <v>711104-*******</v>
      </c>
      <c r="E14" s="201" t="str">
        <f t="shared" si="0"/>
        <v>여</v>
      </c>
      <c r="F14" s="203" t="str">
        <f t="shared" si="1"/>
        <v>711104</v>
      </c>
      <c r="G14" s="201">
        <v>71</v>
      </c>
      <c r="H14" s="201">
        <f t="shared" si="2"/>
        <v>1971</v>
      </c>
      <c r="I14" s="201">
        <v>11</v>
      </c>
      <c r="J14" s="200">
        <v>4</v>
      </c>
      <c r="K14" s="662">
        <f t="shared" si="3"/>
        <v>26241</v>
      </c>
    </row>
    <row r="15" spans="1:13" ht="19.5" customHeight="1">
      <c r="A15" s="202" t="s">
        <v>1185</v>
      </c>
      <c r="B15" s="201" t="s">
        <v>1184</v>
      </c>
      <c r="C15" s="201" t="s">
        <v>1174</v>
      </c>
      <c r="D15" s="201" t="str">
        <f>VLOOKUP(A15,인적사항!A13:F62,4,FALSE)</f>
        <v>660123-*******</v>
      </c>
      <c r="E15" s="201" t="str">
        <f t="shared" si="0"/>
        <v>여</v>
      </c>
      <c r="F15" s="203" t="str">
        <f t="shared" si="1"/>
        <v>660123</v>
      </c>
      <c r="G15" s="201">
        <v>66</v>
      </c>
      <c r="H15" s="201">
        <f t="shared" si="2"/>
        <v>1966</v>
      </c>
      <c r="I15" s="201">
        <v>1</v>
      </c>
      <c r="J15" s="200">
        <v>23</v>
      </c>
      <c r="K15" s="662">
        <f t="shared" si="3"/>
        <v>24130</v>
      </c>
    </row>
    <row r="16" spans="1:13" ht="19.5" customHeight="1">
      <c r="A16" s="202" t="s">
        <v>1183</v>
      </c>
      <c r="B16" s="201" t="s">
        <v>1182</v>
      </c>
      <c r="C16" s="201" t="s">
        <v>1139</v>
      </c>
      <c r="D16" s="201" t="str">
        <f>VLOOKUP(A16,인적사항!A14:F63,4,FALSE)</f>
        <v>790211-*******</v>
      </c>
      <c r="E16" s="201" t="str">
        <f t="shared" si="0"/>
        <v>여</v>
      </c>
      <c r="F16" s="203" t="str">
        <f t="shared" si="1"/>
        <v>790211</v>
      </c>
      <c r="G16" s="201">
        <v>79</v>
      </c>
      <c r="H16" s="201">
        <f t="shared" si="2"/>
        <v>1979</v>
      </c>
      <c r="I16" s="201">
        <v>2</v>
      </c>
      <c r="J16" s="200">
        <v>11</v>
      </c>
      <c r="K16" s="662">
        <f t="shared" si="3"/>
        <v>28897</v>
      </c>
    </row>
    <row r="17" spans="1:11" ht="19.5" customHeight="1">
      <c r="A17" s="202" t="s">
        <v>1181</v>
      </c>
      <c r="B17" s="201" t="s">
        <v>1180</v>
      </c>
      <c r="C17" s="201" t="s">
        <v>1179</v>
      </c>
      <c r="D17" s="201" t="str">
        <f>VLOOKUP(A17,인적사항!A15:F64,4,FALSE)</f>
        <v>660811-*******</v>
      </c>
      <c r="E17" s="201" t="str">
        <f t="shared" si="0"/>
        <v>여</v>
      </c>
      <c r="F17" s="203" t="str">
        <f t="shared" si="1"/>
        <v>660811</v>
      </c>
      <c r="G17" s="201">
        <v>66</v>
      </c>
      <c r="H17" s="201">
        <f t="shared" si="2"/>
        <v>1966</v>
      </c>
      <c r="I17" s="201">
        <v>8</v>
      </c>
      <c r="J17" s="200">
        <v>11</v>
      </c>
      <c r="K17" s="662">
        <f t="shared" si="3"/>
        <v>24330</v>
      </c>
    </row>
    <row r="18" spans="1:11" ht="19.5" customHeight="1">
      <c r="A18" s="202" t="s">
        <v>1178</v>
      </c>
      <c r="B18" s="201" t="s">
        <v>1177</v>
      </c>
      <c r="C18" s="201" t="s">
        <v>1105</v>
      </c>
      <c r="D18" s="201" t="str">
        <f>VLOOKUP(A18,인적사항!A16:F65,4,FALSE)</f>
        <v>660828-*******</v>
      </c>
      <c r="E18" s="201" t="str">
        <f t="shared" si="0"/>
        <v>여</v>
      </c>
      <c r="F18" s="203" t="str">
        <f t="shared" si="1"/>
        <v>660828</v>
      </c>
      <c r="G18" s="201">
        <v>66</v>
      </c>
      <c r="H18" s="201">
        <f t="shared" si="2"/>
        <v>1966</v>
      </c>
      <c r="I18" s="201">
        <v>8</v>
      </c>
      <c r="J18" s="200">
        <v>28</v>
      </c>
      <c r="K18" s="662">
        <f t="shared" si="3"/>
        <v>24347</v>
      </c>
    </row>
    <row r="19" spans="1:11" ht="19.5" customHeight="1">
      <c r="A19" s="202" t="s">
        <v>1176</v>
      </c>
      <c r="B19" s="201" t="s">
        <v>1175</v>
      </c>
      <c r="C19" s="201" t="s">
        <v>1174</v>
      </c>
      <c r="D19" s="201" t="str">
        <f>VLOOKUP(A19,인적사항!A17:F66,4,FALSE)</f>
        <v>750320-*******</v>
      </c>
      <c r="E19" s="201" t="str">
        <f t="shared" si="0"/>
        <v>여</v>
      </c>
      <c r="F19" s="203" t="str">
        <f t="shared" si="1"/>
        <v>750320</v>
      </c>
      <c r="G19" s="201">
        <v>75</v>
      </c>
      <c r="H19" s="201">
        <f t="shared" si="2"/>
        <v>1975</v>
      </c>
      <c r="I19" s="201">
        <v>3</v>
      </c>
      <c r="J19" s="200">
        <v>20</v>
      </c>
      <c r="K19" s="662">
        <f t="shared" si="3"/>
        <v>27473</v>
      </c>
    </row>
    <row r="20" spans="1:11" ht="19.5" customHeight="1">
      <c r="A20" s="202" t="s">
        <v>1173</v>
      </c>
      <c r="B20" s="201" t="s">
        <v>1172</v>
      </c>
      <c r="C20" s="201" t="s">
        <v>1171</v>
      </c>
      <c r="D20" s="201" t="str">
        <f>VLOOKUP(A20,인적사항!A18:F67,4,FALSE)</f>
        <v>681227-*******</v>
      </c>
      <c r="E20" s="201" t="str">
        <f t="shared" si="0"/>
        <v>여</v>
      </c>
      <c r="F20" s="203" t="str">
        <f t="shared" si="1"/>
        <v>681227</v>
      </c>
      <c r="G20" s="201">
        <v>68</v>
      </c>
      <c r="H20" s="201">
        <f t="shared" si="2"/>
        <v>1968</v>
      </c>
      <c r="I20" s="201">
        <v>12</v>
      </c>
      <c r="J20" s="200">
        <v>27</v>
      </c>
      <c r="K20" s="662">
        <f t="shared" si="3"/>
        <v>25199</v>
      </c>
    </row>
    <row r="21" spans="1:11" ht="19.5" customHeight="1">
      <c r="A21" s="202" t="s">
        <v>1170</v>
      </c>
      <c r="B21" s="201" t="s">
        <v>1169</v>
      </c>
      <c r="C21" s="201" t="s">
        <v>1095</v>
      </c>
      <c r="D21" s="201" t="str">
        <f>VLOOKUP(A21,인적사항!A19:F68,4,FALSE)</f>
        <v>621025-*******</v>
      </c>
      <c r="E21" s="201" t="str">
        <f t="shared" si="0"/>
        <v>여</v>
      </c>
      <c r="F21" s="203" t="str">
        <f t="shared" si="1"/>
        <v>621025</v>
      </c>
      <c r="G21" s="201">
        <v>62</v>
      </c>
      <c r="H21" s="201">
        <f t="shared" si="2"/>
        <v>1962</v>
      </c>
      <c r="I21" s="201">
        <v>10</v>
      </c>
      <c r="J21" s="200">
        <v>25</v>
      </c>
      <c r="K21" s="662">
        <f t="shared" si="3"/>
        <v>22944</v>
      </c>
    </row>
    <row r="22" spans="1:11" ht="19.5" customHeight="1">
      <c r="A22" s="202" t="s">
        <v>1168</v>
      </c>
      <c r="B22" s="201" t="s">
        <v>1167</v>
      </c>
      <c r="C22" s="201" t="s">
        <v>1118</v>
      </c>
      <c r="D22" s="201" t="str">
        <f>VLOOKUP(A22,인적사항!A20:F69,4,FALSE)</f>
        <v>600403-*******</v>
      </c>
      <c r="E22" s="201" t="str">
        <f t="shared" si="0"/>
        <v>여</v>
      </c>
      <c r="F22" s="203" t="str">
        <f t="shared" si="1"/>
        <v>600403</v>
      </c>
      <c r="G22" s="201">
        <v>60</v>
      </c>
      <c r="H22" s="201">
        <f t="shared" si="2"/>
        <v>1960</v>
      </c>
      <c r="I22" s="201">
        <v>4</v>
      </c>
      <c r="J22" s="200">
        <v>3</v>
      </c>
      <c r="K22" s="662">
        <f t="shared" si="3"/>
        <v>22009</v>
      </c>
    </row>
    <row r="23" spans="1:11" ht="19.5" customHeight="1">
      <c r="A23" s="202" t="s">
        <v>1166</v>
      </c>
      <c r="B23" s="201" t="s">
        <v>1165</v>
      </c>
      <c r="C23" s="201" t="s">
        <v>1164</v>
      </c>
      <c r="D23" s="201" t="str">
        <f>VLOOKUP(A23,인적사항!A21:F70,4,FALSE)</f>
        <v>720810-*******</v>
      </c>
      <c r="E23" s="201" t="str">
        <f t="shared" si="0"/>
        <v>여</v>
      </c>
      <c r="F23" s="203" t="str">
        <f t="shared" si="1"/>
        <v>720810</v>
      </c>
      <c r="G23" s="201">
        <v>72</v>
      </c>
      <c r="H23" s="201">
        <f t="shared" si="2"/>
        <v>1972</v>
      </c>
      <c r="I23" s="201">
        <v>8</v>
      </c>
      <c r="J23" s="200">
        <v>10</v>
      </c>
      <c r="K23" s="662">
        <f t="shared" si="3"/>
        <v>26521</v>
      </c>
    </row>
    <row r="24" spans="1:11" ht="19.5" customHeight="1">
      <c r="A24" s="202" t="s">
        <v>1163</v>
      </c>
      <c r="B24" s="201" t="s">
        <v>1162</v>
      </c>
      <c r="C24" s="201" t="s">
        <v>1161</v>
      </c>
      <c r="D24" s="201" t="str">
        <f>VLOOKUP(A24,인적사항!A22:F71,4,FALSE)</f>
        <v>770217-*******</v>
      </c>
      <c r="E24" s="201" t="str">
        <f t="shared" si="0"/>
        <v>여</v>
      </c>
      <c r="F24" s="203" t="str">
        <f t="shared" si="1"/>
        <v>770217</v>
      </c>
      <c r="G24" s="201">
        <v>77</v>
      </c>
      <c r="H24" s="201">
        <f t="shared" si="2"/>
        <v>1977</v>
      </c>
      <c r="I24" s="201">
        <v>2</v>
      </c>
      <c r="J24" s="200">
        <v>17</v>
      </c>
      <c r="K24" s="662">
        <f t="shared" si="3"/>
        <v>28173</v>
      </c>
    </row>
    <row r="25" spans="1:11" ht="19.5" customHeight="1">
      <c r="A25" s="202" t="s">
        <v>1160</v>
      </c>
      <c r="B25" s="201" t="s">
        <v>1159</v>
      </c>
      <c r="C25" s="201" t="s">
        <v>1158</v>
      </c>
      <c r="D25" s="201" t="str">
        <f>VLOOKUP(A25,인적사항!A23:F72,4,FALSE)</f>
        <v>621002-*******</v>
      </c>
      <c r="E25" s="201" t="str">
        <f t="shared" si="0"/>
        <v>여</v>
      </c>
      <c r="F25" s="203" t="str">
        <f t="shared" si="1"/>
        <v>621002</v>
      </c>
      <c r="G25" s="201">
        <v>62</v>
      </c>
      <c r="H25" s="201">
        <f t="shared" si="2"/>
        <v>1962</v>
      </c>
      <c r="I25" s="201">
        <v>10</v>
      </c>
      <c r="J25" s="200">
        <v>2</v>
      </c>
      <c r="K25" s="662">
        <f t="shared" si="3"/>
        <v>22921</v>
      </c>
    </row>
    <row r="26" spans="1:11" ht="19.5" customHeight="1">
      <c r="A26" s="202" t="s">
        <v>1157</v>
      </c>
      <c r="B26" s="201" t="s">
        <v>1156</v>
      </c>
      <c r="C26" s="201" t="s">
        <v>1155</v>
      </c>
      <c r="D26" s="201" t="str">
        <f>VLOOKUP(A26,인적사항!A24:F73,4,FALSE)</f>
        <v>800704-*******</v>
      </c>
      <c r="E26" s="201" t="str">
        <f t="shared" si="0"/>
        <v>여</v>
      </c>
      <c r="F26" s="203" t="str">
        <f t="shared" si="1"/>
        <v>800704</v>
      </c>
      <c r="G26" s="201">
        <v>80</v>
      </c>
      <c r="H26" s="201">
        <f t="shared" si="2"/>
        <v>1980</v>
      </c>
      <c r="I26" s="201">
        <v>7</v>
      </c>
      <c r="J26" s="200">
        <v>4</v>
      </c>
      <c r="K26" s="662">
        <f t="shared" si="3"/>
        <v>29406</v>
      </c>
    </row>
    <row r="27" spans="1:11" ht="19.5" customHeight="1">
      <c r="A27" s="202" t="s">
        <v>1154</v>
      </c>
      <c r="B27" s="201" t="s">
        <v>1153</v>
      </c>
      <c r="C27" s="201" t="s">
        <v>1084</v>
      </c>
      <c r="D27" s="201" t="str">
        <f>VLOOKUP(A27,인적사항!A25:F74,4,FALSE)</f>
        <v>681005-*******</v>
      </c>
      <c r="E27" s="201" t="str">
        <f t="shared" si="0"/>
        <v>여</v>
      </c>
      <c r="F27" s="203" t="str">
        <f t="shared" si="1"/>
        <v>681005</v>
      </c>
      <c r="G27" s="201">
        <v>68</v>
      </c>
      <c r="H27" s="201">
        <f t="shared" si="2"/>
        <v>1968</v>
      </c>
      <c r="I27" s="201">
        <v>10</v>
      </c>
      <c r="J27" s="200">
        <v>5</v>
      </c>
      <c r="K27" s="662">
        <f t="shared" si="3"/>
        <v>25116</v>
      </c>
    </row>
    <row r="28" spans="1:11" ht="19.5" customHeight="1">
      <c r="A28" s="202" t="s">
        <v>1152</v>
      </c>
      <c r="B28" s="201" t="s">
        <v>1151</v>
      </c>
      <c r="C28" s="201" t="s">
        <v>1150</v>
      </c>
      <c r="D28" s="201" t="str">
        <f>VLOOKUP(A28,인적사항!A26:F75,4,FALSE)</f>
        <v>611005-*******</v>
      </c>
      <c r="E28" s="201" t="str">
        <f t="shared" si="0"/>
        <v>여</v>
      </c>
      <c r="F28" s="203" t="str">
        <f t="shared" si="1"/>
        <v>611005</v>
      </c>
      <c r="G28" s="201">
        <v>61</v>
      </c>
      <c r="H28" s="201">
        <f t="shared" si="2"/>
        <v>1961</v>
      </c>
      <c r="I28" s="201">
        <v>10</v>
      </c>
      <c r="J28" s="200">
        <v>5</v>
      </c>
      <c r="K28" s="662">
        <f t="shared" si="3"/>
        <v>22559</v>
      </c>
    </row>
    <row r="29" spans="1:11" ht="19.5" customHeight="1">
      <c r="A29" s="202" t="s">
        <v>1149</v>
      </c>
      <c r="B29" s="201" t="s">
        <v>1148</v>
      </c>
      <c r="C29" s="201" t="s">
        <v>1147</v>
      </c>
      <c r="D29" s="201" t="str">
        <f>VLOOKUP(A29,인적사항!A27:F76,4,FALSE)</f>
        <v>580226-*******</v>
      </c>
      <c r="E29" s="201" t="str">
        <f t="shared" si="0"/>
        <v>여</v>
      </c>
      <c r="F29" s="203" t="str">
        <f t="shared" si="1"/>
        <v>580226</v>
      </c>
      <c r="G29" s="201">
        <v>58</v>
      </c>
      <c r="H29" s="201">
        <f t="shared" si="2"/>
        <v>1958</v>
      </c>
      <c r="I29" s="201">
        <v>2</v>
      </c>
      <c r="J29" s="200">
        <v>26</v>
      </c>
      <c r="K29" s="662">
        <f t="shared" si="3"/>
        <v>21242</v>
      </c>
    </row>
    <row r="30" spans="1:11" ht="19.5" customHeight="1">
      <c r="A30" s="202" t="s">
        <v>1146</v>
      </c>
      <c r="B30" s="201" t="s">
        <v>1145</v>
      </c>
      <c r="C30" s="201" t="s">
        <v>1144</v>
      </c>
      <c r="D30" s="201" t="str">
        <f>VLOOKUP(A30,인적사항!A28:F77,4,FALSE)</f>
        <v>760216-*******</v>
      </c>
      <c r="E30" s="201" t="str">
        <f t="shared" si="0"/>
        <v>여</v>
      </c>
      <c r="F30" s="203" t="str">
        <f t="shared" si="1"/>
        <v>760216</v>
      </c>
      <c r="G30" s="201">
        <v>76</v>
      </c>
      <c r="H30" s="201">
        <f t="shared" si="2"/>
        <v>1976</v>
      </c>
      <c r="I30" s="201">
        <v>2</v>
      </c>
      <c r="J30" s="200">
        <v>16</v>
      </c>
      <c r="K30" s="662">
        <f t="shared" si="3"/>
        <v>27806</v>
      </c>
    </row>
    <row r="31" spans="1:11" ht="19.5" customHeight="1">
      <c r="A31" s="202" t="s">
        <v>1143</v>
      </c>
      <c r="B31" s="201" t="s">
        <v>1142</v>
      </c>
      <c r="C31" s="201" t="s">
        <v>1137</v>
      </c>
      <c r="D31" s="201" t="str">
        <f>VLOOKUP(A31,인적사항!A29:F78,4,FALSE)</f>
        <v>660803-*******</v>
      </c>
      <c r="E31" s="201" t="str">
        <f t="shared" si="0"/>
        <v>여</v>
      </c>
      <c r="F31" s="203" t="str">
        <f t="shared" si="1"/>
        <v>660803</v>
      </c>
      <c r="G31" s="201">
        <v>66</v>
      </c>
      <c r="H31" s="201">
        <f t="shared" si="2"/>
        <v>1966</v>
      </c>
      <c r="I31" s="201">
        <v>8</v>
      </c>
      <c r="J31" s="200">
        <v>3</v>
      </c>
      <c r="K31" s="662">
        <f t="shared" si="3"/>
        <v>24322</v>
      </c>
    </row>
    <row r="32" spans="1:11" ht="19.5" customHeight="1">
      <c r="A32" s="202" t="s">
        <v>1141</v>
      </c>
      <c r="B32" s="201" t="s">
        <v>1140</v>
      </c>
      <c r="C32" s="201" t="s">
        <v>1139</v>
      </c>
      <c r="D32" s="201" t="str">
        <f>VLOOKUP(A32,인적사항!A30:F79,4,FALSE)</f>
        <v>760725-*******</v>
      </c>
      <c r="E32" s="201" t="str">
        <f t="shared" si="0"/>
        <v>여</v>
      </c>
      <c r="F32" s="203" t="str">
        <f t="shared" si="1"/>
        <v>760725</v>
      </c>
      <c r="G32" s="201">
        <v>76</v>
      </c>
      <c r="H32" s="201">
        <f t="shared" si="2"/>
        <v>1976</v>
      </c>
      <c r="I32" s="201">
        <v>7</v>
      </c>
      <c r="J32" s="200">
        <v>25</v>
      </c>
      <c r="K32" s="662">
        <f t="shared" si="3"/>
        <v>27966</v>
      </c>
    </row>
    <row r="33" spans="1:11" ht="19.5" customHeight="1">
      <c r="A33" s="202" t="s">
        <v>1138</v>
      </c>
      <c r="B33" s="201" t="s">
        <v>1135</v>
      </c>
      <c r="C33" s="201" t="s">
        <v>1137</v>
      </c>
      <c r="D33" s="201" t="str">
        <f>VLOOKUP(A33,인적사항!A31:F80,4,FALSE)</f>
        <v>690917-*******</v>
      </c>
      <c r="E33" s="201" t="str">
        <f t="shared" si="0"/>
        <v>여</v>
      </c>
      <c r="F33" s="203" t="str">
        <f t="shared" si="1"/>
        <v>690917</v>
      </c>
      <c r="G33" s="201">
        <v>69</v>
      </c>
      <c r="H33" s="201">
        <f t="shared" si="2"/>
        <v>1969</v>
      </c>
      <c r="I33" s="201">
        <v>9</v>
      </c>
      <c r="J33" s="200">
        <v>17</v>
      </c>
      <c r="K33" s="662">
        <f t="shared" si="3"/>
        <v>25463</v>
      </c>
    </row>
    <row r="34" spans="1:11" ht="19.5" customHeight="1">
      <c r="A34" s="202" t="s">
        <v>1136</v>
      </c>
      <c r="B34" s="201" t="s">
        <v>1135</v>
      </c>
      <c r="C34" s="201" t="s">
        <v>1134</v>
      </c>
      <c r="D34" s="201" t="str">
        <f>VLOOKUP(A34,인적사항!A32:F81,4,FALSE)</f>
        <v>720904-*******</v>
      </c>
      <c r="E34" s="201" t="str">
        <f t="shared" si="0"/>
        <v>여</v>
      </c>
      <c r="F34" s="203" t="str">
        <f t="shared" si="1"/>
        <v>720904</v>
      </c>
      <c r="G34" s="201">
        <v>72</v>
      </c>
      <c r="H34" s="201">
        <f t="shared" si="2"/>
        <v>1972</v>
      </c>
      <c r="I34" s="201">
        <v>9</v>
      </c>
      <c r="J34" s="200">
        <v>4</v>
      </c>
      <c r="K34" s="662">
        <f t="shared" si="3"/>
        <v>26546</v>
      </c>
    </row>
    <row r="35" spans="1:11" ht="19.5" customHeight="1">
      <c r="A35" s="202" t="s">
        <v>1133</v>
      </c>
      <c r="B35" s="201" t="s">
        <v>1132</v>
      </c>
      <c r="C35" s="201" t="s">
        <v>1131</v>
      </c>
      <c r="D35" s="201" t="str">
        <f>VLOOKUP(A35,인적사항!A33:F82,4,FALSE)</f>
        <v>601217-*******</v>
      </c>
      <c r="E35" s="201" t="str">
        <f t="shared" si="0"/>
        <v>여</v>
      </c>
      <c r="F35" s="203" t="str">
        <f t="shared" si="1"/>
        <v>601217</v>
      </c>
      <c r="G35" s="201">
        <v>60</v>
      </c>
      <c r="H35" s="201">
        <f t="shared" si="2"/>
        <v>1960</v>
      </c>
      <c r="I35" s="201">
        <v>12</v>
      </c>
      <c r="J35" s="200">
        <v>17</v>
      </c>
      <c r="K35" s="662">
        <f t="shared" si="3"/>
        <v>22267</v>
      </c>
    </row>
    <row r="36" spans="1:11" ht="19.5" customHeight="1">
      <c r="A36" s="202" t="s">
        <v>1130</v>
      </c>
      <c r="B36" s="201" t="s">
        <v>1129</v>
      </c>
      <c r="C36" s="201" t="s">
        <v>1128</v>
      </c>
      <c r="D36" s="201" t="str">
        <f>VLOOKUP(A36,인적사항!A34:F83,4,FALSE)</f>
        <v>700928-*******</v>
      </c>
      <c r="E36" s="201" t="str">
        <f t="shared" si="0"/>
        <v>여</v>
      </c>
      <c r="F36" s="203" t="str">
        <f t="shared" si="1"/>
        <v>700928</v>
      </c>
      <c r="G36" s="201">
        <v>70</v>
      </c>
      <c r="H36" s="201">
        <f t="shared" si="2"/>
        <v>1970</v>
      </c>
      <c r="I36" s="201">
        <v>9</v>
      </c>
      <c r="J36" s="200">
        <v>28</v>
      </c>
      <c r="K36" s="662">
        <f t="shared" si="3"/>
        <v>25839</v>
      </c>
    </row>
    <row r="37" spans="1:11" ht="19.5" customHeight="1">
      <c r="A37" s="202" t="s">
        <v>1127</v>
      </c>
      <c r="B37" s="201" t="s">
        <v>1126</v>
      </c>
      <c r="C37" s="201" t="s">
        <v>1125</v>
      </c>
      <c r="D37" s="201" t="str">
        <f>VLOOKUP(A37,인적사항!A35:F84,4,FALSE)</f>
        <v>580818-*******</v>
      </c>
      <c r="E37" s="201" t="str">
        <f t="shared" si="0"/>
        <v>여</v>
      </c>
      <c r="F37" s="203" t="str">
        <f t="shared" si="1"/>
        <v>580818</v>
      </c>
      <c r="G37" s="201">
        <v>58</v>
      </c>
      <c r="H37" s="201">
        <f t="shared" si="2"/>
        <v>1958</v>
      </c>
      <c r="I37" s="201">
        <v>8</v>
      </c>
      <c r="J37" s="200">
        <v>18</v>
      </c>
      <c r="K37" s="662">
        <f t="shared" si="3"/>
        <v>21415</v>
      </c>
    </row>
    <row r="38" spans="1:11" ht="19.5" customHeight="1">
      <c r="A38" s="202" t="s">
        <v>1124</v>
      </c>
      <c r="B38" s="201" t="s">
        <v>1123</v>
      </c>
      <c r="C38" s="201" t="s">
        <v>1095</v>
      </c>
      <c r="D38" s="201" t="str">
        <f>VLOOKUP(A38,인적사항!A36:F85,4,FALSE)</f>
        <v>650517-*******</v>
      </c>
      <c r="E38" s="201" t="str">
        <f t="shared" si="0"/>
        <v>여</v>
      </c>
      <c r="F38" s="203" t="str">
        <f t="shared" si="1"/>
        <v>650517</v>
      </c>
      <c r="G38" s="201">
        <v>65</v>
      </c>
      <c r="H38" s="201">
        <f t="shared" si="2"/>
        <v>1965</v>
      </c>
      <c r="I38" s="201">
        <v>5</v>
      </c>
      <c r="J38" s="200">
        <v>17</v>
      </c>
      <c r="K38" s="662">
        <f t="shared" si="3"/>
        <v>23879</v>
      </c>
    </row>
    <row r="39" spans="1:11" ht="19.5" customHeight="1">
      <c r="A39" s="202" t="s">
        <v>1122</v>
      </c>
      <c r="B39" s="201" t="s">
        <v>1121</v>
      </c>
      <c r="C39" s="201" t="s">
        <v>1105</v>
      </c>
      <c r="D39" s="201" t="str">
        <f>VLOOKUP(A39,인적사항!A37:F86,4,FALSE)</f>
        <v>710627-*******</v>
      </c>
      <c r="E39" s="201" t="str">
        <f t="shared" si="0"/>
        <v>여</v>
      </c>
      <c r="F39" s="203" t="str">
        <f t="shared" si="1"/>
        <v>710627</v>
      </c>
      <c r="G39" s="201">
        <v>71</v>
      </c>
      <c r="H39" s="201">
        <f t="shared" si="2"/>
        <v>1971</v>
      </c>
      <c r="I39" s="201">
        <v>6</v>
      </c>
      <c r="J39" s="200">
        <v>27</v>
      </c>
      <c r="K39" s="662">
        <f t="shared" si="3"/>
        <v>26111</v>
      </c>
    </row>
    <row r="40" spans="1:11" ht="19.5" customHeight="1">
      <c r="A40" s="202" t="s">
        <v>1120</v>
      </c>
      <c r="B40" s="201" t="s">
        <v>1119</v>
      </c>
      <c r="C40" s="201" t="s">
        <v>1118</v>
      </c>
      <c r="D40" s="201" t="str">
        <f>VLOOKUP(A40,인적사항!A38:F87,4,FALSE)</f>
        <v>660204-*******</v>
      </c>
      <c r="E40" s="201" t="str">
        <f t="shared" si="0"/>
        <v>여</v>
      </c>
      <c r="F40" s="203" t="str">
        <f t="shared" si="1"/>
        <v>660204</v>
      </c>
      <c r="G40" s="201">
        <v>66</v>
      </c>
      <c r="H40" s="201">
        <f t="shared" si="2"/>
        <v>1966</v>
      </c>
      <c r="I40" s="201">
        <v>2</v>
      </c>
      <c r="J40" s="200">
        <v>4</v>
      </c>
      <c r="K40" s="662">
        <f t="shared" si="3"/>
        <v>24142</v>
      </c>
    </row>
    <row r="41" spans="1:11" ht="19.5" customHeight="1">
      <c r="A41" s="202" t="s">
        <v>1117</v>
      </c>
      <c r="B41" s="201" t="s">
        <v>1116</v>
      </c>
      <c r="C41" s="201" t="s">
        <v>1115</v>
      </c>
      <c r="D41" s="201" t="str">
        <f>VLOOKUP(A41,인적사항!A39:F88,4,FALSE)</f>
        <v>690824-*******</v>
      </c>
      <c r="E41" s="201" t="str">
        <f t="shared" si="0"/>
        <v>여</v>
      </c>
      <c r="F41" s="203" t="str">
        <f t="shared" si="1"/>
        <v>690824</v>
      </c>
      <c r="G41" s="201">
        <v>69</v>
      </c>
      <c r="H41" s="201">
        <f t="shared" si="2"/>
        <v>1969</v>
      </c>
      <c r="I41" s="201">
        <v>8</v>
      </c>
      <c r="J41" s="200">
        <v>24</v>
      </c>
      <c r="K41" s="662">
        <f t="shared" si="3"/>
        <v>25439</v>
      </c>
    </row>
    <row r="42" spans="1:11" ht="19.5" customHeight="1">
      <c r="A42" s="202" t="s">
        <v>1114</v>
      </c>
      <c r="B42" s="201" t="s">
        <v>1113</v>
      </c>
      <c r="C42" s="201" t="s">
        <v>1112</v>
      </c>
      <c r="D42" s="201" t="str">
        <f>VLOOKUP(A42,인적사항!A40:F89,4,FALSE)</f>
        <v>760714-*******</v>
      </c>
      <c r="E42" s="201" t="str">
        <f t="shared" si="0"/>
        <v>여</v>
      </c>
      <c r="F42" s="203" t="str">
        <f t="shared" si="1"/>
        <v>760714</v>
      </c>
      <c r="G42" s="201">
        <v>76</v>
      </c>
      <c r="H42" s="201">
        <f t="shared" si="2"/>
        <v>1976</v>
      </c>
      <c r="I42" s="201">
        <v>7</v>
      </c>
      <c r="J42" s="200">
        <v>14</v>
      </c>
      <c r="K42" s="662">
        <f t="shared" si="3"/>
        <v>27955</v>
      </c>
    </row>
    <row r="43" spans="1:11" ht="19.5" customHeight="1">
      <c r="A43" s="202" t="s">
        <v>1111</v>
      </c>
      <c r="B43" s="201" t="s">
        <v>1110</v>
      </c>
      <c r="C43" s="201" t="s">
        <v>1095</v>
      </c>
      <c r="D43" s="201" t="str">
        <f>VLOOKUP(A43,인적사항!A41:F90,4,FALSE)</f>
        <v>771022-*******</v>
      </c>
      <c r="E43" s="201" t="str">
        <f t="shared" si="0"/>
        <v>여</v>
      </c>
      <c r="F43" s="203" t="str">
        <f t="shared" si="1"/>
        <v>771022</v>
      </c>
      <c r="G43" s="201">
        <v>77</v>
      </c>
      <c r="H43" s="201">
        <f t="shared" si="2"/>
        <v>1977</v>
      </c>
      <c r="I43" s="201">
        <v>10</v>
      </c>
      <c r="J43" s="200">
        <v>22</v>
      </c>
      <c r="K43" s="662">
        <f t="shared" si="3"/>
        <v>28420</v>
      </c>
    </row>
    <row r="44" spans="1:11" ht="19.5" customHeight="1">
      <c r="A44" s="202" t="s">
        <v>1109</v>
      </c>
      <c r="B44" s="201" t="s">
        <v>1108</v>
      </c>
      <c r="C44" s="201" t="s">
        <v>1092</v>
      </c>
      <c r="D44" s="201" t="str">
        <f>VLOOKUP(A44,인적사항!A42:F91,4,FALSE)</f>
        <v>670205-*******</v>
      </c>
      <c r="E44" s="201" t="str">
        <f t="shared" si="0"/>
        <v>여</v>
      </c>
      <c r="F44" s="203" t="str">
        <f t="shared" si="1"/>
        <v>670205</v>
      </c>
      <c r="G44" s="201">
        <v>67</v>
      </c>
      <c r="H44" s="201">
        <f t="shared" si="2"/>
        <v>1967</v>
      </c>
      <c r="I44" s="201">
        <v>2</v>
      </c>
      <c r="J44" s="200">
        <v>5</v>
      </c>
      <c r="K44" s="662">
        <f t="shared" si="3"/>
        <v>24508</v>
      </c>
    </row>
    <row r="45" spans="1:11" ht="19.5" customHeight="1">
      <c r="A45" s="202" t="s">
        <v>1107</v>
      </c>
      <c r="B45" s="201" t="s">
        <v>1106</v>
      </c>
      <c r="C45" s="201" t="s">
        <v>1105</v>
      </c>
      <c r="D45" s="201" t="str">
        <f>VLOOKUP(A45,인적사항!A43:F92,4,FALSE)</f>
        <v>610724-*******</v>
      </c>
      <c r="E45" s="201" t="str">
        <f t="shared" si="0"/>
        <v>여</v>
      </c>
      <c r="F45" s="203" t="str">
        <f t="shared" si="1"/>
        <v>610724</v>
      </c>
      <c r="G45" s="201">
        <v>61</v>
      </c>
      <c r="H45" s="201">
        <f t="shared" si="2"/>
        <v>1961</v>
      </c>
      <c r="I45" s="201">
        <v>7</v>
      </c>
      <c r="J45" s="200">
        <v>24</v>
      </c>
      <c r="K45" s="662">
        <f t="shared" si="3"/>
        <v>22486</v>
      </c>
    </row>
    <row r="46" spans="1:11" ht="19.5" customHeight="1">
      <c r="A46" s="202" t="s">
        <v>1104</v>
      </c>
      <c r="B46" s="201" t="s">
        <v>1103</v>
      </c>
      <c r="C46" s="201" t="s">
        <v>1089</v>
      </c>
      <c r="D46" s="201" t="str">
        <f>VLOOKUP(A46,인적사항!A44:F93,4,FALSE)</f>
        <v>690311-*******</v>
      </c>
      <c r="E46" s="201" t="str">
        <f t="shared" si="0"/>
        <v>여</v>
      </c>
      <c r="F46" s="203" t="str">
        <f t="shared" si="1"/>
        <v>690311</v>
      </c>
      <c r="G46" s="201">
        <v>69</v>
      </c>
      <c r="H46" s="201">
        <f t="shared" si="2"/>
        <v>1969</v>
      </c>
      <c r="I46" s="201">
        <v>3</v>
      </c>
      <c r="J46" s="200">
        <v>11</v>
      </c>
      <c r="K46" s="662">
        <f t="shared" si="3"/>
        <v>25273</v>
      </c>
    </row>
    <row r="47" spans="1:11" ht="19.5" customHeight="1">
      <c r="A47" s="202" t="s">
        <v>1102</v>
      </c>
      <c r="B47" s="201" t="s">
        <v>1101</v>
      </c>
      <c r="C47" s="201" t="s">
        <v>1084</v>
      </c>
      <c r="D47" s="201" t="str">
        <f>VLOOKUP(A47,인적사항!A45:F94,4,FALSE)</f>
        <v>640626-*******</v>
      </c>
      <c r="E47" s="201" t="str">
        <f t="shared" si="0"/>
        <v>여</v>
      </c>
      <c r="F47" s="203" t="str">
        <f t="shared" si="1"/>
        <v>640626</v>
      </c>
      <c r="G47" s="201">
        <v>64</v>
      </c>
      <c r="H47" s="201">
        <f t="shared" si="2"/>
        <v>1964</v>
      </c>
      <c r="I47" s="201">
        <v>6</v>
      </c>
      <c r="J47" s="200">
        <v>26</v>
      </c>
      <c r="K47" s="662">
        <f t="shared" si="3"/>
        <v>23554</v>
      </c>
    </row>
    <row r="48" spans="1:11" ht="19.5" customHeight="1">
      <c r="A48" s="202" t="s">
        <v>1100</v>
      </c>
      <c r="B48" s="201" t="s">
        <v>1099</v>
      </c>
      <c r="C48" s="201" t="s">
        <v>1098</v>
      </c>
      <c r="D48" s="201" t="str">
        <f>VLOOKUP(A48,인적사항!A46:F95,4,FALSE)</f>
        <v>580112-*******</v>
      </c>
      <c r="E48" s="201" t="str">
        <f t="shared" si="0"/>
        <v>여</v>
      </c>
      <c r="F48" s="203" t="str">
        <f t="shared" si="1"/>
        <v>580112</v>
      </c>
      <c r="G48" s="201">
        <v>58</v>
      </c>
      <c r="H48" s="201">
        <f t="shared" si="2"/>
        <v>1958</v>
      </c>
      <c r="I48" s="201">
        <v>1</v>
      </c>
      <c r="J48" s="200">
        <v>12</v>
      </c>
      <c r="K48" s="662">
        <f t="shared" si="3"/>
        <v>21197</v>
      </c>
    </row>
    <row r="49" spans="1:11" ht="19.5" customHeight="1">
      <c r="A49" s="202" t="s">
        <v>1097</v>
      </c>
      <c r="B49" s="201" t="s">
        <v>1096</v>
      </c>
      <c r="C49" s="201" t="s">
        <v>1095</v>
      </c>
      <c r="D49" s="201" t="str">
        <f>VLOOKUP(A49,인적사항!A47:F96,4,FALSE)</f>
        <v>761012-*******</v>
      </c>
      <c r="E49" s="201" t="str">
        <f t="shared" si="0"/>
        <v>여</v>
      </c>
      <c r="F49" s="203" t="str">
        <f t="shared" si="1"/>
        <v>761012</v>
      </c>
      <c r="G49" s="201">
        <v>76</v>
      </c>
      <c r="H49" s="201">
        <f t="shared" si="2"/>
        <v>1976</v>
      </c>
      <c r="I49" s="201">
        <v>10</v>
      </c>
      <c r="J49" s="200">
        <v>12</v>
      </c>
      <c r="K49" s="662">
        <f t="shared" si="3"/>
        <v>28045</v>
      </c>
    </row>
    <row r="50" spans="1:11" ht="19.5" customHeight="1">
      <c r="A50" s="202" t="s">
        <v>1094</v>
      </c>
      <c r="B50" s="201" t="s">
        <v>1093</v>
      </c>
      <c r="C50" s="201" t="s">
        <v>1092</v>
      </c>
      <c r="D50" s="201" t="str">
        <f>VLOOKUP(A50,인적사항!A48:F97,4,FALSE)</f>
        <v>740102-*******</v>
      </c>
      <c r="E50" s="201" t="str">
        <f t="shared" si="0"/>
        <v>여</v>
      </c>
      <c r="F50" s="203" t="str">
        <f t="shared" si="1"/>
        <v>740102</v>
      </c>
      <c r="G50" s="201">
        <v>74</v>
      </c>
      <c r="H50" s="201">
        <f t="shared" si="2"/>
        <v>1974</v>
      </c>
      <c r="I50" s="201">
        <v>1</v>
      </c>
      <c r="J50" s="200">
        <v>2</v>
      </c>
      <c r="K50" s="662">
        <f t="shared" si="3"/>
        <v>27031</v>
      </c>
    </row>
    <row r="51" spans="1:11" ht="19.5" customHeight="1">
      <c r="A51" s="202" t="s">
        <v>1091</v>
      </c>
      <c r="B51" s="201" t="s">
        <v>1090</v>
      </c>
      <c r="C51" s="201" t="s">
        <v>1089</v>
      </c>
      <c r="D51" s="201" t="str">
        <f>VLOOKUP(A51,인적사항!A49:F98,4,FALSE)</f>
        <v>591021-*******</v>
      </c>
      <c r="E51" s="201" t="str">
        <f t="shared" si="0"/>
        <v>여</v>
      </c>
      <c r="F51" s="203" t="str">
        <f t="shared" si="1"/>
        <v>591021</v>
      </c>
      <c r="G51" s="201">
        <v>59</v>
      </c>
      <c r="H51" s="201">
        <f t="shared" si="2"/>
        <v>1959</v>
      </c>
      <c r="I51" s="201">
        <v>10</v>
      </c>
      <c r="J51" s="200">
        <v>21</v>
      </c>
      <c r="K51" s="662">
        <f t="shared" si="3"/>
        <v>21844</v>
      </c>
    </row>
    <row r="52" spans="1:11" ht="19.5" customHeight="1">
      <c r="A52" s="202" t="s">
        <v>1088</v>
      </c>
      <c r="B52" s="201" t="s">
        <v>1087</v>
      </c>
      <c r="C52" s="201" t="s">
        <v>1084</v>
      </c>
      <c r="D52" s="201" t="str">
        <f>VLOOKUP(A52,인적사항!A50:F99,4,FALSE)</f>
        <v>751101-*******</v>
      </c>
      <c r="E52" s="201" t="str">
        <f t="shared" si="0"/>
        <v>여</v>
      </c>
      <c r="F52" s="203" t="str">
        <f t="shared" si="1"/>
        <v>751101</v>
      </c>
      <c r="G52" s="201">
        <v>75</v>
      </c>
      <c r="H52" s="201">
        <f t="shared" si="2"/>
        <v>1975</v>
      </c>
      <c r="I52" s="201">
        <v>11</v>
      </c>
      <c r="J52" s="200">
        <v>1</v>
      </c>
      <c r="K52" s="662">
        <f t="shared" si="3"/>
        <v>27699</v>
      </c>
    </row>
    <row r="53" spans="1:11" ht="19.5" customHeight="1">
      <c r="A53" s="202" t="s">
        <v>1086</v>
      </c>
      <c r="B53" s="201" t="s">
        <v>1085</v>
      </c>
      <c r="C53" s="201" t="s">
        <v>1084</v>
      </c>
      <c r="D53" s="201" t="str">
        <f>VLOOKUP(A53,인적사항!A51:F100,4,FALSE)</f>
        <v>600605-*******</v>
      </c>
      <c r="E53" s="201" t="str">
        <f t="shared" si="0"/>
        <v>여</v>
      </c>
      <c r="F53" s="203" t="str">
        <f t="shared" si="1"/>
        <v>600605</v>
      </c>
      <c r="G53" s="201">
        <v>60</v>
      </c>
      <c r="H53" s="201">
        <f t="shared" si="2"/>
        <v>1960</v>
      </c>
      <c r="I53" s="201">
        <v>6</v>
      </c>
      <c r="J53" s="200">
        <v>5</v>
      </c>
      <c r="K53" s="662">
        <f t="shared" si="3"/>
        <v>22072</v>
      </c>
    </row>
    <row r="54" spans="1:11" ht="19.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8"/>
      <c r="K54" s="198"/>
    </row>
    <row r="55" spans="1:11" ht="19.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8"/>
      <c r="K55" s="198"/>
    </row>
    <row r="56" spans="1:11" ht="19.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8"/>
      <c r="K56" s="198"/>
    </row>
    <row r="57" spans="1:11" ht="19.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8"/>
      <c r="K57" s="198"/>
    </row>
    <row r="58" spans="1:11" ht="19.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8"/>
      <c r="K58" s="198"/>
    </row>
    <row r="59" spans="1:11" ht="19.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8"/>
      <c r="K59" s="198"/>
    </row>
    <row r="60" spans="1:11" ht="19.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8"/>
      <c r="K60" s="198"/>
    </row>
  </sheetData>
  <mergeCells count="1">
    <mergeCell ref="A1:J1"/>
  </mergeCells>
  <phoneticPr fontId="8" type="noConversion"/>
  <conditionalFormatting sqref="D4:I53">
    <cfRule type="duplicateValues" dxfId="5" priority="1"/>
    <cfRule type="duplicateValues" priority="2"/>
  </conditionalFormatting>
  <pageMargins left="0.75" right="0.75" top="1" bottom="1" header="0.5" footer="0.5"/>
  <pageSetup paperSize="9" orientation="portrait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58"/>
  <sheetViews>
    <sheetView showGridLines="0" workbookViewId="0">
      <selection activeCell="L2" sqref="L2"/>
    </sheetView>
  </sheetViews>
  <sheetFormatPr defaultColWidth="9" defaultRowHeight="13.2"/>
  <cols>
    <col min="1" max="1" width="9" style="196"/>
    <col min="2" max="3" width="6.296875" style="196" bestFit="1" customWidth="1"/>
    <col min="4" max="4" width="14" style="196" bestFit="1" customWidth="1"/>
    <col min="5" max="5" width="27" style="196" bestFit="1" customWidth="1"/>
    <col min="6" max="6" width="10.19921875" style="196" bestFit="1" customWidth="1"/>
    <col min="7" max="7" width="14" style="196" bestFit="1" customWidth="1"/>
    <col min="8" max="8" width="21.59765625" style="196" bestFit="1" customWidth="1"/>
    <col min="9" max="9" width="24.796875" style="196" customWidth="1"/>
    <col min="10" max="16384" width="9" style="196"/>
  </cols>
  <sheetData>
    <row r="1" spans="1:12">
      <c r="A1" s="269" t="s">
        <v>1393</v>
      </c>
      <c r="B1" s="269" t="s">
        <v>1392</v>
      </c>
      <c r="C1" s="269" t="s">
        <v>1391</v>
      </c>
      <c r="D1" s="269" t="s">
        <v>1390</v>
      </c>
      <c r="E1" s="269" t="s">
        <v>1389</v>
      </c>
      <c r="F1" s="269" t="s">
        <v>1388</v>
      </c>
      <c r="G1" s="269" t="s">
        <v>1215</v>
      </c>
      <c r="H1" s="196" t="s">
        <v>1869</v>
      </c>
      <c r="I1" s="196" t="s">
        <v>1870</v>
      </c>
      <c r="K1" s="196" t="s">
        <v>1871</v>
      </c>
    </row>
    <row r="2" spans="1:12">
      <c r="A2" s="202" t="s">
        <v>1387</v>
      </c>
      <c r="B2" s="201" t="s">
        <v>1210</v>
      </c>
      <c r="C2" s="201" t="s">
        <v>1305</v>
      </c>
      <c r="D2" s="201" t="str">
        <f>REPLACE(G2,8,7,"*******")</f>
        <v>730514-*******</v>
      </c>
      <c r="E2" s="204" t="s">
        <v>1385</v>
      </c>
      <c r="F2" s="203">
        <v>42140</v>
      </c>
      <c r="G2" s="201" t="s">
        <v>1386</v>
      </c>
      <c r="H2" s="196" t="str">
        <f>SUBSTITUTE(E2,"경기","경기도")</f>
        <v>경기도 파주시 맥금동 814</v>
      </c>
      <c r="I2" s="196">
        <f>LEN(E2)</f>
        <v>14</v>
      </c>
      <c r="J2" s="196">
        <f>FIND("파주시",E2)</f>
        <v>4</v>
      </c>
      <c r="K2" s="196">
        <v>1234</v>
      </c>
      <c r="L2" s="196" t="str">
        <f>TEXT(K2,"#,##0개")</f>
        <v>1,234개</v>
      </c>
    </row>
    <row r="3" spans="1:12">
      <c r="A3" s="202" t="s">
        <v>1384</v>
      </c>
      <c r="B3" s="201" t="s">
        <v>1207</v>
      </c>
      <c r="C3" s="201" t="s">
        <v>1324</v>
      </c>
      <c r="D3" s="201" t="str">
        <f t="shared" ref="D3:D51" si="0">REPLACE(G3,8,7,"*******")</f>
        <v>600526-*******</v>
      </c>
      <c r="E3" s="204" t="s">
        <v>1382</v>
      </c>
      <c r="F3" s="203">
        <v>36243</v>
      </c>
      <c r="G3" s="201" t="s">
        <v>1383</v>
      </c>
      <c r="H3" s="196" t="str">
        <f t="shared" ref="H3:H51" si="1">SUBSTITUTE(E3,"경기","경기도")</f>
        <v>충북 청주시 상당구 사천동 286</v>
      </c>
      <c r="I3" s="196">
        <f t="shared" ref="I3:I51" si="2">LEN(E3)</f>
        <v>18</v>
      </c>
    </row>
    <row r="4" spans="1:12">
      <c r="A4" s="202" t="s">
        <v>1381</v>
      </c>
      <c r="B4" s="201" t="s">
        <v>1205</v>
      </c>
      <c r="C4" s="201" t="s">
        <v>1095</v>
      </c>
      <c r="D4" s="201" t="str">
        <f t="shared" si="0"/>
        <v>610715-*******</v>
      </c>
      <c r="E4" s="204" t="s">
        <v>1379</v>
      </c>
      <c r="F4" s="203">
        <v>36623</v>
      </c>
      <c r="G4" s="201" t="s">
        <v>1380</v>
      </c>
      <c r="H4" s="196" t="str">
        <f t="shared" si="1"/>
        <v>서울 중구 수표동 856</v>
      </c>
      <c r="I4" s="196">
        <f t="shared" si="2"/>
        <v>13</v>
      </c>
    </row>
    <row r="5" spans="1:12">
      <c r="A5" s="202" t="s">
        <v>1378</v>
      </c>
      <c r="B5" s="201" t="s">
        <v>1202</v>
      </c>
      <c r="C5" s="201" t="s">
        <v>1316</v>
      </c>
      <c r="D5" s="201" t="str">
        <f t="shared" si="0"/>
        <v>610322-*******</v>
      </c>
      <c r="E5" s="204" t="s">
        <v>1376</v>
      </c>
      <c r="F5" s="203">
        <v>35142</v>
      </c>
      <c r="G5" s="201" t="s">
        <v>1377</v>
      </c>
      <c r="H5" s="196" t="str">
        <f t="shared" si="1"/>
        <v>경남 진주시 귀곡동 249</v>
      </c>
      <c r="I5" s="196">
        <f t="shared" si="2"/>
        <v>14</v>
      </c>
    </row>
    <row r="6" spans="1:12">
      <c r="A6" s="202" t="s">
        <v>1375</v>
      </c>
      <c r="B6" s="201" t="s">
        <v>1200</v>
      </c>
      <c r="C6" s="201" t="s">
        <v>1338</v>
      </c>
      <c r="D6" s="201" t="str">
        <f t="shared" si="0"/>
        <v>740111-*******</v>
      </c>
      <c r="E6" s="204" t="s">
        <v>1373</v>
      </c>
      <c r="F6" s="203">
        <v>40524</v>
      </c>
      <c r="G6" s="201" t="s">
        <v>1374</v>
      </c>
      <c r="H6" s="196" t="str">
        <f t="shared" si="1"/>
        <v>전북 김제시 서암동 192</v>
      </c>
      <c r="I6" s="196">
        <f t="shared" si="2"/>
        <v>14</v>
      </c>
    </row>
    <row r="7" spans="1:12">
      <c r="A7" s="202" t="s">
        <v>1372</v>
      </c>
      <c r="B7" s="201" t="s">
        <v>1197</v>
      </c>
      <c r="C7" s="201" t="s">
        <v>1105</v>
      </c>
      <c r="D7" s="201" t="str">
        <f t="shared" si="0"/>
        <v>651122-*******</v>
      </c>
      <c r="E7" s="204" t="s">
        <v>1370</v>
      </c>
      <c r="F7" s="203">
        <v>35025</v>
      </c>
      <c r="G7" s="201" t="s">
        <v>1371</v>
      </c>
      <c r="H7" s="196" t="str">
        <f t="shared" si="1"/>
        <v>경기도 화성시 시동 336</v>
      </c>
      <c r="I7" s="196">
        <f t="shared" si="2"/>
        <v>13</v>
      </c>
    </row>
    <row r="8" spans="1:12">
      <c r="A8" s="202" t="s">
        <v>1369</v>
      </c>
      <c r="B8" s="201" t="s">
        <v>215</v>
      </c>
      <c r="C8" s="201" t="s">
        <v>1338</v>
      </c>
      <c r="D8" s="201" t="str">
        <f t="shared" si="0"/>
        <v>720313-*******</v>
      </c>
      <c r="E8" s="204" t="s">
        <v>1367</v>
      </c>
      <c r="F8" s="203">
        <v>34149</v>
      </c>
      <c r="G8" s="201" t="s">
        <v>1368</v>
      </c>
      <c r="H8" s="196" t="str">
        <f t="shared" si="1"/>
        <v>전남 순천시 석현동 385</v>
      </c>
      <c r="I8" s="196">
        <f t="shared" si="2"/>
        <v>14</v>
      </c>
    </row>
    <row r="9" spans="1:12">
      <c r="A9" s="202" t="s">
        <v>1366</v>
      </c>
      <c r="B9" s="201" t="s">
        <v>1194</v>
      </c>
      <c r="C9" s="201" t="s">
        <v>1365</v>
      </c>
      <c r="D9" s="201" t="str">
        <f t="shared" si="0"/>
        <v>660822-*******</v>
      </c>
      <c r="E9" s="204" t="s">
        <v>1363</v>
      </c>
      <c r="F9" s="203">
        <v>36205</v>
      </c>
      <c r="G9" s="201" t="s">
        <v>1364</v>
      </c>
      <c r="H9" s="196" t="str">
        <f t="shared" si="1"/>
        <v>부산 강서구 미음동 795</v>
      </c>
      <c r="I9" s="196">
        <f t="shared" si="2"/>
        <v>14</v>
      </c>
    </row>
    <row r="10" spans="1:12">
      <c r="A10" s="202" t="s">
        <v>1362</v>
      </c>
      <c r="B10" s="201" t="s">
        <v>1083</v>
      </c>
      <c r="C10" s="201" t="s">
        <v>1361</v>
      </c>
      <c r="D10" s="201" t="str">
        <f t="shared" si="0"/>
        <v>680816-*******</v>
      </c>
      <c r="E10" s="204" t="s">
        <v>1359</v>
      </c>
      <c r="F10" s="203">
        <v>36602</v>
      </c>
      <c r="G10" s="201" t="s">
        <v>1360</v>
      </c>
      <c r="H10" s="196" t="str">
        <f t="shared" si="1"/>
        <v>강원 강릉시 운정동 507</v>
      </c>
      <c r="I10" s="196">
        <f t="shared" si="2"/>
        <v>14</v>
      </c>
    </row>
    <row r="11" spans="1:12">
      <c r="A11" s="202" t="s">
        <v>1358</v>
      </c>
      <c r="B11" s="201" t="s">
        <v>1189</v>
      </c>
      <c r="C11" s="201" t="s">
        <v>1105</v>
      </c>
      <c r="D11" s="201" t="str">
        <f t="shared" si="0"/>
        <v>590607-*******</v>
      </c>
      <c r="E11" s="204" t="s">
        <v>1356</v>
      </c>
      <c r="F11" s="203">
        <v>35076</v>
      </c>
      <c r="G11" s="201" t="s">
        <v>1357</v>
      </c>
      <c r="H11" s="196" t="str">
        <f t="shared" si="1"/>
        <v>충북 제천시 고암동 789</v>
      </c>
      <c r="I11" s="196">
        <f t="shared" si="2"/>
        <v>14</v>
      </c>
    </row>
    <row r="12" spans="1:12">
      <c r="A12" s="202" t="s">
        <v>1355</v>
      </c>
      <c r="B12" s="201" t="s">
        <v>1187</v>
      </c>
      <c r="C12" s="201" t="s">
        <v>1305</v>
      </c>
      <c r="D12" s="201" t="str">
        <f t="shared" si="0"/>
        <v>711104-*******</v>
      </c>
      <c r="E12" s="204" t="s">
        <v>1353</v>
      </c>
      <c r="F12" s="203">
        <v>44128</v>
      </c>
      <c r="G12" s="201" t="s">
        <v>1354</v>
      </c>
      <c r="H12" s="196" t="str">
        <f t="shared" si="1"/>
        <v>경남 진해시 인사동 399</v>
      </c>
      <c r="I12" s="196">
        <f t="shared" si="2"/>
        <v>14</v>
      </c>
    </row>
    <row r="13" spans="1:12">
      <c r="A13" s="202" t="s">
        <v>1352</v>
      </c>
      <c r="B13" s="201" t="s">
        <v>1184</v>
      </c>
      <c r="C13" s="201" t="s">
        <v>1338</v>
      </c>
      <c r="D13" s="201" t="str">
        <f t="shared" si="0"/>
        <v>660123-*******</v>
      </c>
      <c r="E13" s="204" t="s">
        <v>1350</v>
      </c>
      <c r="F13" s="203">
        <v>36776</v>
      </c>
      <c r="G13" s="201" t="s">
        <v>1351</v>
      </c>
      <c r="H13" s="196" t="str">
        <f t="shared" si="1"/>
        <v>서울 서초구 서초1동 790</v>
      </c>
      <c r="I13" s="196">
        <f t="shared" si="2"/>
        <v>15</v>
      </c>
    </row>
    <row r="14" spans="1:12">
      <c r="A14" s="202" t="s">
        <v>1349</v>
      </c>
      <c r="B14" s="201" t="s">
        <v>1182</v>
      </c>
      <c r="C14" s="201" t="s">
        <v>1139</v>
      </c>
      <c r="D14" s="201" t="str">
        <f t="shared" si="0"/>
        <v>790211-*******</v>
      </c>
      <c r="E14" s="204" t="s">
        <v>1347</v>
      </c>
      <c r="F14" s="203">
        <v>34155</v>
      </c>
      <c r="G14" s="201" t="s">
        <v>1348</v>
      </c>
      <c r="H14" s="196" t="str">
        <f t="shared" si="1"/>
        <v>경북 안동시 명륜동 299</v>
      </c>
      <c r="I14" s="196">
        <f t="shared" si="2"/>
        <v>14</v>
      </c>
    </row>
    <row r="15" spans="1:12">
      <c r="A15" s="202" t="s">
        <v>1346</v>
      </c>
      <c r="B15" s="201" t="s">
        <v>1180</v>
      </c>
      <c r="C15" s="201" t="s">
        <v>1345</v>
      </c>
      <c r="D15" s="201" t="str">
        <f t="shared" si="0"/>
        <v>660811-*******</v>
      </c>
      <c r="E15" s="204" t="s">
        <v>1343</v>
      </c>
      <c r="F15" s="203">
        <v>35911</v>
      </c>
      <c r="G15" s="201" t="s">
        <v>1344</v>
      </c>
      <c r="H15" s="196" t="str">
        <f t="shared" si="1"/>
        <v>경기도 의정부시 가능1동 754</v>
      </c>
      <c r="I15" s="196">
        <f t="shared" si="2"/>
        <v>16</v>
      </c>
    </row>
    <row r="16" spans="1:12">
      <c r="A16" s="202" t="s">
        <v>1342</v>
      </c>
      <c r="B16" s="201" t="s">
        <v>1177</v>
      </c>
      <c r="C16" s="201" t="s">
        <v>1105</v>
      </c>
      <c r="D16" s="201" t="str">
        <f t="shared" si="0"/>
        <v>660828-*******</v>
      </c>
      <c r="E16" s="204" t="s">
        <v>1340</v>
      </c>
      <c r="F16" s="203">
        <v>35072</v>
      </c>
      <c r="G16" s="201" t="s">
        <v>1341</v>
      </c>
      <c r="H16" s="196" t="str">
        <f t="shared" si="1"/>
        <v>부산 중구 동광동5가 439</v>
      </c>
      <c r="I16" s="196">
        <f t="shared" si="2"/>
        <v>15</v>
      </c>
    </row>
    <row r="17" spans="1:9">
      <c r="A17" s="202" t="s">
        <v>1339</v>
      </c>
      <c r="B17" s="201" t="s">
        <v>1175</v>
      </c>
      <c r="C17" s="201" t="s">
        <v>1338</v>
      </c>
      <c r="D17" s="201" t="str">
        <f t="shared" si="0"/>
        <v>750320-*******</v>
      </c>
      <c r="E17" s="204" t="s">
        <v>1336</v>
      </c>
      <c r="F17" s="203">
        <v>36836</v>
      </c>
      <c r="G17" s="201" t="s">
        <v>1337</v>
      </c>
      <c r="H17" s="196" t="str">
        <f t="shared" si="1"/>
        <v>경북 안동시 송천동 135</v>
      </c>
      <c r="I17" s="196">
        <f t="shared" si="2"/>
        <v>14</v>
      </c>
    </row>
    <row r="18" spans="1:9">
      <c r="A18" s="202" t="s">
        <v>1335</v>
      </c>
      <c r="B18" s="201" t="s">
        <v>1172</v>
      </c>
      <c r="C18" s="201" t="s">
        <v>1334</v>
      </c>
      <c r="D18" s="201" t="str">
        <f t="shared" si="0"/>
        <v>681227-*******</v>
      </c>
      <c r="E18" s="204" t="s">
        <v>1332</v>
      </c>
      <c r="F18" s="203">
        <v>35894</v>
      </c>
      <c r="G18" s="201" t="s">
        <v>1333</v>
      </c>
      <c r="H18" s="196" t="str">
        <f t="shared" si="1"/>
        <v>전남 목포시 경동1가 202</v>
      </c>
      <c r="I18" s="196">
        <f t="shared" si="2"/>
        <v>15</v>
      </c>
    </row>
    <row r="19" spans="1:9">
      <c r="A19" s="202" t="s">
        <v>1331</v>
      </c>
      <c r="B19" s="201" t="s">
        <v>1169</v>
      </c>
      <c r="C19" s="201" t="s">
        <v>1095</v>
      </c>
      <c r="D19" s="201" t="str">
        <f t="shared" si="0"/>
        <v>621025-*******</v>
      </c>
      <c r="E19" s="204" t="s">
        <v>1329</v>
      </c>
      <c r="F19" s="203">
        <v>36029</v>
      </c>
      <c r="G19" s="201" t="s">
        <v>1330</v>
      </c>
      <c r="H19" s="196" t="str">
        <f t="shared" si="1"/>
        <v>경남 진해시 남문동 885</v>
      </c>
      <c r="I19" s="196">
        <f t="shared" si="2"/>
        <v>14</v>
      </c>
    </row>
    <row r="20" spans="1:9">
      <c r="A20" s="202" t="s">
        <v>1328</v>
      </c>
      <c r="B20" s="201" t="s">
        <v>1167</v>
      </c>
      <c r="C20" s="201" t="s">
        <v>1118</v>
      </c>
      <c r="D20" s="201" t="str">
        <f t="shared" si="0"/>
        <v>600403-*******</v>
      </c>
      <c r="E20" s="204" t="s">
        <v>1326</v>
      </c>
      <c r="F20" s="203">
        <v>41625</v>
      </c>
      <c r="G20" s="201" t="s">
        <v>1327</v>
      </c>
      <c r="H20" s="196" t="str">
        <f t="shared" si="1"/>
        <v>대전 서구 둔산1동 716</v>
      </c>
      <c r="I20" s="196">
        <f t="shared" si="2"/>
        <v>14</v>
      </c>
    </row>
    <row r="21" spans="1:9">
      <c r="A21" s="202" t="s">
        <v>1325</v>
      </c>
      <c r="B21" s="201" t="s">
        <v>1165</v>
      </c>
      <c r="C21" s="201" t="s">
        <v>1324</v>
      </c>
      <c r="D21" s="201" t="str">
        <f t="shared" si="0"/>
        <v>720810-*******</v>
      </c>
      <c r="E21" s="204" t="s">
        <v>1322</v>
      </c>
      <c r="F21" s="203">
        <v>36265</v>
      </c>
      <c r="G21" s="201" t="s">
        <v>1323</v>
      </c>
      <c r="H21" s="196" t="str">
        <f t="shared" si="1"/>
        <v>경기도 수원시 권선구 호매실동 329</v>
      </c>
      <c r="I21" s="196">
        <f t="shared" si="2"/>
        <v>19</v>
      </c>
    </row>
    <row r="22" spans="1:9">
      <c r="A22" s="202" t="s">
        <v>1321</v>
      </c>
      <c r="B22" s="201" t="s">
        <v>1162</v>
      </c>
      <c r="C22" s="201" t="s">
        <v>1320</v>
      </c>
      <c r="D22" s="201" t="str">
        <f t="shared" si="0"/>
        <v>770217-*******</v>
      </c>
      <c r="E22" s="204" t="s">
        <v>1318</v>
      </c>
      <c r="F22" s="203">
        <v>36380</v>
      </c>
      <c r="G22" s="201" t="s">
        <v>1319</v>
      </c>
      <c r="H22" s="196" t="str">
        <f t="shared" si="1"/>
        <v>경기도 과천시 갈현동 631</v>
      </c>
      <c r="I22" s="196">
        <f t="shared" si="2"/>
        <v>14</v>
      </c>
    </row>
    <row r="23" spans="1:9">
      <c r="A23" s="202" t="s">
        <v>1317</v>
      </c>
      <c r="B23" s="201" t="s">
        <v>1159</v>
      </c>
      <c r="C23" s="201" t="s">
        <v>1316</v>
      </c>
      <c r="D23" s="201" t="str">
        <f t="shared" si="0"/>
        <v>621002-*******</v>
      </c>
      <c r="E23" s="204" t="s">
        <v>1314</v>
      </c>
      <c r="F23" s="203">
        <v>36643</v>
      </c>
      <c r="G23" s="201" t="s">
        <v>1315</v>
      </c>
      <c r="H23" s="196" t="str">
        <f t="shared" si="1"/>
        <v>서울 광진구 구의동 134</v>
      </c>
      <c r="I23" s="196">
        <f t="shared" si="2"/>
        <v>14</v>
      </c>
    </row>
    <row r="24" spans="1:9">
      <c r="A24" s="202" t="s">
        <v>1313</v>
      </c>
      <c r="B24" s="201" t="s">
        <v>1156</v>
      </c>
      <c r="C24" s="201" t="s">
        <v>1312</v>
      </c>
      <c r="D24" s="201" t="str">
        <f t="shared" si="0"/>
        <v>800704-*******</v>
      </c>
      <c r="E24" s="204" t="s">
        <v>1310</v>
      </c>
      <c r="F24" s="203">
        <v>34426</v>
      </c>
      <c r="G24" s="201" t="s">
        <v>1311</v>
      </c>
      <c r="H24" s="196" t="str">
        <f t="shared" si="1"/>
        <v>경기도 고양시 덕양구 행주내동 596</v>
      </c>
      <c r="I24" s="196">
        <f t="shared" si="2"/>
        <v>19</v>
      </c>
    </row>
    <row r="25" spans="1:9">
      <c r="A25" s="202" t="s">
        <v>1309</v>
      </c>
      <c r="B25" s="201" t="s">
        <v>1153</v>
      </c>
      <c r="C25" s="201" t="s">
        <v>1084</v>
      </c>
      <c r="D25" s="201" t="str">
        <f t="shared" si="0"/>
        <v>681005-*******</v>
      </c>
      <c r="E25" s="204" t="s">
        <v>1307</v>
      </c>
      <c r="F25" s="203">
        <v>34818</v>
      </c>
      <c r="G25" s="201" t="s">
        <v>1308</v>
      </c>
      <c r="H25" s="196" t="str">
        <f t="shared" si="1"/>
        <v>경남 사천시 늑도동 477</v>
      </c>
      <c r="I25" s="196">
        <f t="shared" si="2"/>
        <v>14</v>
      </c>
    </row>
    <row r="26" spans="1:9">
      <c r="A26" s="202" t="s">
        <v>1306</v>
      </c>
      <c r="B26" s="201" t="s">
        <v>1151</v>
      </c>
      <c r="C26" s="201" t="s">
        <v>1305</v>
      </c>
      <c r="D26" s="201" t="str">
        <f t="shared" si="0"/>
        <v>611005-*******</v>
      </c>
      <c r="E26" s="204" t="s">
        <v>1303</v>
      </c>
      <c r="F26" s="203">
        <v>34324</v>
      </c>
      <c r="G26" s="201" t="s">
        <v>1304</v>
      </c>
      <c r="H26" s="196" t="str">
        <f t="shared" si="1"/>
        <v>울산 남구 야음2동 713</v>
      </c>
      <c r="I26" s="196">
        <f t="shared" si="2"/>
        <v>14</v>
      </c>
    </row>
    <row r="27" spans="1:9">
      <c r="A27" s="202" t="s">
        <v>1302</v>
      </c>
      <c r="B27" s="201" t="s">
        <v>1148</v>
      </c>
      <c r="C27" s="201" t="s">
        <v>1301</v>
      </c>
      <c r="D27" s="201" t="str">
        <f t="shared" si="0"/>
        <v>580226-*******</v>
      </c>
      <c r="E27" s="204" t="s">
        <v>1299</v>
      </c>
      <c r="F27" s="203">
        <v>34248</v>
      </c>
      <c r="G27" s="201" t="s">
        <v>1300</v>
      </c>
      <c r="H27" s="196" t="str">
        <f t="shared" si="1"/>
        <v>부산 동래구 명륜1동 579</v>
      </c>
      <c r="I27" s="196">
        <f t="shared" si="2"/>
        <v>15</v>
      </c>
    </row>
    <row r="28" spans="1:9">
      <c r="A28" s="202" t="s">
        <v>1298</v>
      </c>
      <c r="B28" s="201" t="s">
        <v>1145</v>
      </c>
      <c r="C28" s="201" t="s">
        <v>1231</v>
      </c>
      <c r="D28" s="201" t="str">
        <f t="shared" si="0"/>
        <v>760216-*******</v>
      </c>
      <c r="E28" s="204" t="s">
        <v>1296</v>
      </c>
      <c r="F28" s="203">
        <v>35403</v>
      </c>
      <c r="G28" s="201" t="s">
        <v>1297</v>
      </c>
      <c r="H28" s="196" t="str">
        <f t="shared" si="1"/>
        <v>대구 중구 서문로2가 450</v>
      </c>
      <c r="I28" s="196">
        <f t="shared" si="2"/>
        <v>15</v>
      </c>
    </row>
    <row r="29" spans="1:9">
      <c r="A29" s="202" t="s">
        <v>1295</v>
      </c>
      <c r="B29" s="201" t="s">
        <v>1142</v>
      </c>
      <c r="C29" s="201" t="s">
        <v>1137</v>
      </c>
      <c r="D29" s="201" t="str">
        <f t="shared" si="0"/>
        <v>660803-*******</v>
      </c>
      <c r="E29" s="204" t="s">
        <v>1293</v>
      </c>
      <c r="F29" s="203">
        <v>36494</v>
      </c>
      <c r="G29" s="201" t="s">
        <v>1294</v>
      </c>
      <c r="H29" s="196" t="str">
        <f t="shared" si="1"/>
        <v>충남 서산시 장동 112</v>
      </c>
      <c r="I29" s="196">
        <f t="shared" si="2"/>
        <v>13</v>
      </c>
    </row>
    <row r="30" spans="1:9">
      <c r="A30" s="202" t="s">
        <v>1292</v>
      </c>
      <c r="B30" s="201" t="s">
        <v>1140</v>
      </c>
      <c r="C30" s="201" t="s">
        <v>1139</v>
      </c>
      <c r="D30" s="201" t="str">
        <f t="shared" si="0"/>
        <v>760725-*******</v>
      </c>
      <c r="E30" s="204" t="s">
        <v>1290</v>
      </c>
      <c r="F30" s="203">
        <v>35152</v>
      </c>
      <c r="G30" s="201" t="s">
        <v>1291</v>
      </c>
      <c r="H30" s="196" t="str">
        <f t="shared" si="1"/>
        <v>서울 성북구 삼선동4가 711</v>
      </c>
      <c r="I30" s="196">
        <f t="shared" si="2"/>
        <v>16</v>
      </c>
    </row>
    <row r="31" spans="1:9">
      <c r="A31" s="202" t="s">
        <v>1289</v>
      </c>
      <c r="B31" s="201" t="s">
        <v>1135</v>
      </c>
      <c r="C31" s="201" t="s">
        <v>1137</v>
      </c>
      <c r="D31" s="201" t="str">
        <f t="shared" si="0"/>
        <v>690917-*******</v>
      </c>
      <c r="E31" s="204" t="s">
        <v>1287</v>
      </c>
      <c r="F31" s="203">
        <v>35214</v>
      </c>
      <c r="G31" s="201" t="s">
        <v>1288</v>
      </c>
      <c r="H31" s="196" t="str">
        <f t="shared" si="1"/>
        <v>서울 구로구 오류동 188</v>
      </c>
      <c r="I31" s="196">
        <f t="shared" si="2"/>
        <v>14</v>
      </c>
    </row>
    <row r="32" spans="1:9">
      <c r="A32" s="202" t="s">
        <v>1286</v>
      </c>
      <c r="B32" s="201" t="s">
        <v>1135</v>
      </c>
      <c r="C32" s="201" t="s">
        <v>1285</v>
      </c>
      <c r="D32" s="201" t="str">
        <f t="shared" si="0"/>
        <v>720904-*******</v>
      </c>
      <c r="E32" s="204" t="s">
        <v>1283</v>
      </c>
      <c r="F32" s="203">
        <v>35405</v>
      </c>
      <c r="G32" s="201" t="s">
        <v>1284</v>
      </c>
      <c r="H32" s="196" t="str">
        <f t="shared" si="1"/>
        <v>경기도 군포시 오금동 543</v>
      </c>
      <c r="I32" s="196">
        <f t="shared" si="2"/>
        <v>14</v>
      </c>
    </row>
    <row r="33" spans="1:9">
      <c r="A33" s="202" t="s">
        <v>1282</v>
      </c>
      <c r="B33" s="201" t="s">
        <v>1132</v>
      </c>
      <c r="C33" s="201" t="s">
        <v>1281</v>
      </c>
      <c r="D33" s="201" t="str">
        <f t="shared" si="0"/>
        <v>601217-*******</v>
      </c>
      <c r="E33" s="204" t="s">
        <v>1279</v>
      </c>
      <c r="F33" s="203">
        <v>34401</v>
      </c>
      <c r="G33" s="201" t="s">
        <v>1280</v>
      </c>
      <c r="H33" s="196" t="str">
        <f t="shared" si="1"/>
        <v>인천 남구 용현2동 864</v>
      </c>
      <c r="I33" s="196">
        <f t="shared" si="2"/>
        <v>14</v>
      </c>
    </row>
    <row r="34" spans="1:9">
      <c r="A34" s="202" t="s">
        <v>1278</v>
      </c>
      <c r="B34" s="201" t="s">
        <v>1129</v>
      </c>
      <c r="C34" s="201" t="s">
        <v>1227</v>
      </c>
      <c r="D34" s="201" t="str">
        <f t="shared" si="0"/>
        <v>700928-*******</v>
      </c>
      <c r="E34" s="204" t="s">
        <v>1276</v>
      </c>
      <c r="F34" s="203">
        <v>36635</v>
      </c>
      <c r="G34" s="201" t="s">
        <v>1277</v>
      </c>
      <c r="H34" s="196" t="str">
        <f t="shared" si="1"/>
        <v>충북 충주시 안림동 465</v>
      </c>
      <c r="I34" s="196">
        <f t="shared" si="2"/>
        <v>14</v>
      </c>
    </row>
    <row r="35" spans="1:9">
      <c r="A35" s="202" t="s">
        <v>1275</v>
      </c>
      <c r="B35" s="201" t="s">
        <v>1126</v>
      </c>
      <c r="C35" s="201" t="s">
        <v>1274</v>
      </c>
      <c r="D35" s="201" t="str">
        <f t="shared" si="0"/>
        <v>580818-*******</v>
      </c>
      <c r="E35" s="204" t="s">
        <v>1272</v>
      </c>
      <c r="F35" s="203">
        <v>34994</v>
      </c>
      <c r="G35" s="201" t="s">
        <v>1273</v>
      </c>
      <c r="H35" s="196" t="str">
        <f t="shared" si="1"/>
        <v>서울 중구 입정동 551</v>
      </c>
      <c r="I35" s="196">
        <f t="shared" si="2"/>
        <v>13</v>
      </c>
    </row>
    <row r="36" spans="1:9">
      <c r="A36" s="202" t="s">
        <v>1271</v>
      </c>
      <c r="B36" s="201" t="s">
        <v>1123</v>
      </c>
      <c r="C36" s="201" t="s">
        <v>1095</v>
      </c>
      <c r="D36" s="201" t="str">
        <f t="shared" si="0"/>
        <v>650517-*******</v>
      </c>
      <c r="E36" s="204" t="s">
        <v>1269</v>
      </c>
      <c r="F36" s="203">
        <v>36638</v>
      </c>
      <c r="G36" s="201" t="s">
        <v>1270</v>
      </c>
      <c r="H36" s="196" t="str">
        <f t="shared" si="1"/>
        <v>전남 목포시 유달동 103</v>
      </c>
      <c r="I36" s="196">
        <f t="shared" si="2"/>
        <v>14</v>
      </c>
    </row>
    <row r="37" spans="1:9">
      <c r="A37" s="202" t="s">
        <v>1268</v>
      </c>
      <c r="B37" s="201" t="s">
        <v>1121</v>
      </c>
      <c r="C37" s="201" t="s">
        <v>1105</v>
      </c>
      <c r="D37" s="201" t="str">
        <f t="shared" si="0"/>
        <v>710627-*******</v>
      </c>
      <c r="E37" s="204" t="s">
        <v>1266</v>
      </c>
      <c r="F37" s="203">
        <v>35888</v>
      </c>
      <c r="G37" s="201" t="s">
        <v>1267</v>
      </c>
      <c r="H37" s="196" t="str">
        <f t="shared" si="1"/>
        <v>광주 북구 지야동 610</v>
      </c>
      <c r="I37" s="196">
        <f t="shared" si="2"/>
        <v>13</v>
      </c>
    </row>
    <row r="38" spans="1:9">
      <c r="A38" s="202" t="s">
        <v>1265</v>
      </c>
      <c r="B38" s="201" t="s">
        <v>1119</v>
      </c>
      <c r="C38" s="201" t="s">
        <v>1118</v>
      </c>
      <c r="D38" s="201" t="str">
        <f t="shared" si="0"/>
        <v>660204-*******</v>
      </c>
      <c r="E38" s="204" t="s">
        <v>1263</v>
      </c>
      <c r="F38" s="203">
        <v>36687</v>
      </c>
      <c r="G38" s="201" t="s">
        <v>1264</v>
      </c>
      <c r="H38" s="196" t="str">
        <f t="shared" si="1"/>
        <v>경기도 수원시 권선구 오목천동 371</v>
      </c>
      <c r="I38" s="196">
        <f t="shared" si="2"/>
        <v>19</v>
      </c>
    </row>
    <row r="39" spans="1:9">
      <c r="A39" s="202" t="s">
        <v>1262</v>
      </c>
      <c r="B39" s="201" t="s">
        <v>1116</v>
      </c>
      <c r="C39" s="201" t="s">
        <v>1261</v>
      </c>
      <c r="D39" s="201" t="str">
        <f t="shared" si="0"/>
        <v>690824-*******</v>
      </c>
      <c r="E39" s="204" t="s">
        <v>1259</v>
      </c>
      <c r="F39" s="203">
        <v>35125</v>
      </c>
      <c r="G39" s="201" t="s">
        <v>1260</v>
      </c>
      <c r="H39" s="196" t="str">
        <f t="shared" si="1"/>
        <v>경기도 부천시 오정구 오정동 889</v>
      </c>
      <c r="I39" s="196">
        <f t="shared" si="2"/>
        <v>18</v>
      </c>
    </row>
    <row r="40" spans="1:9">
      <c r="A40" s="202" t="s">
        <v>1258</v>
      </c>
      <c r="B40" s="201" t="s">
        <v>1113</v>
      </c>
      <c r="C40" s="201" t="s">
        <v>1257</v>
      </c>
      <c r="D40" s="201" t="str">
        <f t="shared" si="0"/>
        <v>760714-*******</v>
      </c>
      <c r="E40" s="204" t="s">
        <v>1255</v>
      </c>
      <c r="F40" s="203">
        <v>33979</v>
      </c>
      <c r="G40" s="201" t="s">
        <v>1256</v>
      </c>
      <c r="H40" s="196" t="str">
        <f t="shared" si="1"/>
        <v>강원 강릉시 난곡동 588</v>
      </c>
      <c r="I40" s="196">
        <f t="shared" si="2"/>
        <v>14</v>
      </c>
    </row>
    <row r="41" spans="1:9">
      <c r="A41" s="202" t="s">
        <v>1254</v>
      </c>
      <c r="B41" s="201" t="s">
        <v>1110</v>
      </c>
      <c r="C41" s="201" t="s">
        <v>1095</v>
      </c>
      <c r="D41" s="201" t="str">
        <f t="shared" si="0"/>
        <v>771022-*******</v>
      </c>
      <c r="E41" s="204" t="s">
        <v>1252</v>
      </c>
      <c r="F41" s="203">
        <v>35996</v>
      </c>
      <c r="G41" s="201" t="s">
        <v>1253</v>
      </c>
      <c r="H41" s="196" t="str">
        <f t="shared" si="1"/>
        <v>경북 영천시 창구동 406</v>
      </c>
      <c r="I41" s="196">
        <f t="shared" si="2"/>
        <v>14</v>
      </c>
    </row>
    <row r="42" spans="1:9">
      <c r="A42" s="202" t="s">
        <v>1251</v>
      </c>
      <c r="B42" s="201" t="s">
        <v>1108</v>
      </c>
      <c r="C42" s="201" t="s">
        <v>1231</v>
      </c>
      <c r="D42" s="201" t="str">
        <f t="shared" si="0"/>
        <v>670205-*******</v>
      </c>
      <c r="E42" s="204" t="s">
        <v>1249</v>
      </c>
      <c r="F42" s="203">
        <v>36806</v>
      </c>
      <c r="G42" s="201" t="s">
        <v>1250</v>
      </c>
      <c r="H42" s="196" t="str">
        <f t="shared" si="1"/>
        <v>전남 나주시 경현동 809</v>
      </c>
      <c r="I42" s="196">
        <f t="shared" si="2"/>
        <v>14</v>
      </c>
    </row>
    <row r="43" spans="1:9">
      <c r="A43" s="202" t="s">
        <v>1248</v>
      </c>
      <c r="B43" s="201" t="s">
        <v>1106</v>
      </c>
      <c r="C43" s="201" t="s">
        <v>1105</v>
      </c>
      <c r="D43" s="201" t="str">
        <f t="shared" si="0"/>
        <v>610724-*******</v>
      </c>
      <c r="E43" s="204" t="s">
        <v>1246</v>
      </c>
      <c r="F43" s="203">
        <v>35807</v>
      </c>
      <c r="G43" s="201" t="s">
        <v>1247</v>
      </c>
      <c r="H43" s="196" t="str">
        <f t="shared" si="1"/>
        <v>서울 중구 남대문로5가 474</v>
      </c>
      <c r="I43" s="196">
        <f t="shared" si="2"/>
        <v>16</v>
      </c>
    </row>
    <row r="44" spans="1:9">
      <c r="A44" s="202" t="s">
        <v>1245</v>
      </c>
      <c r="B44" s="201" t="s">
        <v>1103</v>
      </c>
      <c r="C44" s="201" t="s">
        <v>1227</v>
      </c>
      <c r="D44" s="201" t="str">
        <f t="shared" si="0"/>
        <v>690311-*******</v>
      </c>
      <c r="E44" s="204" t="s">
        <v>1243</v>
      </c>
      <c r="F44" s="203">
        <v>36157</v>
      </c>
      <c r="G44" s="201" t="s">
        <v>1244</v>
      </c>
      <c r="H44" s="196" t="str">
        <f t="shared" si="1"/>
        <v>강원 춘천시 송암동 747</v>
      </c>
      <c r="I44" s="196">
        <f t="shared" si="2"/>
        <v>14</v>
      </c>
    </row>
    <row r="45" spans="1:9">
      <c r="A45" s="202" t="s">
        <v>1242</v>
      </c>
      <c r="B45" s="201" t="s">
        <v>1101</v>
      </c>
      <c r="C45" s="201" t="s">
        <v>1084</v>
      </c>
      <c r="D45" s="201" t="str">
        <f t="shared" si="0"/>
        <v>640626-*******</v>
      </c>
      <c r="E45" s="204" t="s">
        <v>1240</v>
      </c>
      <c r="F45" s="203">
        <v>36304</v>
      </c>
      <c r="G45" s="201" t="s">
        <v>1241</v>
      </c>
      <c r="H45" s="196" t="str">
        <f t="shared" si="1"/>
        <v>경남 통영시 인평동 601</v>
      </c>
      <c r="I45" s="196">
        <f t="shared" si="2"/>
        <v>14</v>
      </c>
    </row>
    <row r="46" spans="1:9">
      <c r="A46" s="202" t="s">
        <v>1239</v>
      </c>
      <c r="B46" s="201" t="s">
        <v>1099</v>
      </c>
      <c r="C46" s="201" t="s">
        <v>1238</v>
      </c>
      <c r="D46" s="201" t="str">
        <f t="shared" si="0"/>
        <v>580112-*******</v>
      </c>
      <c r="E46" s="204" t="s">
        <v>1236</v>
      </c>
      <c r="F46" s="203">
        <v>35042</v>
      </c>
      <c r="G46" s="201" t="s">
        <v>1237</v>
      </c>
      <c r="H46" s="196" t="str">
        <f t="shared" si="1"/>
        <v>서울 강동구 암사4동 445</v>
      </c>
      <c r="I46" s="196">
        <f t="shared" si="2"/>
        <v>15</v>
      </c>
    </row>
    <row r="47" spans="1:9">
      <c r="A47" s="202" t="s">
        <v>1235</v>
      </c>
      <c r="B47" s="201" t="s">
        <v>1096</v>
      </c>
      <c r="C47" s="201" t="s">
        <v>1095</v>
      </c>
      <c r="D47" s="201" t="str">
        <f t="shared" si="0"/>
        <v>761012-*******</v>
      </c>
      <c r="E47" s="204" t="s">
        <v>1233</v>
      </c>
      <c r="F47" s="203">
        <v>35171</v>
      </c>
      <c r="G47" s="201" t="s">
        <v>1234</v>
      </c>
      <c r="H47" s="196" t="str">
        <f t="shared" si="1"/>
        <v>광주 동구 남동 680</v>
      </c>
      <c r="I47" s="196">
        <f t="shared" si="2"/>
        <v>12</v>
      </c>
    </row>
    <row r="48" spans="1:9">
      <c r="A48" s="202" t="s">
        <v>1232</v>
      </c>
      <c r="B48" s="201" t="s">
        <v>1093</v>
      </c>
      <c r="C48" s="201" t="s">
        <v>1231</v>
      </c>
      <c r="D48" s="201" t="str">
        <f t="shared" si="0"/>
        <v>740102-*******</v>
      </c>
      <c r="E48" s="204" t="s">
        <v>1229</v>
      </c>
      <c r="F48" s="203">
        <v>34021</v>
      </c>
      <c r="G48" s="201" t="s">
        <v>1230</v>
      </c>
      <c r="H48" s="196" t="str">
        <f t="shared" si="1"/>
        <v>서울 동대문구 용두1동 244</v>
      </c>
      <c r="I48" s="196">
        <f t="shared" si="2"/>
        <v>16</v>
      </c>
    </row>
    <row r="49" spans="1:9">
      <c r="A49" s="202" t="s">
        <v>1228</v>
      </c>
      <c r="B49" s="201" t="s">
        <v>1090</v>
      </c>
      <c r="C49" s="201" t="s">
        <v>1227</v>
      </c>
      <c r="D49" s="201" t="str">
        <f t="shared" si="0"/>
        <v>591021-*******</v>
      </c>
      <c r="E49" s="204" t="s">
        <v>1225</v>
      </c>
      <c r="F49" s="203">
        <v>35853</v>
      </c>
      <c r="G49" s="201" t="s">
        <v>1226</v>
      </c>
      <c r="H49" s="196" t="str">
        <f t="shared" si="1"/>
        <v>경남 마산시 회원동 277</v>
      </c>
      <c r="I49" s="196">
        <f t="shared" si="2"/>
        <v>14</v>
      </c>
    </row>
    <row r="50" spans="1:9">
      <c r="A50" s="202" t="s">
        <v>1224</v>
      </c>
      <c r="B50" s="201" t="s">
        <v>1087</v>
      </c>
      <c r="C50" s="201" t="s">
        <v>1084</v>
      </c>
      <c r="D50" s="201" t="str">
        <f t="shared" si="0"/>
        <v>751101-*******</v>
      </c>
      <c r="E50" s="204" t="s">
        <v>1222</v>
      </c>
      <c r="F50" s="203">
        <v>34563</v>
      </c>
      <c r="G50" s="201" t="s">
        <v>1223</v>
      </c>
      <c r="H50" s="196" t="str">
        <f t="shared" si="1"/>
        <v>대전 유성구 신봉동 809</v>
      </c>
      <c r="I50" s="196">
        <f t="shared" si="2"/>
        <v>14</v>
      </c>
    </row>
    <row r="51" spans="1:9">
      <c r="A51" s="202" t="s">
        <v>1086</v>
      </c>
      <c r="B51" s="201" t="s">
        <v>1085</v>
      </c>
      <c r="C51" s="201" t="s">
        <v>1084</v>
      </c>
      <c r="D51" s="201" t="str">
        <f t="shared" si="0"/>
        <v>600605-*******</v>
      </c>
      <c r="E51" s="204" t="s">
        <v>1220</v>
      </c>
      <c r="F51" s="203">
        <v>36752</v>
      </c>
      <c r="G51" s="201" t="s">
        <v>1221</v>
      </c>
      <c r="H51" s="196" t="str">
        <f t="shared" si="1"/>
        <v>충북 청주시 흥덕구 원평동 582</v>
      </c>
      <c r="I51" s="196">
        <f t="shared" si="2"/>
        <v>18</v>
      </c>
    </row>
    <row r="52" spans="1:9" ht="14.4">
      <c r="A52" s="199"/>
      <c r="B52" s="199"/>
      <c r="C52" s="199"/>
      <c r="D52" s="199"/>
      <c r="E52" s="199"/>
      <c r="F52" s="199"/>
      <c r="G52" s="199"/>
    </row>
    <row r="53" spans="1:9" ht="14.4">
      <c r="A53" s="199"/>
      <c r="B53" s="199"/>
      <c r="C53" s="199"/>
      <c r="D53" s="199"/>
      <c r="E53" s="199"/>
      <c r="F53" s="199"/>
      <c r="G53" s="199"/>
    </row>
    <row r="54" spans="1:9" ht="14.4">
      <c r="A54" s="199"/>
      <c r="B54" s="199"/>
      <c r="C54" s="199"/>
      <c r="D54" s="199"/>
      <c r="E54" s="199"/>
      <c r="F54" s="199"/>
      <c r="G54" s="199"/>
    </row>
    <row r="55" spans="1:9" ht="14.4">
      <c r="A55" s="199"/>
      <c r="B55" s="199"/>
      <c r="C55" s="199"/>
      <c r="D55" s="199"/>
      <c r="E55" s="199"/>
      <c r="F55" s="199"/>
      <c r="G55" s="199"/>
    </row>
    <row r="56" spans="1:9" ht="14.4">
      <c r="A56" s="199"/>
      <c r="B56" s="199"/>
      <c r="C56" s="199"/>
      <c r="D56" s="199"/>
      <c r="E56" s="199"/>
      <c r="F56" s="199"/>
      <c r="G56" s="199"/>
    </row>
    <row r="57" spans="1:9" ht="14.4">
      <c r="A57" s="199"/>
      <c r="B57" s="199"/>
      <c r="C57" s="199"/>
      <c r="D57" s="199"/>
      <c r="E57" s="199"/>
      <c r="F57" s="199"/>
      <c r="G57" s="199"/>
    </row>
    <row r="58" spans="1:9" ht="14.4">
      <c r="A58" s="199"/>
      <c r="B58" s="199"/>
      <c r="C58" s="199"/>
      <c r="D58" s="199"/>
      <c r="E58" s="199"/>
      <c r="F58" s="199"/>
      <c r="G58" s="199"/>
    </row>
  </sheetData>
  <phoneticPr fontId="8" type="noConversion"/>
  <conditionalFormatting sqref="D2:D51">
    <cfRule type="duplicateValues" dxfId="4" priority="3"/>
    <cfRule type="duplicateValues" priority="4"/>
  </conditionalFormatting>
  <conditionalFormatting sqref="G2:G51">
    <cfRule type="duplicateValues" dxfId="3" priority="1"/>
    <cfRule type="duplicateValues" priority="2"/>
  </conditionalFormatting>
  <pageMargins left="0.75" right="0.75" top="1" bottom="1" header="0.5" footer="0.5"/>
  <pageSetup paperSize="9" orientation="portrait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4" workbookViewId="0">
      <selection activeCell="L16" sqref="L16"/>
    </sheetView>
  </sheetViews>
  <sheetFormatPr defaultColWidth="9" defaultRowHeight="17.399999999999999"/>
  <cols>
    <col min="1" max="1" width="2.8984375" style="205" customWidth="1"/>
    <col min="2" max="4" width="9" style="205"/>
    <col min="5" max="5" width="19.8984375" style="205" customWidth="1"/>
    <col min="6" max="6" width="19.19921875" style="205" customWidth="1"/>
    <col min="7" max="16384" width="9" style="205"/>
  </cols>
  <sheetData>
    <row r="1" spans="2:9" ht="30">
      <c r="B1" s="629" t="s">
        <v>1407</v>
      </c>
      <c r="C1" s="629"/>
      <c r="D1" s="629"/>
      <c r="E1" s="629"/>
      <c r="F1" s="629"/>
      <c r="G1" s="629"/>
      <c r="H1" s="629"/>
      <c r="I1" s="629"/>
    </row>
    <row r="2" spans="2:9">
      <c r="B2" s="210"/>
      <c r="C2" s="210"/>
      <c r="D2" s="210"/>
      <c r="E2" s="210"/>
      <c r="F2" s="210"/>
      <c r="G2" s="210"/>
      <c r="H2" s="210"/>
      <c r="I2" s="210"/>
    </row>
    <row r="3" spans="2:9" ht="20.25" customHeight="1">
      <c r="B3" s="630" t="s">
        <v>1406</v>
      </c>
      <c r="C3" s="630" t="s">
        <v>1405</v>
      </c>
      <c r="D3" s="630" t="s">
        <v>1404</v>
      </c>
      <c r="E3" s="632" t="s">
        <v>1403</v>
      </c>
      <c r="F3" s="633"/>
      <c r="G3" s="630" t="s">
        <v>1402</v>
      </c>
      <c r="H3" s="630" t="s">
        <v>1401</v>
      </c>
      <c r="I3" s="630" t="s">
        <v>1400</v>
      </c>
    </row>
    <row r="4" spans="2:9" ht="20.25" customHeight="1">
      <c r="B4" s="631"/>
      <c r="C4" s="631"/>
      <c r="D4" s="631"/>
      <c r="E4" s="232" t="s">
        <v>1399</v>
      </c>
      <c r="F4" s="232" t="s">
        <v>1398</v>
      </c>
      <c r="G4" s="631"/>
      <c r="H4" s="631"/>
      <c r="I4" s="631"/>
    </row>
    <row r="5" spans="2:9">
      <c r="B5" s="209" t="s">
        <v>1394</v>
      </c>
      <c r="C5" s="209">
        <v>5688</v>
      </c>
      <c r="D5" s="209" t="s">
        <v>1395</v>
      </c>
      <c r="E5" s="208" t="str">
        <f>CONCATENATE(B5,C5,D5)</f>
        <v>N5688F</v>
      </c>
      <c r="F5" s="208" t="str">
        <f>B5&amp;C5&amp;D5</f>
        <v>N5688F</v>
      </c>
      <c r="G5" s="207">
        <v>6376</v>
      </c>
      <c r="H5" s="207">
        <v>1467</v>
      </c>
      <c r="I5" s="207">
        <f t="shared" ref="I5:I22" si="0">SUM(G5:H5)</f>
        <v>7843</v>
      </c>
    </row>
    <row r="6" spans="2:9">
      <c r="B6" s="209" t="s">
        <v>1394</v>
      </c>
      <c r="C6" s="209">
        <v>2463</v>
      </c>
      <c r="D6" s="209" t="s">
        <v>219</v>
      </c>
      <c r="E6" s="208" t="str">
        <f t="shared" ref="E6:E22" si="1">CONCATENATE(B6,C6,D6)</f>
        <v>N2463C</v>
      </c>
      <c r="F6" s="208" t="str">
        <f t="shared" ref="F6:F22" si="2">B6&amp;C6&amp;D6</f>
        <v>N2463C</v>
      </c>
      <c r="G6" s="207">
        <v>17042</v>
      </c>
      <c r="H6" s="207">
        <v>11498</v>
      </c>
      <c r="I6" s="207">
        <f t="shared" si="0"/>
        <v>28540</v>
      </c>
    </row>
    <row r="7" spans="2:9">
      <c r="B7" s="209" t="s">
        <v>1396</v>
      </c>
      <c r="C7" s="209">
        <v>5516</v>
      </c>
      <c r="D7" s="209" t="s">
        <v>1397</v>
      </c>
      <c r="E7" s="208" t="str">
        <f t="shared" si="1"/>
        <v>S5516E</v>
      </c>
      <c r="F7" s="208" t="str">
        <f t="shared" si="2"/>
        <v>S5516E</v>
      </c>
      <c r="G7" s="207">
        <v>6399</v>
      </c>
      <c r="H7" s="207">
        <v>18939</v>
      </c>
      <c r="I7" s="207">
        <f t="shared" si="0"/>
        <v>25338</v>
      </c>
    </row>
    <row r="8" spans="2:9">
      <c r="B8" s="209" t="s">
        <v>1394</v>
      </c>
      <c r="C8" s="209">
        <v>6137</v>
      </c>
      <c r="D8" s="209" t="s">
        <v>1395</v>
      </c>
      <c r="E8" s="208" t="str">
        <f t="shared" si="1"/>
        <v>N6137F</v>
      </c>
      <c r="F8" s="208" t="str">
        <f t="shared" si="2"/>
        <v>N6137F</v>
      </c>
      <c r="G8" s="207">
        <v>9370</v>
      </c>
      <c r="H8" s="207">
        <v>19785</v>
      </c>
      <c r="I8" s="207">
        <f t="shared" si="0"/>
        <v>29155</v>
      </c>
    </row>
    <row r="9" spans="2:9">
      <c r="B9" s="209" t="s">
        <v>1396</v>
      </c>
      <c r="C9" s="209">
        <v>8054</v>
      </c>
      <c r="D9" s="209" t="s">
        <v>219</v>
      </c>
      <c r="E9" s="208" t="str">
        <f t="shared" si="1"/>
        <v>S8054C</v>
      </c>
      <c r="F9" s="208" t="str">
        <f t="shared" si="2"/>
        <v>S8054C</v>
      </c>
      <c r="G9" s="207">
        <v>9125</v>
      </c>
      <c r="H9" s="207">
        <v>11184</v>
      </c>
      <c r="I9" s="207">
        <f t="shared" si="0"/>
        <v>20309</v>
      </c>
    </row>
    <row r="10" spans="2:9">
      <c r="B10" s="209" t="s">
        <v>1396</v>
      </c>
      <c r="C10" s="209">
        <v>3004</v>
      </c>
      <c r="D10" s="209" t="s">
        <v>1394</v>
      </c>
      <c r="E10" s="208" t="str">
        <f t="shared" si="1"/>
        <v>S3004N</v>
      </c>
      <c r="F10" s="208" t="str">
        <f t="shared" si="2"/>
        <v>S3004N</v>
      </c>
      <c r="G10" s="207">
        <v>14742</v>
      </c>
      <c r="H10" s="207">
        <v>3113</v>
      </c>
      <c r="I10" s="207">
        <f t="shared" si="0"/>
        <v>17855</v>
      </c>
    </row>
    <row r="11" spans="2:9">
      <c r="B11" s="209" t="s">
        <v>1394</v>
      </c>
      <c r="C11" s="209">
        <v>5445</v>
      </c>
      <c r="D11" s="209" t="s">
        <v>1395</v>
      </c>
      <c r="E11" s="208" t="str">
        <f t="shared" si="1"/>
        <v>N5445F</v>
      </c>
      <c r="F11" s="208" t="str">
        <f t="shared" si="2"/>
        <v>N5445F</v>
      </c>
      <c r="G11" s="207">
        <v>20174</v>
      </c>
      <c r="H11" s="207">
        <v>12504</v>
      </c>
      <c r="I11" s="207">
        <f t="shared" si="0"/>
        <v>32678</v>
      </c>
    </row>
    <row r="12" spans="2:9">
      <c r="B12" s="209" t="s">
        <v>1396</v>
      </c>
      <c r="C12" s="209">
        <v>3663</v>
      </c>
      <c r="D12" s="209" t="s">
        <v>1395</v>
      </c>
      <c r="E12" s="208" t="str">
        <f t="shared" si="1"/>
        <v>S3663F</v>
      </c>
      <c r="F12" s="208" t="str">
        <f t="shared" si="2"/>
        <v>S3663F</v>
      </c>
      <c r="G12" s="207">
        <v>2866</v>
      </c>
      <c r="H12" s="207">
        <v>3508</v>
      </c>
      <c r="I12" s="207">
        <f t="shared" si="0"/>
        <v>6374</v>
      </c>
    </row>
    <row r="13" spans="2:9">
      <c r="B13" s="209" t="s">
        <v>1394</v>
      </c>
      <c r="C13" s="209">
        <v>9798</v>
      </c>
      <c r="D13" s="209" t="s">
        <v>1395</v>
      </c>
      <c r="E13" s="208" t="str">
        <f t="shared" si="1"/>
        <v>N9798F</v>
      </c>
      <c r="F13" s="208" t="str">
        <f t="shared" si="2"/>
        <v>N9798F</v>
      </c>
      <c r="G13" s="207">
        <v>18944</v>
      </c>
      <c r="H13" s="207">
        <v>7004</v>
      </c>
      <c r="I13" s="207">
        <f t="shared" si="0"/>
        <v>25948</v>
      </c>
    </row>
    <row r="14" spans="2:9">
      <c r="B14" s="209" t="s">
        <v>1394</v>
      </c>
      <c r="C14" s="209">
        <v>3027</v>
      </c>
      <c r="D14" s="209" t="s">
        <v>1395</v>
      </c>
      <c r="E14" s="208" t="str">
        <f t="shared" si="1"/>
        <v>N3027F</v>
      </c>
      <c r="F14" s="208" t="str">
        <f t="shared" si="2"/>
        <v>N3027F</v>
      </c>
      <c r="G14" s="207">
        <v>1577</v>
      </c>
      <c r="H14" s="207">
        <v>9245</v>
      </c>
      <c r="I14" s="207">
        <f t="shared" si="0"/>
        <v>10822</v>
      </c>
    </row>
    <row r="15" spans="2:9">
      <c r="B15" s="209" t="s">
        <v>1394</v>
      </c>
      <c r="C15" s="209">
        <v>7421</v>
      </c>
      <c r="D15" s="209" t="s">
        <v>219</v>
      </c>
      <c r="E15" s="208" t="str">
        <f t="shared" si="1"/>
        <v>N7421C</v>
      </c>
      <c r="F15" s="208" t="str">
        <f t="shared" si="2"/>
        <v>N7421C</v>
      </c>
      <c r="G15" s="207">
        <v>13939</v>
      </c>
      <c r="H15" s="207">
        <v>11483</v>
      </c>
      <c r="I15" s="207">
        <f t="shared" si="0"/>
        <v>25422</v>
      </c>
    </row>
    <row r="16" spans="2:9">
      <c r="B16" s="209" t="s">
        <v>1396</v>
      </c>
      <c r="C16" s="209">
        <v>3195</v>
      </c>
      <c r="D16" s="209" t="s">
        <v>1397</v>
      </c>
      <c r="E16" s="208" t="str">
        <f t="shared" si="1"/>
        <v>S3195E</v>
      </c>
      <c r="F16" s="208" t="str">
        <f t="shared" si="2"/>
        <v>S3195E</v>
      </c>
      <c r="G16" s="207">
        <v>8336</v>
      </c>
      <c r="H16" s="207">
        <v>2968</v>
      </c>
      <c r="I16" s="207">
        <f t="shared" si="0"/>
        <v>11304</v>
      </c>
    </row>
    <row r="17" spans="2:9">
      <c r="B17" s="209" t="s">
        <v>1396</v>
      </c>
      <c r="C17" s="209">
        <v>1079</v>
      </c>
      <c r="D17" s="209" t="s">
        <v>219</v>
      </c>
      <c r="E17" s="208" t="str">
        <f t="shared" si="1"/>
        <v>S1079C</v>
      </c>
      <c r="F17" s="208" t="str">
        <f t="shared" si="2"/>
        <v>S1079C</v>
      </c>
      <c r="G17" s="207">
        <v>15484</v>
      </c>
      <c r="H17" s="207">
        <v>11643</v>
      </c>
      <c r="I17" s="207">
        <f t="shared" si="0"/>
        <v>27127</v>
      </c>
    </row>
    <row r="18" spans="2:9">
      <c r="B18" s="209" t="s">
        <v>1396</v>
      </c>
      <c r="C18" s="209">
        <v>1953</v>
      </c>
      <c r="D18" s="209" t="s">
        <v>1395</v>
      </c>
      <c r="E18" s="208" t="str">
        <f t="shared" si="1"/>
        <v>S1953F</v>
      </c>
      <c r="F18" s="208" t="str">
        <f t="shared" si="2"/>
        <v>S1953F</v>
      </c>
      <c r="G18" s="207">
        <v>6405</v>
      </c>
      <c r="H18" s="207">
        <v>2579</v>
      </c>
      <c r="I18" s="207">
        <f t="shared" si="0"/>
        <v>8984</v>
      </c>
    </row>
    <row r="19" spans="2:9">
      <c r="B19" s="209" t="s">
        <v>1394</v>
      </c>
      <c r="C19" s="209">
        <v>9110</v>
      </c>
      <c r="D19" s="209" t="s">
        <v>1397</v>
      </c>
      <c r="E19" s="208" t="str">
        <f t="shared" si="1"/>
        <v>N9110E</v>
      </c>
      <c r="F19" s="208" t="str">
        <f t="shared" si="2"/>
        <v>N9110E</v>
      </c>
      <c r="G19" s="207">
        <v>17302</v>
      </c>
      <c r="H19" s="207">
        <v>2351</v>
      </c>
      <c r="I19" s="207">
        <f t="shared" si="0"/>
        <v>19653</v>
      </c>
    </row>
    <row r="20" spans="2:9">
      <c r="B20" s="209" t="s">
        <v>1396</v>
      </c>
      <c r="C20" s="209">
        <v>3575</v>
      </c>
      <c r="D20" s="209" t="s">
        <v>1394</v>
      </c>
      <c r="E20" s="208" t="str">
        <f t="shared" si="1"/>
        <v>S3575N</v>
      </c>
      <c r="F20" s="208" t="str">
        <f t="shared" si="2"/>
        <v>S3575N</v>
      </c>
      <c r="G20" s="207">
        <v>8649</v>
      </c>
      <c r="H20" s="207">
        <v>16156</v>
      </c>
      <c r="I20" s="207">
        <f t="shared" si="0"/>
        <v>24805</v>
      </c>
    </row>
    <row r="21" spans="2:9">
      <c r="B21" s="209" t="s">
        <v>1394</v>
      </c>
      <c r="C21" s="209">
        <v>3371</v>
      </c>
      <c r="D21" s="209" t="s">
        <v>1395</v>
      </c>
      <c r="E21" s="208" t="str">
        <f t="shared" si="1"/>
        <v>N3371F</v>
      </c>
      <c r="F21" s="208" t="str">
        <f t="shared" si="2"/>
        <v>N3371F</v>
      </c>
      <c r="G21" s="207">
        <v>8366</v>
      </c>
      <c r="H21" s="207">
        <v>18989</v>
      </c>
      <c r="I21" s="207">
        <f t="shared" si="0"/>
        <v>27355</v>
      </c>
    </row>
    <row r="22" spans="2:9">
      <c r="B22" s="209" t="s">
        <v>1394</v>
      </c>
      <c r="C22" s="209">
        <v>4610</v>
      </c>
      <c r="D22" s="209" t="s">
        <v>1394</v>
      </c>
      <c r="E22" s="208" t="str">
        <f t="shared" si="1"/>
        <v>N4610N</v>
      </c>
      <c r="F22" s="208" t="str">
        <f t="shared" si="2"/>
        <v>N4610N</v>
      </c>
      <c r="G22" s="207">
        <v>15544</v>
      </c>
      <c r="H22" s="207">
        <v>18254</v>
      </c>
      <c r="I22" s="207">
        <f t="shared" si="0"/>
        <v>33798</v>
      </c>
    </row>
    <row r="23" spans="2:9">
      <c r="B23" s="206"/>
      <c r="C23" s="206"/>
      <c r="D23" s="206"/>
      <c r="E23" s="206"/>
      <c r="F23" s="206"/>
      <c r="G23" s="206"/>
      <c r="H23" s="206"/>
      <c r="I23" s="206"/>
    </row>
  </sheetData>
  <mergeCells count="8">
    <mergeCell ref="B1:I1"/>
    <mergeCell ref="B3:B4"/>
    <mergeCell ref="C3:C4"/>
    <mergeCell ref="D3:D4"/>
    <mergeCell ref="E3:F3"/>
    <mergeCell ref="G3:G4"/>
    <mergeCell ref="H3:H4"/>
    <mergeCell ref="I3:I4"/>
  </mergeCells>
  <phoneticPr fontId="8" type="noConversion"/>
  <conditionalFormatting sqref="B5:B22">
    <cfRule type="expression" dxfId="2" priority="1">
      <formula>M5="주문"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workbookViewId="0">
      <selection activeCell="N5" sqref="N5"/>
    </sheetView>
  </sheetViews>
  <sheetFormatPr defaultColWidth="8.8984375" defaultRowHeight="17.399999999999999"/>
  <cols>
    <col min="1" max="1" width="2.296875" style="75" customWidth="1"/>
    <col min="2" max="2" width="9.8984375" style="75" customWidth="1"/>
    <col min="3" max="3" width="13.296875" style="75" customWidth="1"/>
    <col min="4" max="5" width="10.8984375" style="75" bestFit="1" customWidth="1"/>
    <col min="6" max="6" width="6" style="75" customWidth="1"/>
    <col min="7" max="7" width="10.19921875" style="75" bestFit="1" customWidth="1"/>
    <col min="8" max="10" width="9.8984375" style="75" customWidth="1"/>
    <col min="11" max="16384" width="8.8984375" style="75"/>
  </cols>
  <sheetData>
    <row r="1" spans="2:13" ht="25.2">
      <c r="B1" s="634" t="s">
        <v>485</v>
      </c>
      <c r="C1" s="635"/>
      <c r="D1" s="635"/>
      <c r="E1" s="635"/>
      <c r="F1" s="635"/>
      <c r="G1" s="635"/>
      <c r="H1" s="635"/>
      <c r="I1" s="635"/>
      <c r="J1" s="635"/>
    </row>
    <row r="2" spans="2:13" ht="15.75" customHeight="1" thickBot="1">
      <c r="B2" s="76"/>
      <c r="C2" s="76"/>
      <c r="D2" s="76"/>
      <c r="E2" s="76"/>
      <c r="F2" s="76"/>
      <c r="G2" s="76"/>
      <c r="H2" s="77"/>
      <c r="I2" s="77"/>
      <c r="J2" s="77"/>
    </row>
    <row r="3" spans="2:13" ht="27.75" customHeight="1" thickBot="1">
      <c r="B3" s="237" t="s">
        <v>486</v>
      </c>
      <c r="C3" s="78"/>
      <c r="E3" s="636" t="s">
        <v>487</v>
      </c>
      <c r="F3" s="637"/>
      <c r="G3" s="78"/>
      <c r="H3" s="77"/>
      <c r="I3" s="77"/>
      <c r="J3" s="77"/>
    </row>
    <row r="4" spans="2:13" ht="7.5" customHeight="1">
      <c r="B4" s="76"/>
      <c r="C4" s="76"/>
      <c r="D4" s="76"/>
      <c r="E4" s="76"/>
      <c r="F4" s="76"/>
      <c r="G4" s="76"/>
      <c r="H4" s="77"/>
      <c r="I4" s="77"/>
      <c r="J4" s="77"/>
    </row>
    <row r="5" spans="2:13" ht="24.75" customHeight="1">
      <c r="B5" s="236" t="s">
        <v>488</v>
      </c>
      <c r="C5" s="236" t="s">
        <v>489</v>
      </c>
      <c r="D5" s="236" t="s">
        <v>490</v>
      </c>
      <c r="E5" s="236" t="s">
        <v>491</v>
      </c>
      <c r="F5" s="236" t="s">
        <v>492</v>
      </c>
      <c r="G5" s="236" t="s">
        <v>493</v>
      </c>
      <c r="H5" s="236" t="s">
        <v>494</v>
      </c>
      <c r="I5" s="236" t="s">
        <v>495</v>
      </c>
      <c r="J5" s="236" t="s">
        <v>496</v>
      </c>
    </row>
    <row r="6" spans="2:13" ht="22.5" customHeight="1">
      <c r="B6" s="79" t="s">
        <v>497</v>
      </c>
      <c r="C6" s="80">
        <v>44491</v>
      </c>
      <c r="D6" s="63">
        <f>YEAR(C6)</f>
        <v>2021</v>
      </c>
      <c r="E6" s="663">
        <f>MONTH(C6)</f>
        <v>10</v>
      </c>
      <c r="F6" s="663">
        <f>DAY(C6)</f>
        <v>22</v>
      </c>
      <c r="G6" s="81">
        <v>0.36842592592592593</v>
      </c>
      <c r="H6" s="664">
        <f>HOUR(G6)</f>
        <v>8</v>
      </c>
      <c r="I6" s="665">
        <f>MINUTE(G6)</f>
        <v>50</v>
      </c>
      <c r="J6" s="666">
        <f>SECOND(G6)</f>
        <v>32</v>
      </c>
      <c r="M6" s="82"/>
    </row>
    <row r="7" spans="2:13" ht="22.5" customHeight="1">
      <c r="B7" s="79" t="s">
        <v>498</v>
      </c>
      <c r="C7" s="80">
        <v>44492</v>
      </c>
      <c r="D7" s="63">
        <f t="shared" ref="D7:D19" si="0">YEAR(C7)</f>
        <v>2021</v>
      </c>
      <c r="E7" s="663">
        <f t="shared" ref="E7:E19" si="1">MONTH(C7)</f>
        <v>10</v>
      </c>
      <c r="F7" s="663">
        <f t="shared" ref="F7:F19" si="2">DAY(C7)</f>
        <v>23</v>
      </c>
      <c r="G7" s="81">
        <v>0.36626157407407406</v>
      </c>
      <c r="H7" s="664">
        <f t="shared" ref="H7:H19" si="3">HOUR(G7)</f>
        <v>8</v>
      </c>
      <c r="I7" s="665">
        <f t="shared" ref="I7:I19" si="4">MINUTE(G7)</f>
        <v>47</v>
      </c>
      <c r="J7" s="666">
        <f t="shared" ref="J7:J19" si="5">SECOND(G7)</f>
        <v>25</v>
      </c>
    </row>
    <row r="8" spans="2:13" ht="22.5" customHeight="1">
      <c r="B8" s="79" t="s">
        <v>499</v>
      </c>
      <c r="C8" s="80">
        <v>44493</v>
      </c>
      <c r="D8" s="63">
        <f t="shared" si="0"/>
        <v>2021</v>
      </c>
      <c r="E8" s="663">
        <f t="shared" si="1"/>
        <v>10</v>
      </c>
      <c r="F8" s="663">
        <f t="shared" si="2"/>
        <v>24</v>
      </c>
      <c r="G8" s="81">
        <v>0.37155092592592592</v>
      </c>
      <c r="H8" s="664">
        <f t="shared" si="3"/>
        <v>8</v>
      </c>
      <c r="I8" s="665">
        <f t="shared" si="4"/>
        <v>55</v>
      </c>
      <c r="J8" s="666">
        <f t="shared" si="5"/>
        <v>2</v>
      </c>
    </row>
    <row r="9" spans="2:13" ht="22.5" customHeight="1">
      <c r="B9" s="79" t="s">
        <v>500</v>
      </c>
      <c r="C9" s="80">
        <v>44494</v>
      </c>
      <c r="D9" s="63">
        <f t="shared" si="0"/>
        <v>2021</v>
      </c>
      <c r="E9" s="663">
        <f t="shared" si="1"/>
        <v>10</v>
      </c>
      <c r="F9" s="663">
        <f t="shared" si="2"/>
        <v>25</v>
      </c>
      <c r="G9" s="81">
        <v>0.37482638888888892</v>
      </c>
      <c r="H9" s="664">
        <f t="shared" si="3"/>
        <v>8</v>
      </c>
      <c r="I9" s="665">
        <f t="shared" si="4"/>
        <v>59</v>
      </c>
      <c r="J9" s="666">
        <f t="shared" si="5"/>
        <v>45</v>
      </c>
    </row>
    <row r="10" spans="2:13" ht="22.5" customHeight="1">
      <c r="B10" s="79" t="s">
        <v>501</v>
      </c>
      <c r="C10" s="80">
        <v>44495</v>
      </c>
      <c r="D10" s="63">
        <f t="shared" si="0"/>
        <v>2021</v>
      </c>
      <c r="E10" s="663">
        <f t="shared" si="1"/>
        <v>10</v>
      </c>
      <c r="F10" s="663">
        <f t="shared" si="2"/>
        <v>26</v>
      </c>
      <c r="G10" s="81">
        <v>0.36472222222222223</v>
      </c>
      <c r="H10" s="664">
        <f t="shared" si="3"/>
        <v>8</v>
      </c>
      <c r="I10" s="665">
        <f t="shared" si="4"/>
        <v>45</v>
      </c>
      <c r="J10" s="666">
        <f t="shared" si="5"/>
        <v>12</v>
      </c>
    </row>
    <row r="11" spans="2:13" ht="22.5" customHeight="1">
      <c r="B11" s="79" t="s">
        <v>502</v>
      </c>
      <c r="C11" s="80">
        <v>44496</v>
      </c>
      <c r="D11" s="63">
        <f t="shared" si="0"/>
        <v>2021</v>
      </c>
      <c r="E11" s="663">
        <f t="shared" si="1"/>
        <v>10</v>
      </c>
      <c r="F11" s="663">
        <f t="shared" si="2"/>
        <v>27</v>
      </c>
      <c r="G11" s="81">
        <v>0.50062499999999999</v>
      </c>
      <c r="H11" s="664">
        <f t="shared" si="3"/>
        <v>12</v>
      </c>
      <c r="I11" s="665">
        <f t="shared" si="4"/>
        <v>0</v>
      </c>
      <c r="J11" s="666">
        <f t="shared" si="5"/>
        <v>54</v>
      </c>
    </row>
    <row r="12" spans="2:13" ht="22.5" customHeight="1">
      <c r="B12" s="79" t="s">
        <v>503</v>
      </c>
      <c r="C12" s="80">
        <v>44497</v>
      </c>
      <c r="D12" s="63">
        <f t="shared" si="0"/>
        <v>2021</v>
      </c>
      <c r="E12" s="663">
        <f t="shared" si="1"/>
        <v>10</v>
      </c>
      <c r="F12" s="663">
        <f t="shared" si="2"/>
        <v>28</v>
      </c>
      <c r="G12" s="81">
        <v>0.70861111111111119</v>
      </c>
      <c r="H12" s="664">
        <f t="shared" si="3"/>
        <v>17</v>
      </c>
      <c r="I12" s="665">
        <f t="shared" si="4"/>
        <v>0</v>
      </c>
      <c r="J12" s="666">
        <f t="shared" si="5"/>
        <v>24</v>
      </c>
    </row>
    <row r="13" spans="2:13" ht="22.5" customHeight="1">
      <c r="B13" s="79" t="s">
        <v>504</v>
      </c>
      <c r="C13" s="80">
        <v>44498</v>
      </c>
      <c r="D13" s="63">
        <f t="shared" si="0"/>
        <v>2021</v>
      </c>
      <c r="E13" s="663">
        <f t="shared" si="1"/>
        <v>10</v>
      </c>
      <c r="F13" s="663">
        <f t="shared" si="2"/>
        <v>29</v>
      </c>
      <c r="G13" s="81">
        <v>0.37432870370370369</v>
      </c>
      <c r="H13" s="664">
        <f t="shared" si="3"/>
        <v>8</v>
      </c>
      <c r="I13" s="665">
        <f t="shared" si="4"/>
        <v>59</v>
      </c>
      <c r="J13" s="666">
        <f t="shared" si="5"/>
        <v>2</v>
      </c>
    </row>
    <row r="14" spans="2:13" ht="22.5" customHeight="1">
      <c r="B14" s="79" t="s">
        <v>505</v>
      </c>
      <c r="C14" s="80">
        <v>44499</v>
      </c>
      <c r="D14" s="63">
        <f t="shared" si="0"/>
        <v>2021</v>
      </c>
      <c r="E14" s="663">
        <f t="shared" si="1"/>
        <v>10</v>
      </c>
      <c r="F14" s="663">
        <f t="shared" si="2"/>
        <v>30</v>
      </c>
      <c r="G14" s="81">
        <v>0.37163194444444447</v>
      </c>
      <c r="H14" s="664">
        <f t="shared" si="3"/>
        <v>8</v>
      </c>
      <c r="I14" s="665">
        <f t="shared" si="4"/>
        <v>55</v>
      </c>
      <c r="J14" s="666">
        <f t="shared" si="5"/>
        <v>9</v>
      </c>
    </row>
    <row r="15" spans="2:13" ht="22.5" customHeight="1">
      <c r="B15" s="79" t="s">
        <v>506</v>
      </c>
      <c r="C15" s="80">
        <v>44500</v>
      </c>
      <c r="D15" s="63">
        <f t="shared" si="0"/>
        <v>2021</v>
      </c>
      <c r="E15" s="663">
        <f t="shared" si="1"/>
        <v>10</v>
      </c>
      <c r="F15" s="663">
        <f t="shared" si="2"/>
        <v>31</v>
      </c>
      <c r="G15" s="81">
        <v>0.36606481481481484</v>
      </c>
      <c r="H15" s="664">
        <f t="shared" si="3"/>
        <v>8</v>
      </c>
      <c r="I15" s="665">
        <f t="shared" si="4"/>
        <v>47</v>
      </c>
      <c r="J15" s="666">
        <f t="shared" si="5"/>
        <v>8</v>
      </c>
    </row>
    <row r="16" spans="2:13" ht="22.5" customHeight="1">
      <c r="B16" s="79" t="s">
        <v>507</v>
      </c>
      <c r="C16" s="80">
        <v>44501</v>
      </c>
      <c r="D16" s="63">
        <f t="shared" si="0"/>
        <v>2021</v>
      </c>
      <c r="E16" s="663">
        <f t="shared" si="1"/>
        <v>11</v>
      </c>
      <c r="F16" s="663">
        <f t="shared" si="2"/>
        <v>1</v>
      </c>
      <c r="G16" s="81">
        <v>0.36749999999999999</v>
      </c>
      <c r="H16" s="664">
        <f t="shared" si="3"/>
        <v>8</v>
      </c>
      <c r="I16" s="665">
        <f t="shared" si="4"/>
        <v>49</v>
      </c>
      <c r="J16" s="666">
        <f t="shared" si="5"/>
        <v>12</v>
      </c>
    </row>
    <row r="17" spans="2:10" ht="22.5" customHeight="1">
      <c r="B17" s="79" t="s">
        <v>508</v>
      </c>
      <c r="C17" s="80">
        <v>44502</v>
      </c>
      <c r="D17" s="63">
        <f t="shared" si="0"/>
        <v>2021</v>
      </c>
      <c r="E17" s="663">
        <f t="shared" si="1"/>
        <v>11</v>
      </c>
      <c r="F17" s="663">
        <f t="shared" si="2"/>
        <v>2</v>
      </c>
      <c r="G17" s="81">
        <v>0.36954861111111109</v>
      </c>
      <c r="H17" s="664">
        <f t="shared" si="3"/>
        <v>8</v>
      </c>
      <c r="I17" s="665">
        <f t="shared" si="4"/>
        <v>52</v>
      </c>
      <c r="J17" s="666">
        <f t="shared" si="5"/>
        <v>9</v>
      </c>
    </row>
    <row r="18" spans="2:10" ht="22.5" customHeight="1">
      <c r="B18" s="79" t="s">
        <v>509</v>
      </c>
      <c r="C18" s="80">
        <v>44503</v>
      </c>
      <c r="D18" s="63">
        <f t="shared" si="0"/>
        <v>2021</v>
      </c>
      <c r="E18" s="663">
        <f t="shared" si="1"/>
        <v>11</v>
      </c>
      <c r="F18" s="663">
        <f t="shared" si="2"/>
        <v>3</v>
      </c>
      <c r="G18" s="81">
        <v>0.49478009259259265</v>
      </c>
      <c r="H18" s="664">
        <f t="shared" si="3"/>
        <v>11</v>
      </c>
      <c r="I18" s="665">
        <f t="shared" si="4"/>
        <v>52</v>
      </c>
      <c r="J18" s="666">
        <f t="shared" si="5"/>
        <v>29</v>
      </c>
    </row>
    <row r="19" spans="2:10" ht="22.5" customHeight="1">
      <c r="B19" s="79" t="s">
        <v>510</v>
      </c>
      <c r="C19" s="80">
        <v>44504</v>
      </c>
      <c r="D19" s="63">
        <f t="shared" si="0"/>
        <v>2021</v>
      </c>
      <c r="E19" s="663">
        <f t="shared" si="1"/>
        <v>11</v>
      </c>
      <c r="F19" s="663">
        <f t="shared" si="2"/>
        <v>4</v>
      </c>
      <c r="G19" s="81">
        <v>0.70548611111111104</v>
      </c>
      <c r="H19" s="664">
        <f t="shared" si="3"/>
        <v>16</v>
      </c>
      <c r="I19" s="665">
        <f t="shared" si="4"/>
        <v>55</v>
      </c>
      <c r="J19" s="666">
        <f t="shared" si="5"/>
        <v>54</v>
      </c>
    </row>
  </sheetData>
  <mergeCells count="2">
    <mergeCell ref="B1:J1"/>
    <mergeCell ref="E3:F3"/>
  </mergeCells>
  <phoneticPr fontId="8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J6" sqref="J6"/>
    </sheetView>
  </sheetViews>
  <sheetFormatPr defaultColWidth="9" defaultRowHeight="17.399999999999999"/>
  <cols>
    <col min="1" max="1" width="9" style="323"/>
    <col min="2" max="3" width="11.09765625" style="323" bestFit="1" customWidth="1"/>
    <col min="4" max="4" width="15.8984375" style="323" bestFit="1" customWidth="1"/>
    <col min="5" max="7" width="12.3984375" style="323" customWidth="1"/>
    <col min="8" max="8" width="12.69921875" style="323" bestFit="1" customWidth="1"/>
    <col min="9" max="9" width="14.69921875" style="323" bestFit="1" customWidth="1"/>
    <col min="10" max="10" width="20.3984375" style="323" bestFit="1" customWidth="1"/>
    <col min="11" max="16384" width="9" style="323"/>
  </cols>
  <sheetData>
    <row r="2" spans="1:10" ht="21" customHeight="1">
      <c r="I2" s="509" t="s">
        <v>1705</v>
      </c>
      <c r="J2" s="667">
        <f ca="1">TODAY()</f>
        <v>44726</v>
      </c>
    </row>
    <row r="3" spans="1:10" ht="21" customHeight="1">
      <c r="I3" s="509" t="s">
        <v>1704</v>
      </c>
      <c r="J3" s="668">
        <f ca="1">NOW()</f>
        <v>44726.674683101854</v>
      </c>
    </row>
    <row r="5" spans="1:10" ht="20.25" customHeight="1">
      <c r="A5" s="508" t="s">
        <v>1703</v>
      </c>
      <c r="B5" s="508" t="s">
        <v>1698</v>
      </c>
      <c r="C5" s="508" t="s">
        <v>1702</v>
      </c>
      <c r="D5" s="508" t="s">
        <v>1701</v>
      </c>
      <c r="E5" s="508" t="s">
        <v>1700</v>
      </c>
      <c r="F5" s="508" t="s">
        <v>1699</v>
      </c>
      <c r="G5" s="508" t="s">
        <v>1698</v>
      </c>
      <c r="H5" s="508" t="s">
        <v>1697</v>
      </c>
      <c r="I5" s="508" t="s">
        <v>1696</v>
      </c>
      <c r="J5" s="508" t="s">
        <v>1695</v>
      </c>
    </row>
    <row r="6" spans="1:10" ht="20.25" customHeight="1">
      <c r="A6" s="506" t="s">
        <v>1694</v>
      </c>
      <c r="B6" s="507">
        <v>36728</v>
      </c>
      <c r="C6" s="507">
        <v>44447</v>
      </c>
      <c r="D6" s="506" t="s">
        <v>1693</v>
      </c>
      <c r="E6" s="505"/>
      <c r="F6" s="506"/>
      <c r="G6" s="506"/>
      <c r="H6" s="505"/>
      <c r="I6" s="505"/>
      <c r="J6" s="505" t="str">
        <f ca="1">DATEDIF(B6,$J$2,"y")&amp;"년 " &amp; DATEDIF(B6,$J$2,"ym")&amp;"개월"</f>
        <v>21년 10개월</v>
      </c>
    </row>
    <row r="7" spans="1:10" ht="20.25" customHeight="1">
      <c r="A7" s="506" t="s">
        <v>1692</v>
      </c>
      <c r="B7" s="507">
        <v>37616</v>
      </c>
      <c r="C7" s="507">
        <v>43020</v>
      </c>
      <c r="D7" s="506" t="s">
        <v>1712</v>
      </c>
      <c r="E7" s="505"/>
      <c r="F7" s="506"/>
      <c r="G7" s="506"/>
      <c r="H7" s="505"/>
      <c r="I7" s="505"/>
      <c r="J7" s="505" t="str">
        <f t="shared" ref="J7:J9" ca="1" si="0">DATEDIF(B7,$J$2,"y")&amp;"년 " &amp; DATEDIF(B7,$J$2,"ym")&amp;"개월"</f>
        <v>19년 5개월</v>
      </c>
    </row>
    <row r="8" spans="1:10" ht="20.25" customHeight="1">
      <c r="A8" s="506" t="s">
        <v>1691</v>
      </c>
      <c r="B8" s="507">
        <v>38320</v>
      </c>
      <c r="C8" s="507">
        <v>44185</v>
      </c>
      <c r="D8" s="506" t="s">
        <v>1690</v>
      </c>
      <c r="E8" s="505"/>
      <c r="F8" s="506"/>
      <c r="G8" s="506"/>
      <c r="H8" s="505"/>
      <c r="I8" s="505"/>
      <c r="J8" s="505" t="str">
        <f t="shared" ca="1" si="0"/>
        <v>17년 6개월</v>
      </c>
    </row>
    <row r="9" spans="1:10" ht="20.25" customHeight="1">
      <c r="A9" s="506" t="s">
        <v>1689</v>
      </c>
      <c r="B9" s="507">
        <v>38852</v>
      </c>
      <c r="C9" s="507">
        <v>43770</v>
      </c>
      <c r="D9" s="506" t="s">
        <v>1688</v>
      </c>
      <c r="E9" s="505"/>
      <c r="F9" s="506"/>
      <c r="G9" s="506"/>
      <c r="H9" s="505"/>
      <c r="I9" s="505"/>
      <c r="J9" s="505" t="str">
        <f t="shared" ca="1" si="0"/>
        <v>16년 0개월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A4" workbookViewId="0">
      <selection activeCell="O12" sqref="O12"/>
    </sheetView>
  </sheetViews>
  <sheetFormatPr defaultColWidth="8.8984375" defaultRowHeight="17.399999999999999"/>
  <cols>
    <col min="1" max="2" width="8.8984375" style="59"/>
    <col min="3" max="3" width="10.3984375" style="59" customWidth="1"/>
    <col min="4" max="6" width="12" style="59" customWidth="1"/>
    <col min="7" max="16384" width="8.8984375" style="59"/>
  </cols>
  <sheetData>
    <row r="2" spans="2:6" ht="33.75" customHeight="1">
      <c r="B2" s="638" t="s">
        <v>511</v>
      </c>
      <c r="C2" s="638"/>
      <c r="D2" s="638"/>
      <c r="E2" s="638"/>
      <c r="F2" s="638"/>
    </row>
    <row r="3" spans="2:6" ht="7.5" customHeight="1">
      <c r="B3" s="83"/>
      <c r="C3" s="83"/>
      <c r="D3" s="83"/>
      <c r="E3" s="83"/>
      <c r="F3" s="83"/>
    </row>
    <row r="4" spans="2:6" ht="26.25" customHeight="1">
      <c r="B4" s="84"/>
      <c r="C4" s="84"/>
      <c r="D4" s="84"/>
      <c r="E4" s="85" t="s">
        <v>512</v>
      </c>
      <c r="F4" s="240">
        <f ca="1">TODAY()</f>
        <v>44726</v>
      </c>
    </row>
    <row r="5" spans="2:6" ht="6.75" customHeight="1">
      <c r="B5" s="86"/>
      <c r="C5" s="86"/>
      <c r="D5" s="86"/>
      <c r="E5" s="86"/>
      <c r="F5" s="86"/>
    </row>
    <row r="6" spans="2:6" ht="24.75" customHeight="1">
      <c r="B6" s="238" t="s">
        <v>513</v>
      </c>
      <c r="C6" s="238" t="s">
        <v>514</v>
      </c>
      <c r="D6" s="238" t="s">
        <v>515</v>
      </c>
      <c r="E6" s="238" t="s">
        <v>516</v>
      </c>
      <c r="F6" s="238" t="s">
        <v>517</v>
      </c>
    </row>
    <row r="7" spans="2:6" ht="24.75" customHeight="1">
      <c r="B7" s="87" t="s">
        <v>518</v>
      </c>
      <c r="C7" s="88">
        <v>37352</v>
      </c>
      <c r="D7" s="239" t="str">
        <f ca="1">DATEDIF(C7,$F$4,"y")&amp;"년"</f>
        <v>20년</v>
      </c>
      <c r="E7" s="239" t="str">
        <f ca="1">DATEDIF(C7,$F$4,"ym")&amp;"개월"</f>
        <v>2개월</v>
      </c>
      <c r="F7" s="239" t="str">
        <f ca="1">DATEDIF(C7,$F$4,"md")&amp;"일"</f>
        <v>8일</v>
      </c>
    </row>
    <row r="8" spans="2:6" ht="24.75" customHeight="1">
      <c r="B8" s="87" t="s">
        <v>519</v>
      </c>
      <c r="C8" s="88">
        <v>35041</v>
      </c>
      <c r="D8" s="239" t="str">
        <f t="shared" ref="D8:D17" ca="1" si="0">DATEDIF(C8,$F$4,"y")&amp;"년"</f>
        <v>26년</v>
      </c>
      <c r="E8" s="239" t="str">
        <f t="shared" ref="E8:E17" ca="1" si="1">DATEDIF(C8,$F$4,"ym")&amp;"개월"</f>
        <v>6개월</v>
      </c>
      <c r="F8" s="239" t="str">
        <f t="shared" ref="F8:F17" ca="1" si="2">DATEDIF(C8,$F$4,"md")&amp;"일"</f>
        <v>6일</v>
      </c>
    </row>
    <row r="9" spans="2:6" ht="24.75" customHeight="1">
      <c r="B9" s="87" t="s">
        <v>520</v>
      </c>
      <c r="C9" s="88">
        <v>44006</v>
      </c>
      <c r="D9" s="239" t="str">
        <f t="shared" ca="1" si="0"/>
        <v>1년</v>
      </c>
      <c r="E9" s="239" t="str">
        <f t="shared" ca="1" si="1"/>
        <v>11개월</v>
      </c>
      <c r="F9" s="239" t="str">
        <f t="shared" ca="1" si="2"/>
        <v>21일</v>
      </c>
    </row>
    <row r="10" spans="2:6" ht="24.75" customHeight="1">
      <c r="B10" s="87" t="s">
        <v>521</v>
      </c>
      <c r="C10" s="88">
        <v>43300</v>
      </c>
      <c r="D10" s="239" t="str">
        <f t="shared" ca="1" si="0"/>
        <v>3년</v>
      </c>
      <c r="E10" s="239" t="str">
        <f t="shared" ca="1" si="1"/>
        <v>10개월</v>
      </c>
      <c r="F10" s="239" t="str">
        <f t="shared" ca="1" si="2"/>
        <v>26일</v>
      </c>
    </row>
    <row r="11" spans="2:6" ht="24.75" customHeight="1">
      <c r="B11" s="87" t="s">
        <v>522</v>
      </c>
      <c r="C11" s="88">
        <v>35556</v>
      </c>
      <c r="D11" s="239" t="str">
        <f t="shared" ca="1" si="0"/>
        <v>25년</v>
      </c>
      <c r="E11" s="239" t="str">
        <f t="shared" ca="1" si="1"/>
        <v>1개월</v>
      </c>
      <c r="F11" s="239" t="str">
        <f t="shared" ca="1" si="2"/>
        <v>8일</v>
      </c>
    </row>
    <row r="12" spans="2:6" ht="24.75" customHeight="1">
      <c r="B12" s="87" t="s">
        <v>523</v>
      </c>
      <c r="C12" s="88">
        <v>34400</v>
      </c>
      <c r="D12" s="239" t="str">
        <f t="shared" ca="1" si="0"/>
        <v>28년</v>
      </c>
      <c r="E12" s="239" t="str">
        <f t="shared" ca="1" si="1"/>
        <v>3개월</v>
      </c>
      <c r="F12" s="239" t="str">
        <f t="shared" ca="1" si="2"/>
        <v>7일</v>
      </c>
    </row>
    <row r="13" spans="2:6" ht="24.75" customHeight="1">
      <c r="B13" s="87" t="s">
        <v>524</v>
      </c>
      <c r="C13" s="88">
        <v>36284</v>
      </c>
      <c r="D13" s="239" t="str">
        <f t="shared" ca="1" si="0"/>
        <v>23년</v>
      </c>
      <c r="E13" s="239" t="str">
        <f t="shared" ca="1" si="1"/>
        <v>1개월</v>
      </c>
      <c r="F13" s="239" t="str">
        <f t="shared" ca="1" si="2"/>
        <v>10일</v>
      </c>
    </row>
    <row r="14" spans="2:6" ht="24.75" customHeight="1">
      <c r="B14" s="87" t="s">
        <v>525</v>
      </c>
      <c r="C14" s="88">
        <v>41723</v>
      </c>
      <c r="D14" s="239" t="str">
        <f t="shared" ca="1" si="0"/>
        <v>8년</v>
      </c>
      <c r="E14" s="239" t="str">
        <f t="shared" ca="1" si="1"/>
        <v>2개월</v>
      </c>
      <c r="F14" s="239" t="str">
        <f t="shared" ca="1" si="2"/>
        <v>20일</v>
      </c>
    </row>
    <row r="15" spans="2:6" ht="24.75" customHeight="1">
      <c r="B15" s="87" t="s">
        <v>526</v>
      </c>
      <c r="C15" s="88">
        <v>35343</v>
      </c>
      <c r="D15" s="239" t="str">
        <f t="shared" ca="1" si="0"/>
        <v>25년</v>
      </c>
      <c r="E15" s="239" t="str">
        <f t="shared" ca="1" si="1"/>
        <v>8개월</v>
      </c>
      <c r="F15" s="239" t="str">
        <f t="shared" ca="1" si="2"/>
        <v>9일</v>
      </c>
    </row>
    <row r="16" spans="2:6" ht="24.75" customHeight="1">
      <c r="B16" s="87" t="s">
        <v>527</v>
      </c>
      <c r="C16" s="88">
        <v>35593</v>
      </c>
      <c r="D16" s="239" t="str">
        <f t="shared" ca="1" si="0"/>
        <v>25년</v>
      </c>
      <c r="E16" s="239" t="str">
        <f t="shared" ca="1" si="1"/>
        <v>0개월</v>
      </c>
      <c r="F16" s="239" t="str">
        <f t="shared" ca="1" si="2"/>
        <v>2일</v>
      </c>
    </row>
    <row r="17" spans="2:6" ht="24.75" customHeight="1">
      <c r="B17" s="87" t="s">
        <v>528</v>
      </c>
      <c r="C17" s="88">
        <v>37717</v>
      </c>
      <c r="D17" s="239" t="str">
        <f t="shared" ca="1" si="0"/>
        <v>19년</v>
      </c>
      <c r="E17" s="239" t="str">
        <f t="shared" ca="1" si="1"/>
        <v>2개월</v>
      </c>
      <c r="F17" s="239" t="str">
        <f t="shared" ca="1" si="2"/>
        <v>8일</v>
      </c>
    </row>
  </sheetData>
  <mergeCells count="1">
    <mergeCell ref="B2:F2"/>
  </mergeCells>
  <phoneticPr fontId="8" type="noConversion"/>
  <conditionalFormatting sqref="B7:F17">
    <cfRule type="expression" dxfId="1" priority="2">
      <formula>MONTH($C7)=5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4" sqref="B4:G17"/>
    </sheetView>
  </sheetViews>
  <sheetFormatPr defaultColWidth="8.8984375" defaultRowHeight="17.399999999999999"/>
  <cols>
    <col min="1" max="1" width="2.296875" style="92" customWidth="1"/>
    <col min="2" max="2" width="18.296875" style="92" customWidth="1"/>
    <col min="3" max="3" width="9.3984375" style="92" bestFit="1" customWidth="1"/>
    <col min="4" max="4" width="12.69921875" style="92" customWidth="1"/>
    <col min="5" max="5" width="11" style="92" bestFit="1" customWidth="1"/>
    <col min="6" max="6" width="9.3984375" style="92" bestFit="1" customWidth="1"/>
    <col min="7" max="7" width="12" style="92" bestFit="1" customWidth="1"/>
    <col min="8" max="8" width="1.796875" style="92" customWidth="1"/>
    <col min="9" max="16384" width="8.8984375" style="92"/>
  </cols>
  <sheetData>
    <row r="1" spans="2:8" ht="25.2">
      <c r="B1" s="89" t="s">
        <v>529</v>
      </c>
      <c r="C1" s="90"/>
      <c r="D1" s="90"/>
      <c r="E1" s="90"/>
      <c r="F1" s="90"/>
      <c r="G1" s="91"/>
    </row>
    <row r="2" spans="2:8" ht="9.9" customHeight="1">
      <c r="B2" s="93"/>
      <c r="C2" s="93"/>
      <c r="D2" s="94"/>
      <c r="E2" s="94"/>
      <c r="F2" s="94"/>
    </row>
    <row r="3" spans="2:8" ht="29.25" customHeight="1">
      <c r="B3" s="241" t="s">
        <v>489</v>
      </c>
      <c r="C3" s="241" t="s">
        <v>488</v>
      </c>
      <c r="D3" s="241" t="s">
        <v>530</v>
      </c>
      <c r="E3" s="241" t="s">
        <v>531</v>
      </c>
      <c r="F3" s="241" t="s">
        <v>1707</v>
      </c>
      <c r="G3" s="241" t="s">
        <v>532</v>
      </c>
    </row>
    <row r="4" spans="2:8" ht="22.5" customHeight="1">
      <c r="B4" s="510">
        <v>44491</v>
      </c>
      <c r="C4" s="95" t="s">
        <v>497</v>
      </c>
      <c r="D4" s="96">
        <v>0.41319444444444442</v>
      </c>
      <c r="E4" s="97">
        <v>39666.666666666664</v>
      </c>
      <c r="F4" s="669">
        <f>WEEKDAY(B4)</f>
        <v>6</v>
      </c>
      <c r="G4" s="98">
        <f t="shared" ref="G4:G17" si="0">E4+F4</f>
        <v>39672.666666666664</v>
      </c>
      <c r="H4" s="99"/>
    </row>
    <row r="5" spans="2:8" ht="22.5" customHeight="1">
      <c r="B5" s="510">
        <v>44492</v>
      </c>
      <c r="C5" s="95" t="s">
        <v>498</v>
      </c>
      <c r="D5" s="96">
        <v>0.42222222222222233</v>
      </c>
      <c r="E5" s="97">
        <v>40533.333333333336</v>
      </c>
      <c r="F5" s="669">
        <f t="shared" ref="F5:F17" si="1">WEEKDAY(B5)</f>
        <v>7</v>
      </c>
      <c r="G5" s="98">
        <f t="shared" si="0"/>
        <v>40540.333333333336</v>
      </c>
    </row>
    <row r="6" spans="2:8" ht="22.5" customHeight="1">
      <c r="B6" s="510">
        <v>44493</v>
      </c>
      <c r="C6" s="95" t="s">
        <v>499</v>
      </c>
      <c r="D6" s="96">
        <v>0.42430555555555566</v>
      </c>
      <c r="E6" s="97">
        <v>40733.333333333336</v>
      </c>
      <c r="F6" s="669">
        <f t="shared" si="1"/>
        <v>1</v>
      </c>
      <c r="G6" s="98">
        <f t="shared" si="0"/>
        <v>40734.333333333336</v>
      </c>
    </row>
    <row r="7" spans="2:8" ht="22.5" customHeight="1">
      <c r="B7" s="510">
        <v>44494</v>
      </c>
      <c r="C7" s="95" t="s">
        <v>500</v>
      </c>
      <c r="D7" s="96">
        <v>0.4166666666666668</v>
      </c>
      <c r="E7" s="97">
        <v>40000</v>
      </c>
      <c r="F7" s="669">
        <f t="shared" si="1"/>
        <v>2</v>
      </c>
      <c r="G7" s="98">
        <f t="shared" si="0"/>
        <v>40002</v>
      </c>
    </row>
    <row r="8" spans="2:8" ht="22.5" customHeight="1">
      <c r="B8" s="510">
        <v>44495</v>
      </c>
      <c r="C8" s="95" t="s">
        <v>501</v>
      </c>
      <c r="D8" s="96">
        <v>0.38541666666666669</v>
      </c>
      <c r="E8" s="97">
        <v>37000</v>
      </c>
      <c r="F8" s="669">
        <f t="shared" si="1"/>
        <v>3</v>
      </c>
      <c r="G8" s="98">
        <f t="shared" si="0"/>
        <v>37003</v>
      </c>
    </row>
    <row r="9" spans="2:8" ht="22.5" customHeight="1">
      <c r="B9" s="510">
        <v>44496</v>
      </c>
      <c r="C9" s="95" t="s">
        <v>502</v>
      </c>
      <c r="D9" s="96">
        <v>0.3569444444444444</v>
      </c>
      <c r="E9" s="97">
        <v>34266.666666666664</v>
      </c>
      <c r="F9" s="669">
        <f t="shared" si="1"/>
        <v>4</v>
      </c>
      <c r="G9" s="98">
        <f t="shared" si="0"/>
        <v>34270.666666666664</v>
      </c>
    </row>
    <row r="10" spans="2:8" ht="22.5" customHeight="1">
      <c r="B10" s="510">
        <v>44497</v>
      </c>
      <c r="C10" s="95" t="s">
        <v>503</v>
      </c>
      <c r="D10" s="96">
        <v>0.28125</v>
      </c>
      <c r="E10" s="97">
        <v>27000</v>
      </c>
      <c r="F10" s="669">
        <f t="shared" si="1"/>
        <v>5</v>
      </c>
      <c r="G10" s="98">
        <f t="shared" si="0"/>
        <v>27005</v>
      </c>
    </row>
    <row r="11" spans="2:8" ht="22.5" customHeight="1">
      <c r="B11" s="510">
        <v>44498</v>
      </c>
      <c r="C11" s="95" t="s">
        <v>504</v>
      </c>
      <c r="D11" s="96">
        <v>0.41388888888888903</v>
      </c>
      <c r="E11" s="97">
        <v>39733.333333333336</v>
      </c>
      <c r="F11" s="669">
        <f t="shared" si="1"/>
        <v>6</v>
      </c>
      <c r="G11" s="98">
        <f t="shared" si="0"/>
        <v>39739.333333333336</v>
      </c>
    </row>
    <row r="12" spans="2:8" ht="22.5" customHeight="1">
      <c r="B12" s="510">
        <v>44499</v>
      </c>
      <c r="C12" s="95" t="s">
        <v>505</v>
      </c>
      <c r="D12" s="96">
        <v>0.41180555555555559</v>
      </c>
      <c r="E12" s="97">
        <v>39533.333333333336</v>
      </c>
      <c r="F12" s="669">
        <f t="shared" si="1"/>
        <v>7</v>
      </c>
      <c r="G12" s="98">
        <f t="shared" si="0"/>
        <v>39540.333333333336</v>
      </c>
    </row>
    <row r="13" spans="2:8" ht="22.5" customHeight="1">
      <c r="B13" s="510">
        <v>44500</v>
      </c>
      <c r="C13" s="95" t="s">
        <v>506</v>
      </c>
      <c r="D13" s="96">
        <v>0.4236111111111111</v>
      </c>
      <c r="E13" s="97">
        <v>40666.666666666664</v>
      </c>
      <c r="F13" s="669">
        <f t="shared" si="1"/>
        <v>1</v>
      </c>
      <c r="G13" s="98">
        <f t="shared" si="0"/>
        <v>40667.666666666664</v>
      </c>
    </row>
    <row r="14" spans="2:8" ht="22.5" customHeight="1">
      <c r="B14" s="510">
        <v>44501</v>
      </c>
      <c r="C14" s="95" t="s">
        <v>507</v>
      </c>
      <c r="D14" s="96">
        <v>0.41944444444444445</v>
      </c>
      <c r="E14" s="97">
        <v>40266.666666666664</v>
      </c>
      <c r="F14" s="669">
        <f t="shared" si="1"/>
        <v>2</v>
      </c>
      <c r="G14" s="98">
        <f t="shared" si="0"/>
        <v>40268.666666666664</v>
      </c>
    </row>
    <row r="15" spans="2:8" ht="22.5" customHeight="1">
      <c r="B15" s="510">
        <v>44502</v>
      </c>
      <c r="C15" s="95" t="s">
        <v>508</v>
      </c>
      <c r="D15" s="96">
        <v>0.37986111111111109</v>
      </c>
      <c r="E15" s="97">
        <v>36466.666666666664</v>
      </c>
      <c r="F15" s="669">
        <f t="shared" si="1"/>
        <v>3</v>
      </c>
      <c r="G15" s="98">
        <f t="shared" si="0"/>
        <v>36469.666666666664</v>
      </c>
    </row>
    <row r="16" spans="2:8" ht="22.5" customHeight="1">
      <c r="B16" s="510">
        <v>44503</v>
      </c>
      <c r="C16" s="95" t="s">
        <v>509</v>
      </c>
      <c r="D16" s="96">
        <v>0.33888888888888891</v>
      </c>
      <c r="E16" s="97">
        <v>32533.333333333332</v>
      </c>
      <c r="F16" s="669">
        <f t="shared" si="1"/>
        <v>4</v>
      </c>
      <c r="G16" s="98">
        <f t="shared" si="0"/>
        <v>32537.333333333332</v>
      </c>
    </row>
    <row r="17" spans="2:7" ht="22.5" customHeight="1">
      <c r="B17" s="510">
        <v>44504</v>
      </c>
      <c r="C17" s="95" t="s">
        <v>510</v>
      </c>
      <c r="D17" s="96">
        <v>0.24305555555555547</v>
      </c>
      <c r="E17" s="97">
        <v>23333.333333333332</v>
      </c>
      <c r="F17" s="669">
        <f t="shared" si="1"/>
        <v>5</v>
      </c>
      <c r="G17" s="98">
        <f t="shared" si="0"/>
        <v>23338.333333333332</v>
      </c>
    </row>
  </sheetData>
  <phoneticPr fontId="8" type="noConversion"/>
  <conditionalFormatting sqref="B4:G17">
    <cfRule type="expression" dxfId="0" priority="1">
      <formula>OR(WEEKDAY($F4)=1,WEEKDAY($F4)=7)</formula>
    </cfRule>
  </conditionalFormatting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A4" zoomScale="130" zoomScaleNormal="130" workbookViewId="0">
      <selection activeCell="A11" sqref="A11:XFD11"/>
    </sheetView>
  </sheetViews>
  <sheetFormatPr defaultColWidth="8.8984375" defaultRowHeight="17.399999999999999"/>
  <cols>
    <col min="1" max="1" width="1.796875" style="100" customWidth="1"/>
    <col min="2" max="2" width="4.09765625" style="100" customWidth="1"/>
    <col min="3" max="3" width="14" style="100" customWidth="1"/>
    <col min="4" max="4" width="13.3984375" style="100" customWidth="1"/>
    <col min="5" max="5" width="24.296875" style="100" customWidth="1"/>
    <col min="6" max="6" width="18.8984375" style="100" hidden="1" customWidth="1"/>
    <col min="7" max="7" width="4.3984375" style="100" customWidth="1"/>
    <col min="8" max="8" width="2" style="100" customWidth="1"/>
    <col min="9" max="16384" width="8.8984375" style="100"/>
  </cols>
  <sheetData>
    <row r="1" spans="2:6" ht="8.25" customHeight="1"/>
    <row r="2" spans="2:6">
      <c r="B2" s="245" t="s">
        <v>533</v>
      </c>
      <c r="C2" s="243"/>
      <c r="D2" s="244">
        <v>3</v>
      </c>
    </row>
    <row r="3" spans="2:6" ht="9" customHeight="1"/>
    <row r="4" spans="2:6" ht="24.75" customHeight="1">
      <c r="B4" s="639" t="s">
        <v>534</v>
      </c>
      <c r="C4" s="641" t="s">
        <v>535</v>
      </c>
      <c r="D4" s="643" t="s">
        <v>536</v>
      </c>
      <c r="E4" s="242" t="s">
        <v>1706</v>
      </c>
      <c r="F4" s="101" t="s">
        <v>537</v>
      </c>
    </row>
    <row r="5" spans="2:6" ht="24.75" customHeight="1">
      <c r="B5" s="640"/>
      <c r="C5" s="642"/>
      <c r="D5" s="644"/>
      <c r="E5" s="242" t="s">
        <v>538</v>
      </c>
      <c r="F5" s="101" t="s">
        <v>539</v>
      </c>
    </row>
    <row r="6" spans="2:6" ht="21.75" customHeight="1">
      <c r="B6" s="102">
        <v>1</v>
      </c>
      <c r="C6" s="103">
        <v>44202</v>
      </c>
      <c r="D6" s="104">
        <f t="shared" ref="D6:D15" si="0">C6+$D$2</f>
        <v>44205</v>
      </c>
      <c r="E6" s="105">
        <f>WORKDAY(C6,3)</f>
        <v>44207</v>
      </c>
      <c r="F6" s="105"/>
    </row>
    <row r="7" spans="2:6" ht="21.75" customHeight="1">
      <c r="B7" s="102">
        <v>2</v>
      </c>
      <c r="C7" s="103">
        <v>44203</v>
      </c>
      <c r="D7" s="104">
        <f t="shared" si="0"/>
        <v>44206</v>
      </c>
      <c r="E7" s="105">
        <f t="shared" ref="E7:E15" si="1">WORKDAY(C7,3)</f>
        <v>44208</v>
      </c>
      <c r="F7" s="105"/>
    </row>
    <row r="8" spans="2:6" ht="21.75" customHeight="1">
      <c r="B8" s="102">
        <v>3</v>
      </c>
      <c r="C8" s="103">
        <v>44231</v>
      </c>
      <c r="D8" s="104">
        <f t="shared" si="0"/>
        <v>44234</v>
      </c>
      <c r="E8" s="105">
        <f t="shared" si="1"/>
        <v>44236</v>
      </c>
      <c r="F8" s="105"/>
    </row>
    <row r="9" spans="2:6" ht="21.75" customHeight="1">
      <c r="B9" s="102">
        <v>4</v>
      </c>
      <c r="C9" s="103">
        <v>44232</v>
      </c>
      <c r="D9" s="104">
        <f t="shared" si="0"/>
        <v>44235</v>
      </c>
      <c r="E9" s="105">
        <f t="shared" si="1"/>
        <v>44237</v>
      </c>
      <c r="F9" s="105"/>
    </row>
    <row r="10" spans="2:6" ht="21.75" customHeight="1">
      <c r="B10" s="102">
        <v>5</v>
      </c>
      <c r="C10" s="103">
        <v>44233</v>
      </c>
      <c r="D10" s="104">
        <f t="shared" si="0"/>
        <v>44236</v>
      </c>
      <c r="E10" s="105">
        <f t="shared" si="1"/>
        <v>44237</v>
      </c>
      <c r="F10" s="105"/>
    </row>
    <row r="11" spans="2:6" ht="21.75" customHeight="1">
      <c r="B11" s="102">
        <v>6</v>
      </c>
      <c r="C11" s="103">
        <v>44236</v>
      </c>
      <c r="D11" s="104">
        <f t="shared" si="0"/>
        <v>44239</v>
      </c>
      <c r="E11" s="105">
        <f t="shared" si="1"/>
        <v>44239</v>
      </c>
      <c r="F11" s="105"/>
    </row>
    <row r="12" spans="2:6" ht="21.75" customHeight="1">
      <c r="B12" s="102">
        <v>7</v>
      </c>
      <c r="C12" s="103">
        <v>44238</v>
      </c>
      <c r="D12" s="104">
        <f t="shared" si="0"/>
        <v>44241</v>
      </c>
      <c r="E12" s="105">
        <f t="shared" si="1"/>
        <v>44243</v>
      </c>
      <c r="F12" s="105"/>
    </row>
    <row r="13" spans="2:6" ht="21.75" customHeight="1">
      <c r="B13" s="102">
        <v>8</v>
      </c>
      <c r="C13" s="103">
        <v>44242</v>
      </c>
      <c r="D13" s="104">
        <f t="shared" si="0"/>
        <v>44245</v>
      </c>
      <c r="E13" s="105">
        <f t="shared" si="1"/>
        <v>44245</v>
      </c>
      <c r="F13" s="105"/>
    </row>
    <row r="14" spans="2:6" ht="21.75" customHeight="1">
      <c r="B14" s="102">
        <v>9</v>
      </c>
      <c r="C14" s="103">
        <v>44244</v>
      </c>
      <c r="D14" s="104">
        <f t="shared" si="0"/>
        <v>44247</v>
      </c>
      <c r="E14" s="105">
        <f t="shared" si="1"/>
        <v>44249</v>
      </c>
      <c r="F14" s="105"/>
    </row>
    <row r="15" spans="2:6" ht="21.75" customHeight="1">
      <c r="B15" s="102">
        <v>10</v>
      </c>
      <c r="C15" s="103">
        <v>44245</v>
      </c>
      <c r="D15" s="104">
        <f t="shared" si="0"/>
        <v>44248</v>
      </c>
      <c r="E15" s="105">
        <f t="shared" si="1"/>
        <v>44250</v>
      </c>
      <c r="F15" s="105"/>
    </row>
    <row r="16" spans="2:6" ht="10.5" customHeight="1"/>
    <row r="17" spans="4:5" ht="21.75" customHeight="1">
      <c r="D17" s="106"/>
      <c r="E17" s="107"/>
    </row>
    <row r="18" spans="4:5" ht="21.75" customHeight="1">
      <c r="E18" s="108"/>
    </row>
    <row r="19" spans="4:5" ht="21.75" customHeight="1"/>
  </sheetData>
  <mergeCells count="3">
    <mergeCell ref="B4:B5"/>
    <mergeCell ref="C4:C5"/>
    <mergeCell ref="D4:D5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workbookViewId="0">
      <selection activeCell="C5" sqref="C5"/>
    </sheetView>
  </sheetViews>
  <sheetFormatPr defaultColWidth="8.8984375" defaultRowHeight="17.399999999999999"/>
  <cols>
    <col min="1" max="1" width="1.3984375" style="8" customWidth="1"/>
    <col min="2" max="2" width="11.19921875" style="167" customWidth="1"/>
    <col min="3" max="3" width="18.296875" style="167" customWidth="1"/>
    <col min="4" max="4" width="6.8984375" style="167" customWidth="1"/>
    <col min="5" max="7" width="11.19921875" style="167" customWidth="1"/>
    <col min="8" max="16384" width="8.8984375" style="8"/>
  </cols>
  <sheetData>
    <row r="2" spans="2:11" ht="18" thickBot="1">
      <c r="H2" s="168"/>
    </row>
    <row r="3" spans="2:11" ht="18" thickBot="1">
      <c r="B3" s="271" t="s">
        <v>969</v>
      </c>
      <c r="C3" s="272">
        <v>44108</v>
      </c>
      <c r="E3" s="281" t="s">
        <v>970</v>
      </c>
      <c r="F3" s="283" t="s">
        <v>971</v>
      </c>
      <c r="G3" s="282" t="s">
        <v>972</v>
      </c>
      <c r="H3" s="167"/>
      <c r="I3" s="294" t="s">
        <v>973</v>
      </c>
      <c r="J3" s="294" t="s">
        <v>974</v>
      </c>
      <c r="K3" s="294" t="s">
        <v>975</v>
      </c>
    </row>
    <row r="4" spans="2:11">
      <c r="B4" s="273" t="s">
        <v>974</v>
      </c>
      <c r="C4" s="274" t="s">
        <v>631</v>
      </c>
      <c r="E4" s="277"/>
      <c r="F4" s="284"/>
      <c r="G4" s="278"/>
      <c r="H4" s="167"/>
      <c r="I4" s="295" t="s">
        <v>976</v>
      </c>
      <c r="J4" s="295" t="s">
        <v>976</v>
      </c>
      <c r="K4" s="300" t="s">
        <v>977</v>
      </c>
    </row>
    <row r="5" spans="2:11">
      <c r="B5" s="273" t="s">
        <v>978</v>
      </c>
      <c r="C5" s="274"/>
      <c r="E5" s="277"/>
      <c r="F5" s="284"/>
      <c r="G5" s="278"/>
      <c r="H5" s="167"/>
      <c r="I5" s="296" t="s">
        <v>979</v>
      </c>
      <c r="J5" s="298" t="s">
        <v>980</v>
      </c>
      <c r="K5" s="296" t="s">
        <v>981</v>
      </c>
    </row>
    <row r="6" spans="2:11" ht="18" thickBot="1">
      <c r="B6" s="275" t="s">
        <v>982</v>
      </c>
      <c r="C6" s="276">
        <f>SUM(F9:F40)</f>
        <v>163400</v>
      </c>
      <c r="E6" s="279"/>
      <c r="F6" s="285"/>
      <c r="G6" s="280"/>
      <c r="H6" s="167"/>
      <c r="I6" s="296" t="s">
        <v>983</v>
      </c>
      <c r="J6" s="298" t="s">
        <v>980</v>
      </c>
      <c r="K6" s="296" t="s">
        <v>984</v>
      </c>
    </row>
    <row r="7" spans="2:11" ht="18" thickBot="1">
      <c r="H7" s="168"/>
      <c r="I7" s="297" t="s">
        <v>985</v>
      </c>
      <c r="J7" s="299" t="s">
        <v>986</v>
      </c>
      <c r="K7" s="297" t="s">
        <v>987</v>
      </c>
    </row>
    <row r="8" spans="2:11">
      <c r="B8" s="180" t="s">
        <v>988</v>
      </c>
      <c r="C8" s="181" t="s">
        <v>989</v>
      </c>
      <c r="D8" s="181" t="s">
        <v>990</v>
      </c>
      <c r="E8" s="181" t="s">
        <v>991</v>
      </c>
      <c r="F8" s="181" t="s">
        <v>992</v>
      </c>
      <c r="G8" s="182" t="s">
        <v>993</v>
      </c>
      <c r="H8" s="167"/>
      <c r="J8" s="301" t="s">
        <v>994</v>
      </c>
      <c r="K8" s="301" t="s">
        <v>995</v>
      </c>
    </row>
    <row r="9" spans="2:11">
      <c r="B9" s="183" t="s">
        <v>996</v>
      </c>
      <c r="C9" s="184" t="s">
        <v>997</v>
      </c>
      <c r="D9" s="286">
        <v>5</v>
      </c>
      <c r="E9" s="288">
        <v>900</v>
      </c>
      <c r="F9" s="288">
        <f t="shared" ref="F9:F16" si="0">D9*E9</f>
        <v>4500</v>
      </c>
      <c r="G9" s="185"/>
      <c r="H9" s="168"/>
      <c r="J9" s="296" t="s">
        <v>994</v>
      </c>
      <c r="K9" s="296" t="s">
        <v>998</v>
      </c>
    </row>
    <row r="10" spans="2:11">
      <c r="B10" s="186" t="s">
        <v>996</v>
      </c>
      <c r="C10" s="187" t="s">
        <v>999</v>
      </c>
      <c r="D10" s="287">
        <v>12</v>
      </c>
      <c r="E10" s="289">
        <v>850</v>
      </c>
      <c r="F10" s="289">
        <f t="shared" si="0"/>
        <v>10200</v>
      </c>
      <c r="G10" s="188"/>
      <c r="H10" s="168"/>
      <c r="J10" s="296" t="s">
        <v>994</v>
      </c>
      <c r="K10" s="296" t="s">
        <v>1000</v>
      </c>
    </row>
    <row r="11" spans="2:11">
      <c r="B11" s="183" t="s">
        <v>996</v>
      </c>
      <c r="C11" s="184" t="s">
        <v>1001</v>
      </c>
      <c r="D11" s="286">
        <v>6</v>
      </c>
      <c r="E11" s="288">
        <v>2500</v>
      </c>
      <c r="F11" s="288">
        <f t="shared" si="0"/>
        <v>15000</v>
      </c>
      <c r="G11" s="185"/>
      <c r="H11" s="168"/>
      <c r="J11" s="296" t="s">
        <v>994</v>
      </c>
      <c r="K11" s="296" t="s">
        <v>1002</v>
      </c>
    </row>
    <row r="12" spans="2:11">
      <c r="B12" s="186" t="s">
        <v>996</v>
      </c>
      <c r="C12" s="187" t="s">
        <v>1003</v>
      </c>
      <c r="D12" s="287">
        <v>4</v>
      </c>
      <c r="E12" s="289">
        <v>3300</v>
      </c>
      <c r="F12" s="289">
        <f t="shared" si="0"/>
        <v>13200</v>
      </c>
      <c r="G12" s="188"/>
      <c r="H12" s="168"/>
      <c r="J12" s="296" t="s">
        <v>994</v>
      </c>
      <c r="K12" s="296" t="s">
        <v>1004</v>
      </c>
    </row>
    <row r="13" spans="2:11" ht="18" thickBot="1">
      <c r="B13" s="183" t="s">
        <v>1005</v>
      </c>
      <c r="C13" s="184" t="s">
        <v>1006</v>
      </c>
      <c r="D13" s="286">
        <v>3</v>
      </c>
      <c r="E13" s="288">
        <v>16500</v>
      </c>
      <c r="F13" s="288">
        <f t="shared" si="0"/>
        <v>49500</v>
      </c>
      <c r="G13" s="185"/>
      <c r="H13" s="168"/>
      <c r="J13" s="297" t="s">
        <v>994</v>
      </c>
      <c r="K13" s="297" t="s">
        <v>1007</v>
      </c>
    </row>
    <row r="14" spans="2:11">
      <c r="B14" s="186" t="s">
        <v>1005</v>
      </c>
      <c r="C14" s="187" t="s">
        <v>1008</v>
      </c>
      <c r="D14" s="287">
        <v>1</v>
      </c>
      <c r="E14" s="289">
        <v>36000</v>
      </c>
      <c r="F14" s="289">
        <f t="shared" si="0"/>
        <v>36000</v>
      </c>
      <c r="G14" s="188"/>
      <c r="H14" s="168"/>
      <c r="J14" s="301" t="s">
        <v>1009</v>
      </c>
      <c r="K14" s="301" t="s">
        <v>1010</v>
      </c>
    </row>
    <row r="15" spans="2:11">
      <c r="B15" s="183" t="s">
        <v>1011</v>
      </c>
      <c r="C15" s="184" t="s">
        <v>1012</v>
      </c>
      <c r="D15" s="286">
        <v>10</v>
      </c>
      <c r="E15" s="288">
        <v>1500</v>
      </c>
      <c r="F15" s="288">
        <f t="shared" si="0"/>
        <v>15000</v>
      </c>
      <c r="G15" s="185"/>
      <c r="H15" s="168"/>
      <c r="J15" s="296" t="s">
        <v>1009</v>
      </c>
      <c r="K15" s="296" t="s">
        <v>1013</v>
      </c>
    </row>
    <row r="16" spans="2:11">
      <c r="B16" s="186" t="s">
        <v>1011</v>
      </c>
      <c r="C16" s="187" t="s">
        <v>1014</v>
      </c>
      <c r="D16" s="287">
        <v>50</v>
      </c>
      <c r="E16" s="289">
        <v>400</v>
      </c>
      <c r="F16" s="289">
        <f t="shared" si="0"/>
        <v>20000</v>
      </c>
      <c r="G16" s="188"/>
      <c r="H16" s="168"/>
      <c r="J16" s="296" t="s">
        <v>1009</v>
      </c>
      <c r="K16" s="296" t="s">
        <v>1015</v>
      </c>
    </row>
    <row r="17" spans="2:11" ht="18" thickBot="1">
      <c r="B17" s="183"/>
      <c r="C17" s="184"/>
      <c r="D17" s="184"/>
      <c r="E17" s="184"/>
      <c r="F17" s="184"/>
      <c r="G17" s="185"/>
      <c r="H17" s="168"/>
      <c r="J17" s="297" t="s">
        <v>1009</v>
      </c>
      <c r="K17" s="297" t="s">
        <v>1016</v>
      </c>
    </row>
    <row r="18" spans="2:11">
      <c r="B18" s="186"/>
      <c r="C18" s="187"/>
      <c r="D18" s="187"/>
      <c r="E18" s="187"/>
      <c r="F18" s="187"/>
      <c r="G18" s="188"/>
      <c r="H18" s="168"/>
      <c r="J18" s="301" t="s">
        <v>985</v>
      </c>
      <c r="K18" s="301" t="s">
        <v>1017</v>
      </c>
    </row>
    <row r="19" spans="2:11">
      <c r="B19" s="183"/>
      <c r="C19" s="184"/>
      <c r="D19" s="184"/>
      <c r="E19" s="184"/>
      <c r="F19" s="184"/>
      <c r="G19" s="185"/>
      <c r="H19" s="168"/>
      <c r="J19" s="296" t="s">
        <v>985</v>
      </c>
      <c r="K19" s="296" t="s">
        <v>1018</v>
      </c>
    </row>
    <row r="20" spans="2:11">
      <c r="B20" s="186"/>
      <c r="C20" s="187"/>
      <c r="D20" s="187"/>
      <c r="E20" s="187"/>
      <c r="F20" s="187"/>
      <c r="G20" s="188"/>
      <c r="H20" s="168"/>
      <c r="J20" s="296" t="s">
        <v>985</v>
      </c>
      <c r="K20" s="296" t="s">
        <v>1019</v>
      </c>
    </row>
    <row r="21" spans="2:11" ht="18" thickBot="1">
      <c r="B21" s="183"/>
      <c r="C21" s="184"/>
      <c r="D21" s="184"/>
      <c r="E21" s="184"/>
      <c r="F21" s="184"/>
      <c r="G21" s="185"/>
      <c r="J21" s="297" t="s">
        <v>985</v>
      </c>
      <c r="K21" s="297" t="s">
        <v>1020</v>
      </c>
    </row>
    <row r="22" spans="2:11">
      <c r="B22" s="186"/>
      <c r="C22" s="187"/>
      <c r="D22" s="187"/>
      <c r="E22" s="187"/>
      <c r="F22" s="187"/>
      <c r="G22" s="188"/>
    </row>
    <row r="23" spans="2:11">
      <c r="B23" s="183"/>
      <c r="C23" s="184"/>
      <c r="D23" s="184"/>
      <c r="E23" s="184"/>
      <c r="F23" s="184"/>
      <c r="G23" s="185"/>
    </row>
    <row r="24" spans="2:11">
      <c r="B24" s="186"/>
      <c r="C24" s="187"/>
      <c r="D24" s="187"/>
      <c r="E24" s="187"/>
      <c r="F24" s="187"/>
      <c r="G24" s="188"/>
    </row>
    <row r="25" spans="2:11">
      <c r="B25" s="183"/>
      <c r="C25" s="184"/>
      <c r="D25" s="184"/>
      <c r="E25" s="184"/>
      <c r="F25" s="184"/>
      <c r="G25" s="185"/>
    </row>
    <row r="26" spans="2:11">
      <c r="B26" s="186"/>
      <c r="C26" s="187"/>
      <c r="D26" s="187"/>
      <c r="E26" s="187"/>
      <c r="F26" s="187"/>
      <c r="G26" s="188"/>
    </row>
    <row r="27" spans="2:11">
      <c r="B27" s="183"/>
      <c r="C27" s="184"/>
      <c r="D27" s="184"/>
      <c r="E27" s="184"/>
      <c r="F27" s="184"/>
      <c r="G27" s="185"/>
    </row>
    <row r="28" spans="2:11">
      <c r="B28" s="186"/>
      <c r="C28" s="187"/>
      <c r="D28" s="187"/>
      <c r="E28" s="187"/>
      <c r="F28" s="187"/>
      <c r="G28" s="188"/>
    </row>
    <row r="29" spans="2:11">
      <c r="B29" s="183"/>
      <c r="C29" s="184"/>
      <c r="D29" s="184"/>
      <c r="E29" s="184"/>
      <c r="F29" s="184"/>
      <c r="G29" s="185"/>
    </row>
    <row r="30" spans="2:11">
      <c r="B30" s="186"/>
      <c r="C30" s="187"/>
      <c r="D30" s="187"/>
      <c r="E30" s="187"/>
      <c r="F30" s="187"/>
      <c r="G30" s="188"/>
    </row>
    <row r="31" spans="2:11">
      <c r="B31" s="183"/>
      <c r="C31" s="184"/>
      <c r="D31" s="184"/>
      <c r="E31" s="184"/>
      <c r="F31" s="184"/>
      <c r="G31" s="185"/>
    </row>
    <row r="32" spans="2:11">
      <c r="B32" s="186"/>
      <c r="C32" s="187"/>
      <c r="D32" s="187"/>
      <c r="E32" s="187"/>
      <c r="F32" s="187"/>
      <c r="G32" s="188"/>
    </row>
    <row r="33" spans="2:7">
      <c r="B33" s="183"/>
      <c r="C33" s="184"/>
      <c r="D33" s="184"/>
      <c r="E33" s="184"/>
      <c r="F33" s="184"/>
      <c r="G33" s="185"/>
    </row>
    <row r="34" spans="2:7">
      <c r="B34" s="186"/>
      <c r="C34" s="187"/>
      <c r="D34" s="187"/>
      <c r="E34" s="187"/>
      <c r="F34" s="187"/>
      <c r="G34" s="188"/>
    </row>
    <row r="35" spans="2:7">
      <c r="B35" s="183"/>
      <c r="C35" s="184"/>
      <c r="D35" s="184"/>
      <c r="E35" s="184"/>
      <c r="F35" s="184"/>
      <c r="G35" s="185"/>
    </row>
    <row r="36" spans="2:7">
      <c r="B36" s="186"/>
      <c r="C36" s="187"/>
      <c r="D36" s="187"/>
      <c r="E36" s="187"/>
      <c r="F36" s="187"/>
      <c r="G36" s="188"/>
    </row>
    <row r="37" spans="2:7">
      <c r="B37" s="183"/>
      <c r="C37" s="184"/>
      <c r="D37" s="184"/>
      <c r="E37" s="184"/>
      <c r="F37" s="184"/>
      <c r="G37" s="185"/>
    </row>
    <row r="38" spans="2:7">
      <c r="B38" s="186"/>
      <c r="C38" s="187"/>
      <c r="D38" s="187"/>
      <c r="E38" s="187"/>
      <c r="F38" s="187"/>
      <c r="G38" s="188"/>
    </row>
    <row r="39" spans="2:7" ht="18" thickBot="1">
      <c r="B39" s="183"/>
      <c r="C39" s="184"/>
      <c r="D39" s="184"/>
      <c r="E39" s="184"/>
      <c r="F39" s="184"/>
      <c r="G39" s="185"/>
    </row>
    <row r="40" spans="2:7" ht="50.1" customHeight="1" thickBot="1">
      <c r="B40" s="290" t="s">
        <v>1021</v>
      </c>
      <c r="C40" s="291"/>
      <c r="D40" s="292"/>
      <c r="E40" s="292"/>
      <c r="F40" s="292"/>
      <c r="G40" s="293"/>
    </row>
  </sheetData>
  <phoneticPr fontId="8" type="noConversion"/>
  <dataValidations count="3">
    <dataValidation type="whole" operator="greaterThan" allowBlank="1" showInputMessage="1" showErrorMessage="1" sqref="D17:D20">
      <formula1>0</formula1>
    </dataValidation>
    <dataValidation type="list" allowBlank="1" showInputMessage="1" showErrorMessage="1" sqref="C4">
      <formula1>$I$4:$I$7</formula1>
    </dataValidation>
    <dataValidation type="list" allowBlank="1" showInputMessage="1" showErrorMessage="1" sqref="C5">
      <formula1>INDIRECT($C$4)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5" sqref="H5"/>
    </sheetView>
  </sheetViews>
  <sheetFormatPr defaultColWidth="9" defaultRowHeight="17.399999999999999"/>
  <cols>
    <col min="1" max="1" width="5.19921875" style="528" bestFit="1" customWidth="1"/>
    <col min="2" max="2" width="7.69921875" style="528" customWidth="1"/>
    <col min="3" max="3" width="9.796875" style="528" customWidth="1"/>
    <col min="4" max="4" width="19.09765625" style="528" customWidth="1"/>
    <col min="5" max="5" width="17.296875" style="528" customWidth="1"/>
    <col min="6" max="6" width="8.09765625" style="528" customWidth="1"/>
    <col min="7" max="7" width="9" style="528"/>
    <col min="8" max="8" width="11.8984375" style="528" bestFit="1" customWidth="1"/>
    <col min="9" max="9" width="9" style="528"/>
    <col min="10" max="10" width="14.8984375" style="528" bestFit="1" customWidth="1"/>
    <col min="11" max="16384" width="9" style="528"/>
  </cols>
  <sheetData>
    <row r="1" spans="1:14" ht="30">
      <c r="A1" s="645" t="s">
        <v>1785</v>
      </c>
      <c r="B1" s="645"/>
      <c r="C1" s="645"/>
      <c r="D1" s="645"/>
      <c r="E1" s="645"/>
      <c r="F1" s="645"/>
    </row>
    <row r="3" spans="1:14" ht="20.100000000000001" customHeight="1" thickBot="1">
      <c r="A3" s="538" t="s">
        <v>1786</v>
      </c>
      <c r="B3" s="538" t="s">
        <v>1787</v>
      </c>
      <c r="C3" s="538" t="s">
        <v>1788</v>
      </c>
      <c r="D3" s="538" t="s">
        <v>1789</v>
      </c>
      <c r="E3" s="538" t="s">
        <v>1790</v>
      </c>
      <c r="F3" s="538" t="s">
        <v>1791</v>
      </c>
    </row>
    <row r="4" spans="1:14" ht="20.100000000000001" customHeight="1" thickTop="1">
      <c r="A4" s="539">
        <v>1</v>
      </c>
      <c r="B4" s="539" t="s">
        <v>1792</v>
      </c>
      <c r="C4" s="539" t="s">
        <v>1793</v>
      </c>
      <c r="D4" s="540" t="s">
        <v>1794</v>
      </c>
      <c r="E4" s="540" t="s">
        <v>1795</v>
      </c>
      <c r="F4" s="540"/>
      <c r="H4" s="528" t="str">
        <f>LEFT($D$4:$D$26,FIND("@",D4))</f>
        <v>abd@</v>
      </c>
      <c r="I4"/>
      <c r="J4" t="s">
        <v>1872</v>
      </c>
      <c r="K4" t="s">
        <v>1895</v>
      </c>
      <c r="L4"/>
      <c r="M4"/>
      <c r="N4"/>
    </row>
    <row r="5" spans="1:14" ht="20.100000000000001" customHeight="1">
      <c r="A5" s="541">
        <v>2</v>
      </c>
      <c r="B5" s="541" t="s">
        <v>1796</v>
      </c>
      <c r="C5" s="541" t="s">
        <v>1797</v>
      </c>
      <c r="D5" s="542" t="s">
        <v>1896</v>
      </c>
      <c r="E5" s="542" t="s">
        <v>1798</v>
      </c>
      <c r="F5" s="542"/>
      <c r="H5" s="528" t="str">
        <f>LEFT($D$4:$D$26,FIND("@",D5))</f>
        <v>bc@</v>
      </c>
      <c r="I5"/>
      <c r="J5" t="s">
        <v>1873</v>
      </c>
      <c r="K5" t="s">
        <v>1895</v>
      </c>
      <c r="L5"/>
      <c r="M5"/>
      <c r="N5"/>
    </row>
    <row r="6" spans="1:14" ht="20.100000000000001" customHeight="1">
      <c r="A6" s="541">
        <v>3</v>
      </c>
      <c r="B6" s="541" t="s">
        <v>1796</v>
      </c>
      <c r="C6" s="541" t="s">
        <v>1799</v>
      </c>
      <c r="D6" s="542" t="s">
        <v>1800</v>
      </c>
      <c r="E6" s="542" t="s">
        <v>1801</v>
      </c>
      <c r="F6" s="542"/>
      <c r="H6" s="528" t="str">
        <f t="shared" ref="H5:H26" si="0">LEFT($D$4:$D$26,FIND("@",D6))</f>
        <v>cde@</v>
      </c>
      <c r="I6"/>
      <c r="J6" t="s">
        <v>1874</v>
      </c>
      <c r="K6" t="s">
        <v>1895</v>
      </c>
      <c r="L6"/>
      <c r="M6"/>
      <c r="N6"/>
    </row>
    <row r="7" spans="1:14" ht="20.100000000000001" customHeight="1">
      <c r="A7" s="541">
        <v>4</v>
      </c>
      <c r="B7" s="541" t="s">
        <v>1792</v>
      </c>
      <c r="C7" s="541" t="s">
        <v>1799</v>
      </c>
      <c r="D7" s="542" t="s">
        <v>1905</v>
      </c>
      <c r="E7" s="542" t="s">
        <v>1802</v>
      </c>
      <c r="F7" s="542"/>
      <c r="H7" s="528" t="str">
        <f t="shared" si="0"/>
        <v>d@</v>
      </c>
      <c r="I7"/>
      <c r="J7" t="s">
        <v>1875</v>
      </c>
      <c r="K7" t="s">
        <v>1895</v>
      </c>
      <c r="L7"/>
      <c r="M7"/>
      <c r="N7"/>
    </row>
    <row r="8" spans="1:14" ht="20.100000000000001" customHeight="1">
      <c r="A8" s="541">
        <v>5</v>
      </c>
      <c r="B8" s="541" t="s">
        <v>1792</v>
      </c>
      <c r="C8" s="541" t="s">
        <v>1803</v>
      </c>
      <c r="D8" s="542" t="s">
        <v>1804</v>
      </c>
      <c r="E8" s="542" t="s">
        <v>1805</v>
      </c>
      <c r="F8" s="542"/>
      <c r="H8" s="528" t="str">
        <f t="shared" si="0"/>
        <v>efg@</v>
      </c>
      <c r="I8"/>
      <c r="J8" t="s">
        <v>1876</v>
      </c>
      <c r="K8" t="s">
        <v>1895</v>
      </c>
      <c r="L8"/>
      <c r="M8"/>
      <c r="N8"/>
    </row>
    <row r="9" spans="1:14" ht="20.100000000000001" customHeight="1">
      <c r="A9" s="541">
        <v>6</v>
      </c>
      <c r="B9" s="541" t="s">
        <v>1796</v>
      </c>
      <c r="C9" s="541" t="s">
        <v>1797</v>
      </c>
      <c r="D9" s="542" t="s">
        <v>1897</v>
      </c>
      <c r="E9" s="542" t="s">
        <v>1806</v>
      </c>
      <c r="F9" s="542"/>
      <c r="H9" s="528" t="str">
        <f t="shared" si="0"/>
        <v>fghffe@</v>
      </c>
      <c r="I9"/>
      <c r="J9" t="s">
        <v>1877</v>
      </c>
      <c r="K9" t="s">
        <v>1895</v>
      </c>
      <c r="L9"/>
      <c r="M9"/>
      <c r="N9"/>
    </row>
    <row r="10" spans="1:14" ht="20.100000000000001" customHeight="1">
      <c r="A10" s="541">
        <v>7</v>
      </c>
      <c r="B10" s="541" t="s">
        <v>1796</v>
      </c>
      <c r="C10" s="541" t="s">
        <v>1797</v>
      </c>
      <c r="D10" s="542" t="s">
        <v>1807</v>
      </c>
      <c r="E10" s="542" t="s">
        <v>1808</v>
      </c>
      <c r="F10" s="542"/>
      <c r="H10" s="528" t="str">
        <f t="shared" si="0"/>
        <v>ghi@</v>
      </c>
      <c r="I10"/>
      <c r="J10" t="s">
        <v>1878</v>
      </c>
      <c r="K10" t="s">
        <v>1895</v>
      </c>
      <c r="L10"/>
      <c r="M10"/>
      <c r="N10"/>
    </row>
    <row r="11" spans="1:14" ht="20.100000000000001" customHeight="1">
      <c r="A11" s="541">
        <v>8</v>
      </c>
      <c r="B11" s="541" t="s">
        <v>1796</v>
      </c>
      <c r="C11" s="541" t="s">
        <v>1809</v>
      </c>
      <c r="D11" s="542" t="s">
        <v>1906</v>
      </c>
      <c r="E11" s="542" t="s">
        <v>1810</v>
      </c>
      <c r="F11" s="542"/>
      <c r="H11" s="528" t="str">
        <f t="shared" si="0"/>
        <v>ijk324@</v>
      </c>
      <c r="I11"/>
      <c r="J11" t="s">
        <v>1879</v>
      </c>
      <c r="K11" t="s">
        <v>1895</v>
      </c>
      <c r="L11"/>
      <c r="M11"/>
      <c r="N11"/>
    </row>
    <row r="12" spans="1:14" ht="20.100000000000001" customHeight="1">
      <c r="A12" s="541">
        <v>9</v>
      </c>
      <c r="B12" s="541" t="s">
        <v>1811</v>
      </c>
      <c r="C12" s="541" t="s">
        <v>1803</v>
      </c>
      <c r="D12" s="542" t="s">
        <v>1899</v>
      </c>
      <c r="E12" s="542" t="s">
        <v>1812</v>
      </c>
      <c r="F12" s="542"/>
      <c r="H12" s="528" t="str">
        <f t="shared" si="0"/>
        <v>kl@</v>
      </c>
      <c r="J12" s="528" t="s">
        <v>1880</v>
      </c>
      <c r="K12" t="s">
        <v>1895</v>
      </c>
    </row>
    <row r="13" spans="1:14" ht="20.100000000000001" customHeight="1">
      <c r="A13" s="541">
        <v>10</v>
      </c>
      <c r="B13" s="541" t="s">
        <v>1811</v>
      </c>
      <c r="C13" s="541" t="s">
        <v>1813</v>
      </c>
      <c r="D13" s="542" t="s">
        <v>1814</v>
      </c>
      <c r="E13" s="542" t="s">
        <v>1815</v>
      </c>
      <c r="F13" s="542"/>
      <c r="H13" s="528" t="str">
        <f t="shared" si="0"/>
        <v>lmn@</v>
      </c>
      <c r="J13" s="528" t="s">
        <v>1881</v>
      </c>
      <c r="K13" t="s">
        <v>1895</v>
      </c>
    </row>
    <row r="14" spans="1:14" ht="20.100000000000001" customHeight="1">
      <c r="A14" s="541">
        <v>11</v>
      </c>
      <c r="B14" s="541" t="s">
        <v>1811</v>
      </c>
      <c r="C14" s="541" t="s">
        <v>1816</v>
      </c>
      <c r="D14" s="542" t="s">
        <v>1898</v>
      </c>
      <c r="E14" s="542" t="s">
        <v>1817</v>
      </c>
      <c r="F14" s="542"/>
      <c r="H14" s="528" t="str">
        <f t="shared" si="0"/>
        <v>mnro@</v>
      </c>
      <c r="J14" s="528" t="s">
        <v>1882</v>
      </c>
      <c r="K14" t="s">
        <v>1895</v>
      </c>
    </row>
    <row r="15" spans="1:14" ht="20.100000000000001" customHeight="1">
      <c r="A15" s="541">
        <v>12</v>
      </c>
      <c r="B15" s="541" t="s">
        <v>1796</v>
      </c>
      <c r="C15" s="541" t="s">
        <v>1816</v>
      </c>
      <c r="D15" s="542" t="s">
        <v>1818</v>
      </c>
      <c r="E15" s="542" t="s">
        <v>1819</v>
      </c>
      <c r="F15" s="542"/>
      <c r="H15" s="528" t="str">
        <f t="shared" si="0"/>
        <v>nop@</v>
      </c>
      <c r="J15" s="528" t="s">
        <v>1883</v>
      </c>
      <c r="K15" t="s">
        <v>1895</v>
      </c>
    </row>
    <row r="16" spans="1:14" ht="20.100000000000001" customHeight="1">
      <c r="A16" s="541">
        <v>13</v>
      </c>
      <c r="B16" s="541" t="s">
        <v>1796</v>
      </c>
      <c r="C16" s="541" t="s">
        <v>1813</v>
      </c>
      <c r="D16" s="542" t="s">
        <v>1820</v>
      </c>
      <c r="E16" s="542" t="s">
        <v>1821</v>
      </c>
      <c r="F16" s="542"/>
      <c r="H16" s="528" t="str">
        <f t="shared" si="0"/>
        <v>opq@</v>
      </c>
      <c r="J16" s="528" t="s">
        <v>1884</v>
      </c>
      <c r="K16" t="s">
        <v>1895</v>
      </c>
    </row>
    <row r="17" spans="1:11" ht="20.100000000000001" customHeight="1">
      <c r="A17" s="541">
        <v>14</v>
      </c>
      <c r="B17" s="541" t="s">
        <v>1796</v>
      </c>
      <c r="C17" s="541" t="s">
        <v>1799</v>
      </c>
      <c r="D17" s="542" t="s">
        <v>1904</v>
      </c>
      <c r="E17" s="542" t="s">
        <v>1822</v>
      </c>
      <c r="F17" s="542"/>
      <c r="H17" s="528" t="str">
        <f t="shared" si="0"/>
        <v>qs@</v>
      </c>
      <c r="J17" s="528" t="s">
        <v>1885</v>
      </c>
      <c r="K17" t="s">
        <v>1895</v>
      </c>
    </row>
    <row r="18" spans="1:11" ht="20.100000000000001" customHeight="1">
      <c r="A18" s="541">
        <v>15</v>
      </c>
      <c r="B18" s="541" t="s">
        <v>1792</v>
      </c>
      <c r="C18" s="541" t="s">
        <v>1816</v>
      </c>
      <c r="D18" s="542" t="s">
        <v>1900</v>
      </c>
      <c r="E18" s="542" t="s">
        <v>1823</v>
      </c>
      <c r="F18" s="542"/>
      <c r="H18" s="528" t="str">
        <f t="shared" si="0"/>
        <v>rst345@</v>
      </c>
      <c r="J18" s="528" t="s">
        <v>1886</v>
      </c>
      <c r="K18" t="s">
        <v>1895</v>
      </c>
    </row>
    <row r="19" spans="1:11" ht="20.100000000000001" customHeight="1">
      <c r="A19" s="541">
        <v>16</v>
      </c>
      <c r="B19" s="541" t="s">
        <v>1811</v>
      </c>
      <c r="C19" s="541" t="s">
        <v>1803</v>
      </c>
      <c r="D19" s="542" t="s">
        <v>1903</v>
      </c>
      <c r="E19" s="542" t="s">
        <v>1824</v>
      </c>
      <c r="F19" s="542"/>
      <c r="H19" s="528" t="str">
        <f t="shared" si="0"/>
        <v>sftu@</v>
      </c>
      <c r="J19" s="528" t="s">
        <v>1887</v>
      </c>
      <c r="K19" t="s">
        <v>1895</v>
      </c>
    </row>
    <row r="20" spans="1:11" ht="20.100000000000001" customHeight="1">
      <c r="A20" s="541">
        <v>17</v>
      </c>
      <c r="B20" s="541" t="s">
        <v>1792</v>
      </c>
      <c r="C20" s="541" t="s">
        <v>1813</v>
      </c>
      <c r="D20" s="542" t="s">
        <v>1825</v>
      </c>
      <c r="E20" s="542" t="s">
        <v>1826</v>
      </c>
      <c r="F20" s="542"/>
      <c r="H20" s="528" t="str">
        <f t="shared" si="0"/>
        <v>tuv@</v>
      </c>
      <c r="J20" s="528" t="s">
        <v>1888</v>
      </c>
      <c r="K20" t="s">
        <v>1895</v>
      </c>
    </row>
    <row r="21" spans="1:11" ht="20.100000000000001" customHeight="1">
      <c r="A21" s="541">
        <v>18</v>
      </c>
      <c r="B21" s="541" t="s">
        <v>1792</v>
      </c>
      <c r="C21" s="541" t="s">
        <v>1803</v>
      </c>
      <c r="D21" s="542" t="s">
        <v>1827</v>
      </c>
      <c r="E21" s="542" t="s">
        <v>1828</v>
      </c>
      <c r="F21" s="542"/>
      <c r="H21" s="528" t="str">
        <f t="shared" si="0"/>
        <v>uvw@</v>
      </c>
      <c r="J21" s="528" t="s">
        <v>1889</v>
      </c>
      <c r="K21" t="s">
        <v>1895</v>
      </c>
    </row>
    <row r="22" spans="1:11" ht="20.100000000000001" customHeight="1">
      <c r="A22" s="541">
        <v>19</v>
      </c>
      <c r="B22" s="541" t="s">
        <v>1796</v>
      </c>
      <c r="C22" s="541" t="s">
        <v>1793</v>
      </c>
      <c r="D22" s="542" t="s">
        <v>1902</v>
      </c>
      <c r="E22" s="542" t="s">
        <v>1829</v>
      </c>
      <c r="F22" s="542"/>
      <c r="H22" s="528" t="str">
        <f t="shared" si="0"/>
        <v>vewwx@</v>
      </c>
      <c r="J22" s="528" t="s">
        <v>1890</v>
      </c>
      <c r="K22" t="s">
        <v>1895</v>
      </c>
    </row>
    <row r="23" spans="1:11" ht="20.100000000000001" customHeight="1">
      <c r="A23" s="541">
        <v>20</v>
      </c>
      <c r="B23" s="541" t="s">
        <v>1792</v>
      </c>
      <c r="C23" s="541" t="s">
        <v>1813</v>
      </c>
      <c r="D23" s="542" t="s">
        <v>1830</v>
      </c>
      <c r="E23" s="542" t="s">
        <v>1831</v>
      </c>
      <c r="F23" s="542"/>
      <c r="H23" s="528" t="str">
        <f t="shared" si="0"/>
        <v>wxy@</v>
      </c>
      <c r="J23" s="528" t="s">
        <v>1891</v>
      </c>
      <c r="K23" t="s">
        <v>1895</v>
      </c>
    </row>
    <row r="24" spans="1:11" ht="20.100000000000001" customHeight="1">
      <c r="A24" s="541">
        <v>21</v>
      </c>
      <c r="B24" s="541" t="s">
        <v>1796</v>
      </c>
      <c r="C24" s="541" t="s">
        <v>1816</v>
      </c>
      <c r="D24" s="542" t="s">
        <v>1901</v>
      </c>
      <c r="E24" s="542" t="s">
        <v>1832</v>
      </c>
      <c r="F24" s="542"/>
      <c r="H24" s="528" t="str">
        <f t="shared" si="0"/>
        <v>xy435234z@</v>
      </c>
      <c r="J24" s="528" t="s">
        <v>1892</v>
      </c>
      <c r="K24" t="s">
        <v>1895</v>
      </c>
    </row>
    <row r="25" spans="1:11" ht="20.100000000000001" customHeight="1">
      <c r="A25" s="541">
        <v>22</v>
      </c>
      <c r="B25" s="541" t="s">
        <v>1811</v>
      </c>
      <c r="C25" s="541" t="s">
        <v>1833</v>
      </c>
      <c r="D25" s="542" t="s">
        <v>1834</v>
      </c>
      <c r="E25" s="542" t="s">
        <v>1835</v>
      </c>
      <c r="F25" s="542"/>
      <c r="H25" s="528" t="str">
        <f t="shared" si="0"/>
        <v>aab@</v>
      </c>
      <c r="J25" s="528" t="s">
        <v>1893</v>
      </c>
      <c r="K25" t="s">
        <v>1895</v>
      </c>
    </row>
    <row r="26" spans="1:11" ht="20.100000000000001" customHeight="1">
      <c r="A26" s="541">
        <v>23</v>
      </c>
      <c r="B26" s="541" t="s">
        <v>1792</v>
      </c>
      <c r="C26" s="541" t="s">
        <v>1803</v>
      </c>
      <c r="D26" s="542" t="s">
        <v>1836</v>
      </c>
      <c r="E26" s="542" t="s">
        <v>1837</v>
      </c>
      <c r="F26" s="542"/>
      <c r="H26" s="528" t="str">
        <f t="shared" si="0"/>
        <v>bbc@</v>
      </c>
      <c r="J26" s="528" t="s">
        <v>1894</v>
      </c>
    </row>
    <row r="28" spans="1:11">
      <c r="J28" s="528" t="str">
        <f>PHONETIC(J4:K26)</f>
        <v>abd@daum.net,bcd@daum.net,cde@daum.net,defdaum.net,efg@daum.net,fghdaum.net,ghi@daum.net,ijkdaum.net,klm@daum.net,lmn@daum.net,mno@daum.net,nop@daum.net,opq@daum.net,qrs@daum.net,rst@daum.net,stu@daum.net,tuv@daum.net,uvw@daum.net,vwx@daum.net,wxy@daum.net,xyz@daum.net,aab@daum.net,bbc@daum.net</v>
      </c>
    </row>
  </sheetData>
  <mergeCells count="1">
    <mergeCell ref="A1:F1"/>
  </mergeCells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workbookViewId="0">
      <selection activeCell="L7" sqref="L7"/>
    </sheetView>
  </sheetViews>
  <sheetFormatPr defaultRowHeight="14.4"/>
  <cols>
    <col min="1" max="1" width="7.8984375" style="543" customWidth="1"/>
    <col min="2" max="2" width="9" style="543"/>
    <col min="3" max="3" width="9" style="543" customWidth="1"/>
    <col min="4" max="7" width="9" style="543"/>
    <col min="8" max="8" width="13" style="543" customWidth="1"/>
    <col min="9" max="256" width="9" style="543"/>
    <col min="257" max="257" width="7.8984375" style="543" customWidth="1"/>
    <col min="258" max="258" width="9" style="543"/>
    <col min="259" max="259" width="9" style="543" customWidth="1"/>
    <col min="260" max="263" width="9" style="543"/>
    <col min="264" max="264" width="13" style="543" customWidth="1"/>
    <col min="265" max="512" width="9" style="543"/>
    <col min="513" max="513" width="7.8984375" style="543" customWidth="1"/>
    <col min="514" max="514" width="9" style="543"/>
    <col min="515" max="515" width="9" style="543" customWidth="1"/>
    <col min="516" max="519" width="9" style="543"/>
    <col min="520" max="520" width="13" style="543" customWidth="1"/>
    <col min="521" max="768" width="9" style="543"/>
    <col min="769" max="769" width="7.8984375" style="543" customWidth="1"/>
    <col min="770" max="770" width="9" style="543"/>
    <col min="771" max="771" width="9" style="543" customWidth="1"/>
    <col min="772" max="775" width="9" style="543"/>
    <col min="776" max="776" width="13" style="543" customWidth="1"/>
    <col min="777" max="1024" width="9" style="543"/>
    <col min="1025" max="1025" width="7.8984375" style="543" customWidth="1"/>
    <col min="1026" max="1026" width="9" style="543"/>
    <col min="1027" max="1027" width="9" style="543" customWidth="1"/>
    <col min="1028" max="1031" width="9" style="543"/>
    <col min="1032" max="1032" width="13" style="543" customWidth="1"/>
    <col min="1033" max="1280" width="9" style="543"/>
    <col min="1281" max="1281" width="7.8984375" style="543" customWidth="1"/>
    <col min="1282" max="1282" width="9" style="543"/>
    <col min="1283" max="1283" width="9" style="543" customWidth="1"/>
    <col min="1284" max="1287" width="9" style="543"/>
    <col min="1288" max="1288" width="13" style="543" customWidth="1"/>
    <col min="1289" max="1536" width="9" style="543"/>
    <col min="1537" max="1537" width="7.8984375" style="543" customWidth="1"/>
    <col min="1538" max="1538" width="9" style="543"/>
    <col min="1539" max="1539" width="9" style="543" customWidth="1"/>
    <col min="1540" max="1543" width="9" style="543"/>
    <col min="1544" max="1544" width="13" style="543" customWidth="1"/>
    <col min="1545" max="1792" width="9" style="543"/>
    <col min="1793" max="1793" width="7.8984375" style="543" customWidth="1"/>
    <col min="1794" max="1794" width="9" style="543"/>
    <col min="1795" max="1795" width="9" style="543" customWidth="1"/>
    <col min="1796" max="1799" width="9" style="543"/>
    <col min="1800" max="1800" width="13" style="543" customWidth="1"/>
    <col min="1801" max="2048" width="9" style="543"/>
    <col min="2049" max="2049" width="7.8984375" style="543" customWidth="1"/>
    <col min="2050" max="2050" width="9" style="543"/>
    <col min="2051" max="2051" width="9" style="543" customWidth="1"/>
    <col min="2052" max="2055" width="9" style="543"/>
    <col min="2056" max="2056" width="13" style="543" customWidth="1"/>
    <col min="2057" max="2304" width="9" style="543"/>
    <col min="2305" max="2305" width="7.8984375" style="543" customWidth="1"/>
    <col min="2306" max="2306" width="9" style="543"/>
    <col min="2307" max="2307" width="9" style="543" customWidth="1"/>
    <col min="2308" max="2311" width="9" style="543"/>
    <col min="2312" max="2312" width="13" style="543" customWidth="1"/>
    <col min="2313" max="2560" width="9" style="543"/>
    <col min="2561" max="2561" width="7.8984375" style="543" customWidth="1"/>
    <col min="2562" max="2562" width="9" style="543"/>
    <col min="2563" max="2563" width="9" style="543" customWidth="1"/>
    <col min="2564" max="2567" width="9" style="543"/>
    <col min="2568" max="2568" width="13" style="543" customWidth="1"/>
    <col min="2569" max="2816" width="9" style="543"/>
    <col min="2817" max="2817" width="7.8984375" style="543" customWidth="1"/>
    <col min="2818" max="2818" width="9" style="543"/>
    <col min="2819" max="2819" width="9" style="543" customWidth="1"/>
    <col min="2820" max="2823" width="9" style="543"/>
    <col min="2824" max="2824" width="13" style="543" customWidth="1"/>
    <col min="2825" max="3072" width="9" style="543"/>
    <col min="3073" max="3073" width="7.8984375" style="543" customWidth="1"/>
    <col min="3074" max="3074" width="9" style="543"/>
    <col min="3075" max="3075" width="9" style="543" customWidth="1"/>
    <col min="3076" max="3079" width="9" style="543"/>
    <col min="3080" max="3080" width="13" style="543" customWidth="1"/>
    <col min="3081" max="3328" width="9" style="543"/>
    <col min="3329" max="3329" width="7.8984375" style="543" customWidth="1"/>
    <col min="3330" max="3330" width="9" style="543"/>
    <col min="3331" max="3331" width="9" style="543" customWidth="1"/>
    <col min="3332" max="3335" width="9" style="543"/>
    <col min="3336" max="3336" width="13" style="543" customWidth="1"/>
    <col min="3337" max="3584" width="9" style="543"/>
    <col min="3585" max="3585" width="7.8984375" style="543" customWidth="1"/>
    <col min="3586" max="3586" width="9" style="543"/>
    <col min="3587" max="3587" width="9" style="543" customWidth="1"/>
    <col min="3588" max="3591" width="9" style="543"/>
    <col min="3592" max="3592" width="13" style="543" customWidth="1"/>
    <col min="3593" max="3840" width="9" style="543"/>
    <col min="3841" max="3841" width="7.8984375" style="543" customWidth="1"/>
    <col min="3842" max="3842" width="9" style="543"/>
    <col min="3843" max="3843" width="9" style="543" customWidth="1"/>
    <col min="3844" max="3847" width="9" style="543"/>
    <col min="3848" max="3848" width="13" style="543" customWidth="1"/>
    <col min="3849" max="4096" width="9" style="543"/>
    <col min="4097" max="4097" width="7.8984375" style="543" customWidth="1"/>
    <col min="4098" max="4098" width="9" style="543"/>
    <col min="4099" max="4099" width="9" style="543" customWidth="1"/>
    <col min="4100" max="4103" width="9" style="543"/>
    <col min="4104" max="4104" width="13" style="543" customWidth="1"/>
    <col min="4105" max="4352" width="9" style="543"/>
    <col min="4353" max="4353" width="7.8984375" style="543" customWidth="1"/>
    <col min="4354" max="4354" width="9" style="543"/>
    <col min="4355" max="4355" width="9" style="543" customWidth="1"/>
    <col min="4356" max="4359" width="9" style="543"/>
    <col min="4360" max="4360" width="13" style="543" customWidth="1"/>
    <col min="4361" max="4608" width="9" style="543"/>
    <col min="4609" max="4609" width="7.8984375" style="543" customWidth="1"/>
    <col min="4610" max="4610" width="9" style="543"/>
    <col min="4611" max="4611" width="9" style="543" customWidth="1"/>
    <col min="4612" max="4615" width="9" style="543"/>
    <col min="4616" max="4616" width="13" style="543" customWidth="1"/>
    <col min="4617" max="4864" width="9" style="543"/>
    <col min="4865" max="4865" width="7.8984375" style="543" customWidth="1"/>
    <col min="4866" max="4866" width="9" style="543"/>
    <col min="4867" max="4867" width="9" style="543" customWidth="1"/>
    <col min="4868" max="4871" width="9" style="543"/>
    <col min="4872" max="4872" width="13" style="543" customWidth="1"/>
    <col min="4873" max="5120" width="9" style="543"/>
    <col min="5121" max="5121" width="7.8984375" style="543" customWidth="1"/>
    <col min="5122" max="5122" width="9" style="543"/>
    <col min="5123" max="5123" width="9" style="543" customWidth="1"/>
    <col min="5124" max="5127" width="9" style="543"/>
    <col min="5128" max="5128" width="13" style="543" customWidth="1"/>
    <col min="5129" max="5376" width="9" style="543"/>
    <col min="5377" max="5377" width="7.8984375" style="543" customWidth="1"/>
    <col min="5378" max="5378" width="9" style="543"/>
    <col min="5379" max="5379" width="9" style="543" customWidth="1"/>
    <col min="5380" max="5383" width="9" style="543"/>
    <col min="5384" max="5384" width="13" style="543" customWidth="1"/>
    <col min="5385" max="5632" width="9" style="543"/>
    <col min="5633" max="5633" width="7.8984375" style="543" customWidth="1"/>
    <col min="5634" max="5634" width="9" style="543"/>
    <col min="5635" max="5635" width="9" style="543" customWidth="1"/>
    <col min="5636" max="5639" width="9" style="543"/>
    <col min="5640" max="5640" width="13" style="543" customWidth="1"/>
    <col min="5641" max="5888" width="9" style="543"/>
    <col min="5889" max="5889" width="7.8984375" style="543" customWidth="1"/>
    <col min="5890" max="5890" width="9" style="543"/>
    <col min="5891" max="5891" width="9" style="543" customWidth="1"/>
    <col min="5892" max="5895" width="9" style="543"/>
    <col min="5896" max="5896" width="13" style="543" customWidth="1"/>
    <col min="5897" max="6144" width="9" style="543"/>
    <col min="6145" max="6145" width="7.8984375" style="543" customWidth="1"/>
    <col min="6146" max="6146" width="9" style="543"/>
    <col min="6147" max="6147" width="9" style="543" customWidth="1"/>
    <col min="6148" max="6151" width="9" style="543"/>
    <col min="6152" max="6152" width="13" style="543" customWidth="1"/>
    <col min="6153" max="6400" width="9" style="543"/>
    <col min="6401" max="6401" width="7.8984375" style="543" customWidth="1"/>
    <col min="6402" max="6402" width="9" style="543"/>
    <col min="6403" max="6403" width="9" style="543" customWidth="1"/>
    <col min="6404" max="6407" width="9" style="543"/>
    <col min="6408" max="6408" width="13" style="543" customWidth="1"/>
    <col min="6409" max="6656" width="9" style="543"/>
    <col min="6657" max="6657" width="7.8984375" style="543" customWidth="1"/>
    <col min="6658" max="6658" width="9" style="543"/>
    <col min="6659" max="6659" width="9" style="543" customWidth="1"/>
    <col min="6660" max="6663" width="9" style="543"/>
    <col min="6664" max="6664" width="13" style="543" customWidth="1"/>
    <col min="6665" max="6912" width="9" style="543"/>
    <col min="6913" max="6913" width="7.8984375" style="543" customWidth="1"/>
    <col min="6914" max="6914" width="9" style="543"/>
    <col min="6915" max="6915" width="9" style="543" customWidth="1"/>
    <col min="6916" max="6919" width="9" style="543"/>
    <col min="6920" max="6920" width="13" style="543" customWidth="1"/>
    <col min="6921" max="7168" width="9" style="543"/>
    <col min="7169" max="7169" width="7.8984375" style="543" customWidth="1"/>
    <col min="7170" max="7170" width="9" style="543"/>
    <col min="7171" max="7171" width="9" style="543" customWidth="1"/>
    <col min="7172" max="7175" width="9" style="543"/>
    <col min="7176" max="7176" width="13" style="543" customWidth="1"/>
    <col min="7177" max="7424" width="9" style="543"/>
    <col min="7425" max="7425" width="7.8984375" style="543" customWidth="1"/>
    <col min="7426" max="7426" width="9" style="543"/>
    <col min="7427" max="7427" width="9" style="543" customWidth="1"/>
    <col min="7428" max="7431" width="9" style="543"/>
    <col min="7432" max="7432" width="13" style="543" customWidth="1"/>
    <col min="7433" max="7680" width="9" style="543"/>
    <col min="7681" max="7681" width="7.8984375" style="543" customWidth="1"/>
    <col min="7682" max="7682" width="9" style="543"/>
    <col min="7683" max="7683" width="9" style="543" customWidth="1"/>
    <col min="7684" max="7687" width="9" style="543"/>
    <col min="7688" max="7688" width="13" style="543" customWidth="1"/>
    <col min="7689" max="7936" width="9" style="543"/>
    <col min="7937" max="7937" width="7.8984375" style="543" customWidth="1"/>
    <col min="7938" max="7938" width="9" style="543"/>
    <col min="7939" max="7939" width="9" style="543" customWidth="1"/>
    <col min="7940" max="7943" width="9" style="543"/>
    <col min="7944" max="7944" width="13" style="543" customWidth="1"/>
    <col min="7945" max="8192" width="9" style="543"/>
    <col min="8193" max="8193" width="7.8984375" style="543" customWidth="1"/>
    <col min="8194" max="8194" width="9" style="543"/>
    <col min="8195" max="8195" width="9" style="543" customWidth="1"/>
    <col min="8196" max="8199" width="9" style="543"/>
    <col min="8200" max="8200" width="13" style="543" customWidth="1"/>
    <col min="8201" max="8448" width="9" style="543"/>
    <col min="8449" max="8449" width="7.8984375" style="543" customWidth="1"/>
    <col min="8450" max="8450" width="9" style="543"/>
    <col min="8451" max="8451" width="9" style="543" customWidth="1"/>
    <col min="8452" max="8455" width="9" style="543"/>
    <col min="8456" max="8456" width="13" style="543" customWidth="1"/>
    <col min="8457" max="8704" width="9" style="543"/>
    <col min="8705" max="8705" width="7.8984375" style="543" customWidth="1"/>
    <col min="8706" max="8706" width="9" style="543"/>
    <col min="8707" max="8707" width="9" style="543" customWidth="1"/>
    <col min="8708" max="8711" width="9" style="543"/>
    <col min="8712" max="8712" width="13" style="543" customWidth="1"/>
    <col min="8713" max="8960" width="9" style="543"/>
    <col min="8961" max="8961" width="7.8984375" style="543" customWidth="1"/>
    <col min="8962" max="8962" width="9" style="543"/>
    <col min="8963" max="8963" width="9" style="543" customWidth="1"/>
    <col min="8964" max="8967" width="9" style="543"/>
    <col min="8968" max="8968" width="13" style="543" customWidth="1"/>
    <col min="8969" max="9216" width="9" style="543"/>
    <col min="9217" max="9217" width="7.8984375" style="543" customWidth="1"/>
    <col min="9218" max="9218" width="9" style="543"/>
    <col min="9219" max="9219" width="9" style="543" customWidth="1"/>
    <col min="9220" max="9223" width="9" style="543"/>
    <col min="9224" max="9224" width="13" style="543" customWidth="1"/>
    <col min="9225" max="9472" width="9" style="543"/>
    <col min="9473" max="9473" width="7.8984375" style="543" customWidth="1"/>
    <col min="9474" max="9474" width="9" style="543"/>
    <col min="9475" max="9475" width="9" style="543" customWidth="1"/>
    <col min="9476" max="9479" width="9" style="543"/>
    <col min="9480" max="9480" width="13" style="543" customWidth="1"/>
    <col min="9481" max="9728" width="9" style="543"/>
    <col min="9729" max="9729" width="7.8984375" style="543" customWidth="1"/>
    <col min="9730" max="9730" width="9" style="543"/>
    <col min="9731" max="9731" width="9" style="543" customWidth="1"/>
    <col min="9732" max="9735" width="9" style="543"/>
    <col min="9736" max="9736" width="13" style="543" customWidth="1"/>
    <col min="9737" max="9984" width="9" style="543"/>
    <col min="9985" max="9985" width="7.8984375" style="543" customWidth="1"/>
    <col min="9986" max="9986" width="9" style="543"/>
    <col min="9987" max="9987" width="9" style="543" customWidth="1"/>
    <col min="9988" max="9991" width="9" style="543"/>
    <col min="9992" max="9992" width="13" style="543" customWidth="1"/>
    <col min="9993" max="10240" width="9" style="543"/>
    <col min="10241" max="10241" width="7.8984375" style="543" customWidth="1"/>
    <col min="10242" max="10242" width="9" style="543"/>
    <col min="10243" max="10243" width="9" style="543" customWidth="1"/>
    <col min="10244" max="10247" width="9" style="543"/>
    <col min="10248" max="10248" width="13" style="543" customWidth="1"/>
    <col min="10249" max="10496" width="9" style="543"/>
    <col min="10497" max="10497" width="7.8984375" style="543" customWidth="1"/>
    <col min="10498" max="10498" width="9" style="543"/>
    <col min="10499" max="10499" width="9" style="543" customWidth="1"/>
    <col min="10500" max="10503" width="9" style="543"/>
    <col min="10504" max="10504" width="13" style="543" customWidth="1"/>
    <col min="10505" max="10752" width="9" style="543"/>
    <col min="10753" max="10753" width="7.8984375" style="543" customWidth="1"/>
    <col min="10754" max="10754" width="9" style="543"/>
    <col min="10755" max="10755" width="9" style="543" customWidth="1"/>
    <col min="10756" max="10759" width="9" style="543"/>
    <col min="10760" max="10760" width="13" style="543" customWidth="1"/>
    <col min="10761" max="11008" width="9" style="543"/>
    <col min="11009" max="11009" width="7.8984375" style="543" customWidth="1"/>
    <col min="11010" max="11010" width="9" style="543"/>
    <col min="11011" max="11011" width="9" style="543" customWidth="1"/>
    <col min="11012" max="11015" width="9" style="543"/>
    <col min="11016" max="11016" width="13" style="543" customWidth="1"/>
    <col min="11017" max="11264" width="9" style="543"/>
    <col min="11265" max="11265" width="7.8984375" style="543" customWidth="1"/>
    <col min="11266" max="11266" width="9" style="543"/>
    <col min="11267" max="11267" width="9" style="543" customWidth="1"/>
    <col min="11268" max="11271" width="9" style="543"/>
    <col min="11272" max="11272" width="13" style="543" customWidth="1"/>
    <col min="11273" max="11520" width="9" style="543"/>
    <col min="11521" max="11521" width="7.8984375" style="543" customWidth="1"/>
    <col min="11522" max="11522" width="9" style="543"/>
    <col min="11523" max="11523" width="9" style="543" customWidth="1"/>
    <col min="11524" max="11527" width="9" style="543"/>
    <col min="11528" max="11528" width="13" style="543" customWidth="1"/>
    <col min="11529" max="11776" width="9" style="543"/>
    <col min="11777" max="11777" width="7.8984375" style="543" customWidth="1"/>
    <col min="11778" max="11778" width="9" style="543"/>
    <col min="11779" max="11779" width="9" style="543" customWidth="1"/>
    <col min="11780" max="11783" width="9" style="543"/>
    <col min="11784" max="11784" width="13" style="543" customWidth="1"/>
    <col min="11785" max="12032" width="9" style="543"/>
    <col min="12033" max="12033" width="7.8984375" style="543" customWidth="1"/>
    <col min="12034" max="12034" width="9" style="543"/>
    <col min="12035" max="12035" width="9" style="543" customWidth="1"/>
    <col min="12036" max="12039" width="9" style="543"/>
    <col min="12040" max="12040" width="13" style="543" customWidth="1"/>
    <col min="12041" max="12288" width="9" style="543"/>
    <col min="12289" max="12289" width="7.8984375" style="543" customWidth="1"/>
    <col min="12290" max="12290" width="9" style="543"/>
    <col min="12291" max="12291" width="9" style="543" customWidth="1"/>
    <col min="12292" max="12295" width="9" style="543"/>
    <col min="12296" max="12296" width="13" style="543" customWidth="1"/>
    <col min="12297" max="12544" width="9" style="543"/>
    <col min="12545" max="12545" width="7.8984375" style="543" customWidth="1"/>
    <col min="12546" max="12546" width="9" style="543"/>
    <col min="12547" max="12547" width="9" style="543" customWidth="1"/>
    <col min="12548" max="12551" width="9" style="543"/>
    <col min="12552" max="12552" width="13" style="543" customWidth="1"/>
    <col min="12553" max="12800" width="9" style="543"/>
    <col min="12801" max="12801" width="7.8984375" style="543" customWidth="1"/>
    <col min="12802" max="12802" width="9" style="543"/>
    <col min="12803" max="12803" width="9" style="543" customWidth="1"/>
    <col min="12804" max="12807" width="9" style="543"/>
    <col min="12808" max="12808" width="13" style="543" customWidth="1"/>
    <col min="12809" max="13056" width="9" style="543"/>
    <col min="13057" max="13057" width="7.8984375" style="543" customWidth="1"/>
    <col min="13058" max="13058" width="9" style="543"/>
    <col min="13059" max="13059" width="9" style="543" customWidth="1"/>
    <col min="13060" max="13063" width="9" style="543"/>
    <col min="13064" max="13064" width="13" style="543" customWidth="1"/>
    <col min="13065" max="13312" width="9" style="543"/>
    <col min="13313" max="13313" width="7.8984375" style="543" customWidth="1"/>
    <col min="13314" max="13314" width="9" style="543"/>
    <col min="13315" max="13315" width="9" style="543" customWidth="1"/>
    <col min="13316" max="13319" width="9" style="543"/>
    <col min="13320" max="13320" width="13" style="543" customWidth="1"/>
    <col min="13321" max="13568" width="9" style="543"/>
    <col min="13569" max="13569" width="7.8984375" style="543" customWidth="1"/>
    <col min="13570" max="13570" width="9" style="543"/>
    <col min="13571" max="13571" width="9" style="543" customWidth="1"/>
    <col min="13572" max="13575" width="9" style="543"/>
    <col min="13576" max="13576" width="13" style="543" customWidth="1"/>
    <col min="13577" max="13824" width="9" style="543"/>
    <col min="13825" max="13825" width="7.8984375" style="543" customWidth="1"/>
    <col min="13826" max="13826" width="9" style="543"/>
    <col min="13827" max="13827" width="9" style="543" customWidth="1"/>
    <col min="13828" max="13831" width="9" style="543"/>
    <col min="13832" max="13832" width="13" style="543" customWidth="1"/>
    <col min="13833" max="14080" width="9" style="543"/>
    <col min="14081" max="14081" width="7.8984375" style="543" customWidth="1"/>
    <col min="14082" max="14082" width="9" style="543"/>
    <col min="14083" max="14083" width="9" style="543" customWidth="1"/>
    <col min="14084" max="14087" width="9" style="543"/>
    <col min="14088" max="14088" width="13" style="543" customWidth="1"/>
    <col min="14089" max="14336" width="9" style="543"/>
    <col min="14337" max="14337" width="7.8984375" style="543" customWidth="1"/>
    <col min="14338" max="14338" width="9" style="543"/>
    <col min="14339" max="14339" width="9" style="543" customWidth="1"/>
    <col min="14340" max="14343" width="9" style="543"/>
    <col min="14344" max="14344" width="13" style="543" customWidth="1"/>
    <col min="14345" max="14592" width="9" style="543"/>
    <col min="14593" max="14593" width="7.8984375" style="543" customWidth="1"/>
    <col min="14594" max="14594" width="9" style="543"/>
    <col min="14595" max="14595" width="9" style="543" customWidth="1"/>
    <col min="14596" max="14599" width="9" style="543"/>
    <col min="14600" max="14600" width="13" style="543" customWidth="1"/>
    <col min="14601" max="14848" width="9" style="543"/>
    <col min="14849" max="14849" width="7.8984375" style="543" customWidth="1"/>
    <col min="14850" max="14850" width="9" style="543"/>
    <col min="14851" max="14851" width="9" style="543" customWidth="1"/>
    <col min="14852" max="14855" width="9" style="543"/>
    <col min="14856" max="14856" width="13" style="543" customWidth="1"/>
    <col min="14857" max="15104" width="9" style="543"/>
    <col min="15105" max="15105" width="7.8984375" style="543" customWidth="1"/>
    <col min="15106" max="15106" width="9" style="543"/>
    <col min="15107" max="15107" width="9" style="543" customWidth="1"/>
    <col min="15108" max="15111" width="9" style="543"/>
    <col min="15112" max="15112" width="13" style="543" customWidth="1"/>
    <col min="15113" max="15360" width="9" style="543"/>
    <col min="15361" max="15361" width="7.8984375" style="543" customWidth="1"/>
    <col min="15362" max="15362" width="9" style="543"/>
    <col min="15363" max="15363" width="9" style="543" customWidth="1"/>
    <col min="15364" max="15367" width="9" style="543"/>
    <col min="15368" max="15368" width="13" style="543" customWidth="1"/>
    <col min="15369" max="15616" width="9" style="543"/>
    <col min="15617" max="15617" width="7.8984375" style="543" customWidth="1"/>
    <col min="15618" max="15618" width="9" style="543"/>
    <col min="15619" max="15619" width="9" style="543" customWidth="1"/>
    <col min="15620" max="15623" width="9" style="543"/>
    <col min="15624" max="15624" width="13" style="543" customWidth="1"/>
    <col min="15625" max="15872" width="9" style="543"/>
    <col min="15873" max="15873" width="7.8984375" style="543" customWidth="1"/>
    <col min="15874" max="15874" width="9" style="543"/>
    <col min="15875" max="15875" width="9" style="543" customWidth="1"/>
    <col min="15876" max="15879" width="9" style="543"/>
    <col min="15880" max="15880" width="13" style="543" customWidth="1"/>
    <col min="15881" max="16128" width="9" style="543"/>
    <col min="16129" max="16129" width="7.8984375" style="543" customWidth="1"/>
    <col min="16130" max="16130" width="9" style="543"/>
    <col min="16131" max="16131" width="9" style="543" customWidth="1"/>
    <col min="16132" max="16135" width="9" style="543"/>
    <col min="16136" max="16136" width="13" style="543" customWidth="1"/>
    <col min="16137" max="16384" width="9" style="543"/>
  </cols>
  <sheetData>
    <row r="1" spans="1:12" ht="27" customHeight="1">
      <c r="B1" s="558" t="s">
        <v>1858</v>
      </c>
    </row>
    <row r="2" spans="1:12" ht="20.25" customHeight="1">
      <c r="B2" s="558" t="s">
        <v>1857</v>
      </c>
    </row>
    <row r="3" spans="1:12" ht="20.25" customHeight="1">
      <c r="B3" s="558" t="s">
        <v>1856</v>
      </c>
    </row>
    <row r="4" spans="1:12" ht="20.25" customHeight="1">
      <c r="B4" s="558" t="s">
        <v>1855</v>
      </c>
    </row>
    <row r="5" spans="1:12" ht="15" thickBot="1"/>
    <row r="6" spans="1:12" ht="18" customHeight="1">
      <c r="A6" s="565" t="s">
        <v>1843</v>
      </c>
      <c r="B6" s="562">
        <v>60</v>
      </c>
      <c r="C6" s="562"/>
      <c r="D6" s="562"/>
      <c r="J6" s="543">
        <f>INDEX(A6:B10,MATCH("부산",A6:A10,0),2)</f>
        <v>65</v>
      </c>
      <c r="L6" s="543" t="str">
        <f>INDEX(A6:B10,MATCH(MAX(B6:B10),B6:B10,0),1)</f>
        <v>대구</v>
      </c>
    </row>
    <row r="7" spans="1:12" ht="18" customHeight="1" thickBot="1">
      <c r="A7" s="564" t="s">
        <v>1841</v>
      </c>
      <c r="B7" s="562">
        <v>70</v>
      </c>
      <c r="C7" s="562"/>
      <c r="D7" s="562"/>
      <c r="L7" s="543" t="str">
        <f>INDEX(A6:B10,MATCH(MIN(B6:B10),B6:B10,0),1)</f>
        <v>서울</v>
      </c>
    </row>
    <row r="8" spans="1:12" ht="18" customHeight="1" thickBot="1">
      <c r="A8" s="564" t="s">
        <v>1840</v>
      </c>
      <c r="B8" s="562">
        <v>80</v>
      </c>
      <c r="C8" s="561" t="s">
        <v>1843</v>
      </c>
      <c r="D8" s="560">
        <f>MATCH(C8,A6:A10,0)</f>
        <v>1</v>
      </c>
    </row>
    <row r="9" spans="1:12" ht="18" customHeight="1" thickBot="1">
      <c r="A9" s="564" t="s">
        <v>1839</v>
      </c>
      <c r="B9" s="562">
        <v>90</v>
      </c>
      <c r="C9" s="562"/>
      <c r="D9" s="559" t="s">
        <v>1854</v>
      </c>
    </row>
    <row r="10" spans="1:12" ht="18" customHeight="1" thickBot="1">
      <c r="A10" s="563" t="s">
        <v>1838</v>
      </c>
      <c r="B10" s="562">
        <v>65</v>
      </c>
      <c r="C10" s="561">
        <v>5</v>
      </c>
      <c r="D10" s="560" t="str">
        <f>INDEX(A6:A10,C10,0)</f>
        <v>부산</v>
      </c>
    </row>
    <row r="11" spans="1:12" ht="18.75" customHeight="1">
      <c r="D11" s="559"/>
    </row>
    <row r="13" spans="1:12" ht="16.5" customHeight="1">
      <c r="B13" s="557" t="s">
        <v>1853</v>
      </c>
    </row>
    <row r="14" spans="1:12" ht="18" customHeight="1">
      <c r="B14" s="556" t="s">
        <v>1852</v>
      </c>
    </row>
    <row r="15" spans="1:12" ht="8.25" customHeight="1">
      <c r="B15" s="556"/>
    </row>
    <row r="16" spans="1:12" ht="18" customHeight="1">
      <c r="B16" s="558" t="s">
        <v>1851</v>
      </c>
    </row>
    <row r="17" spans="1:8" ht="18" customHeight="1">
      <c r="B17" s="558" t="s">
        <v>1850</v>
      </c>
    </row>
    <row r="18" spans="1:8" ht="18" customHeight="1">
      <c r="B18" s="558" t="s">
        <v>1849</v>
      </c>
    </row>
    <row r="19" spans="1:8" ht="18" customHeight="1">
      <c r="B19" s="558" t="s">
        <v>1848</v>
      </c>
    </row>
    <row r="21" spans="1:8" ht="16.5" customHeight="1">
      <c r="B21" s="557" t="s">
        <v>1847</v>
      </c>
    </row>
    <row r="22" spans="1:8" ht="18" customHeight="1">
      <c r="B22" s="556" t="s">
        <v>1846</v>
      </c>
    </row>
    <row r="23" spans="1:8" ht="18" customHeight="1">
      <c r="B23" s="556"/>
    </row>
    <row r="24" spans="1:8" ht="8.25" customHeight="1" thickBot="1">
      <c r="B24" s="556"/>
    </row>
    <row r="25" spans="1:8" ht="15.75" customHeight="1" thickBot="1">
      <c r="A25" s="555"/>
      <c r="B25" s="554" t="s">
        <v>1845</v>
      </c>
      <c r="C25" s="554" t="s">
        <v>663</v>
      </c>
      <c r="D25" s="553" t="s">
        <v>1844</v>
      </c>
    </row>
    <row r="26" spans="1:8" ht="15.75" customHeight="1" thickBot="1">
      <c r="A26" s="549" t="s">
        <v>1843</v>
      </c>
      <c r="B26" s="548">
        <v>125</v>
      </c>
      <c r="C26" s="548">
        <v>230</v>
      </c>
      <c r="D26" s="547">
        <v>250</v>
      </c>
      <c r="F26" s="552" t="s">
        <v>1842</v>
      </c>
      <c r="G26" s="551"/>
      <c r="H26" s="550"/>
    </row>
    <row r="27" spans="1:8" ht="15.75" customHeight="1">
      <c r="A27" s="549" t="s">
        <v>1841</v>
      </c>
      <c r="B27" s="548">
        <v>245</v>
      </c>
      <c r="C27" s="548">
        <v>210</v>
      </c>
      <c r="D27" s="547">
        <v>260</v>
      </c>
    </row>
    <row r="28" spans="1:8" ht="15.75" customHeight="1">
      <c r="A28" s="549" t="s">
        <v>1840</v>
      </c>
      <c r="B28" s="548">
        <v>250</v>
      </c>
      <c r="C28" s="548">
        <v>635</v>
      </c>
      <c r="D28" s="547">
        <v>900</v>
      </c>
    </row>
    <row r="29" spans="1:8" ht="15.75" customHeight="1">
      <c r="A29" s="549" t="s">
        <v>1839</v>
      </c>
      <c r="B29" s="548">
        <v>300</v>
      </c>
      <c r="C29" s="548">
        <v>584</v>
      </c>
      <c r="D29" s="547">
        <v>245</v>
      </c>
    </row>
    <row r="30" spans="1:8" ht="15.75" customHeight="1" thickBot="1">
      <c r="A30" s="546" t="s">
        <v>1838</v>
      </c>
      <c r="B30" s="545">
        <v>560</v>
      </c>
      <c r="C30" s="545">
        <v>254</v>
      </c>
      <c r="D30" s="544">
        <v>260</v>
      </c>
    </row>
  </sheetData>
  <phoneticPr fontId="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2"/>
  <sheetViews>
    <sheetView workbookViewId="0">
      <selection activeCell="D12" sqref="D12"/>
    </sheetView>
  </sheetViews>
  <sheetFormatPr defaultRowHeight="14.4"/>
  <cols>
    <col min="1" max="3" width="9" style="543"/>
    <col min="4" max="4" width="10.69921875" style="543" customWidth="1"/>
    <col min="5" max="259" width="9" style="543"/>
    <col min="260" max="260" width="10.69921875" style="543" customWidth="1"/>
    <col min="261" max="515" width="9" style="543"/>
    <col min="516" max="516" width="10.69921875" style="543" customWidth="1"/>
    <col min="517" max="771" width="9" style="543"/>
    <col min="772" max="772" width="10.69921875" style="543" customWidth="1"/>
    <col min="773" max="1027" width="9" style="543"/>
    <col min="1028" max="1028" width="10.69921875" style="543" customWidth="1"/>
    <col min="1029" max="1283" width="9" style="543"/>
    <col min="1284" max="1284" width="10.69921875" style="543" customWidth="1"/>
    <col min="1285" max="1539" width="9" style="543"/>
    <col min="1540" max="1540" width="10.69921875" style="543" customWidth="1"/>
    <col min="1541" max="1795" width="9" style="543"/>
    <col min="1796" max="1796" width="10.69921875" style="543" customWidth="1"/>
    <col min="1797" max="2051" width="9" style="543"/>
    <col min="2052" max="2052" width="10.69921875" style="543" customWidth="1"/>
    <col min="2053" max="2307" width="9" style="543"/>
    <col min="2308" max="2308" width="10.69921875" style="543" customWidth="1"/>
    <col min="2309" max="2563" width="9" style="543"/>
    <col min="2564" max="2564" width="10.69921875" style="543" customWidth="1"/>
    <col min="2565" max="2819" width="9" style="543"/>
    <col min="2820" max="2820" width="10.69921875" style="543" customWidth="1"/>
    <col min="2821" max="3075" width="9" style="543"/>
    <col min="3076" max="3076" width="10.69921875" style="543" customWidth="1"/>
    <col min="3077" max="3331" width="9" style="543"/>
    <col min="3332" max="3332" width="10.69921875" style="543" customWidth="1"/>
    <col min="3333" max="3587" width="9" style="543"/>
    <col min="3588" max="3588" width="10.69921875" style="543" customWidth="1"/>
    <col min="3589" max="3843" width="9" style="543"/>
    <col min="3844" max="3844" width="10.69921875" style="543" customWidth="1"/>
    <col min="3845" max="4099" width="9" style="543"/>
    <col min="4100" max="4100" width="10.69921875" style="543" customWidth="1"/>
    <col min="4101" max="4355" width="9" style="543"/>
    <col min="4356" max="4356" width="10.69921875" style="543" customWidth="1"/>
    <col min="4357" max="4611" width="9" style="543"/>
    <col min="4612" max="4612" width="10.69921875" style="543" customWidth="1"/>
    <col min="4613" max="4867" width="9" style="543"/>
    <col min="4868" max="4868" width="10.69921875" style="543" customWidth="1"/>
    <col min="4869" max="5123" width="9" style="543"/>
    <col min="5124" max="5124" width="10.69921875" style="543" customWidth="1"/>
    <col min="5125" max="5379" width="9" style="543"/>
    <col min="5380" max="5380" width="10.69921875" style="543" customWidth="1"/>
    <col min="5381" max="5635" width="9" style="543"/>
    <col min="5636" max="5636" width="10.69921875" style="543" customWidth="1"/>
    <col min="5637" max="5891" width="9" style="543"/>
    <col min="5892" max="5892" width="10.69921875" style="543" customWidth="1"/>
    <col min="5893" max="6147" width="9" style="543"/>
    <col min="6148" max="6148" width="10.69921875" style="543" customWidth="1"/>
    <col min="6149" max="6403" width="9" style="543"/>
    <col min="6404" max="6404" width="10.69921875" style="543" customWidth="1"/>
    <col min="6405" max="6659" width="9" style="543"/>
    <col min="6660" max="6660" width="10.69921875" style="543" customWidth="1"/>
    <col min="6661" max="6915" width="9" style="543"/>
    <col min="6916" max="6916" width="10.69921875" style="543" customWidth="1"/>
    <col min="6917" max="7171" width="9" style="543"/>
    <col min="7172" max="7172" width="10.69921875" style="543" customWidth="1"/>
    <col min="7173" max="7427" width="9" style="543"/>
    <col min="7428" max="7428" width="10.69921875" style="543" customWidth="1"/>
    <col min="7429" max="7683" width="9" style="543"/>
    <col min="7684" max="7684" width="10.69921875" style="543" customWidth="1"/>
    <col min="7685" max="7939" width="9" style="543"/>
    <col min="7940" max="7940" width="10.69921875" style="543" customWidth="1"/>
    <col min="7941" max="8195" width="9" style="543"/>
    <col min="8196" max="8196" width="10.69921875" style="543" customWidth="1"/>
    <col min="8197" max="8451" width="9" style="543"/>
    <col min="8452" max="8452" width="10.69921875" style="543" customWidth="1"/>
    <col min="8453" max="8707" width="9" style="543"/>
    <col min="8708" max="8708" width="10.69921875" style="543" customWidth="1"/>
    <col min="8709" max="8963" width="9" style="543"/>
    <col min="8964" max="8964" width="10.69921875" style="543" customWidth="1"/>
    <col min="8965" max="9219" width="9" style="543"/>
    <col min="9220" max="9220" width="10.69921875" style="543" customWidth="1"/>
    <col min="9221" max="9475" width="9" style="543"/>
    <col min="9476" max="9476" width="10.69921875" style="543" customWidth="1"/>
    <col min="9477" max="9731" width="9" style="543"/>
    <col min="9732" max="9732" width="10.69921875" style="543" customWidth="1"/>
    <col min="9733" max="9987" width="9" style="543"/>
    <col min="9988" max="9988" width="10.69921875" style="543" customWidth="1"/>
    <col min="9989" max="10243" width="9" style="543"/>
    <col min="10244" max="10244" width="10.69921875" style="543" customWidth="1"/>
    <col min="10245" max="10499" width="9" style="543"/>
    <col min="10500" max="10500" width="10.69921875" style="543" customWidth="1"/>
    <col min="10501" max="10755" width="9" style="543"/>
    <col min="10756" max="10756" width="10.69921875" style="543" customWidth="1"/>
    <col min="10757" max="11011" width="9" style="543"/>
    <col min="11012" max="11012" width="10.69921875" style="543" customWidth="1"/>
    <col min="11013" max="11267" width="9" style="543"/>
    <col min="11268" max="11268" width="10.69921875" style="543" customWidth="1"/>
    <col min="11269" max="11523" width="9" style="543"/>
    <col min="11524" max="11524" width="10.69921875" style="543" customWidth="1"/>
    <col min="11525" max="11779" width="9" style="543"/>
    <col min="11780" max="11780" width="10.69921875" style="543" customWidth="1"/>
    <col min="11781" max="12035" width="9" style="543"/>
    <col min="12036" max="12036" width="10.69921875" style="543" customWidth="1"/>
    <col min="12037" max="12291" width="9" style="543"/>
    <col min="12292" max="12292" width="10.69921875" style="543" customWidth="1"/>
    <col min="12293" max="12547" width="9" style="543"/>
    <col min="12548" max="12548" width="10.69921875" style="543" customWidth="1"/>
    <col min="12549" max="12803" width="9" style="543"/>
    <col min="12804" max="12804" width="10.69921875" style="543" customWidth="1"/>
    <col min="12805" max="13059" width="9" style="543"/>
    <col min="13060" max="13060" width="10.69921875" style="543" customWidth="1"/>
    <col min="13061" max="13315" width="9" style="543"/>
    <col min="13316" max="13316" width="10.69921875" style="543" customWidth="1"/>
    <col min="13317" max="13571" width="9" style="543"/>
    <col min="13572" max="13572" width="10.69921875" style="543" customWidth="1"/>
    <col min="13573" max="13827" width="9" style="543"/>
    <col min="13828" max="13828" width="10.69921875" style="543" customWidth="1"/>
    <col min="13829" max="14083" width="9" style="543"/>
    <col min="14084" max="14084" width="10.69921875" style="543" customWidth="1"/>
    <col min="14085" max="14339" width="9" style="543"/>
    <col min="14340" max="14340" width="10.69921875" style="543" customWidth="1"/>
    <col min="14341" max="14595" width="9" style="543"/>
    <col min="14596" max="14596" width="10.69921875" style="543" customWidth="1"/>
    <col min="14597" max="14851" width="9" style="543"/>
    <col min="14852" max="14852" width="10.69921875" style="543" customWidth="1"/>
    <col min="14853" max="15107" width="9" style="543"/>
    <col min="15108" max="15108" width="10.69921875" style="543" customWidth="1"/>
    <col min="15109" max="15363" width="9" style="543"/>
    <col min="15364" max="15364" width="10.69921875" style="543" customWidth="1"/>
    <col min="15365" max="15619" width="9" style="543"/>
    <col min="15620" max="15620" width="10.69921875" style="543" customWidth="1"/>
    <col min="15621" max="15875" width="9" style="543"/>
    <col min="15876" max="15876" width="10.69921875" style="543" customWidth="1"/>
    <col min="15877" max="16131" width="9" style="543"/>
    <col min="16132" max="16132" width="10.69921875" style="543" customWidth="1"/>
    <col min="16133" max="16384" width="9" style="543"/>
  </cols>
  <sheetData>
    <row r="2" spans="1:7" ht="15" customHeight="1" thickBot="1">
      <c r="B2" s="557" t="s">
        <v>1860</v>
      </c>
    </row>
    <row r="3" spans="1:7" ht="16.5" customHeight="1">
      <c r="A3" s="581" t="s">
        <v>1861</v>
      </c>
      <c r="B3" s="580"/>
      <c r="C3" s="579" t="s">
        <v>1843</v>
      </c>
      <c r="D3" s="579" t="s">
        <v>1862</v>
      </c>
      <c r="E3" s="579" t="s">
        <v>1841</v>
      </c>
      <c r="F3" s="579" t="s">
        <v>1840</v>
      </c>
      <c r="G3" s="578" t="s">
        <v>1838</v>
      </c>
    </row>
    <row r="4" spans="1:7" ht="16.5" customHeight="1">
      <c r="B4" s="577" t="s">
        <v>1843</v>
      </c>
      <c r="C4" s="575"/>
      <c r="D4" s="576">
        <v>5000</v>
      </c>
      <c r="E4" s="576">
        <v>10000</v>
      </c>
      <c r="F4" s="576">
        <v>15000</v>
      </c>
      <c r="G4" s="574">
        <v>25000</v>
      </c>
    </row>
    <row r="5" spans="1:7" ht="16.5" customHeight="1">
      <c r="B5" s="577" t="s">
        <v>1862</v>
      </c>
      <c r="C5" s="576">
        <v>5000</v>
      </c>
      <c r="D5" s="575"/>
      <c r="E5" s="576">
        <v>4800</v>
      </c>
      <c r="F5" s="576">
        <v>11000</v>
      </c>
      <c r="G5" s="574">
        <v>20500</v>
      </c>
    </row>
    <row r="6" spans="1:7" ht="16.5" customHeight="1">
      <c r="B6" s="577" t="s">
        <v>1841</v>
      </c>
      <c r="C6" s="576">
        <v>10000</v>
      </c>
      <c r="D6" s="576">
        <v>4800</v>
      </c>
      <c r="E6" s="575"/>
      <c r="F6" s="576">
        <v>8000</v>
      </c>
      <c r="G6" s="574">
        <v>13000</v>
      </c>
    </row>
    <row r="7" spans="1:7" ht="16.5" customHeight="1">
      <c r="B7" s="577" t="s">
        <v>1840</v>
      </c>
      <c r="C7" s="576">
        <v>15000</v>
      </c>
      <c r="D7" s="576">
        <v>11000</v>
      </c>
      <c r="E7" s="576">
        <v>8000</v>
      </c>
      <c r="F7" s="575"/>
      <c r="G7" s="574">
        <v>23000</v>
      </c>
    </row>
    <row r="8" spans="1:7" ht="16.5" customHeight="1" thickBot="1">
      <c r="B8" s="573" t="s">
        <v>1838</v>
      </c>
      <c r="C8" s="572">
        <v>25000</v>
      </c>
      <c r="D8" s="572">
        <v>20500</v>
      </c>
      <c r="E8" s="572">
        <v>13000</v>
      </c>
      <c r="F8" s="572">
        <v>23000</v>
      </c>
      <c r="G8" s="571"/>
    </row>
    <row r="10" spans="1:7" ht="15" thickBot="1"/>
    <row r="11" spans="1:7" s="562" customFormat="1" ht="16.5" customHeight="1">
      <c r="B11" s="570" t="s">
        <v>1861</v>
      </c>
      <c r="C11" s="569" t="s">
        <v>1860</v>
      </c>
      <c r="D11" s="568" t="s">
        <v>1859</v>
      </c>
    </row>
    <row r="12" spans="1:7" s="562" customFormat="1" ht="21" customHeight="1" thickBot="1">
      <c r="B12" s="567" t="s">
        <v>543</v>
      </c>
      <c r="C12" s="545" t="s">
        <v>547</v>
      </c>
      <c r="D12" s="566">
        <f>INDEX(C4:G8,MATCH(B12,B4:B8,0),MATCH(C12,C3:G3,0))</f>
        <v>15000</v>
      </c>
    </row>
  </sheetData>
  <phoneticPr fontId="8" type="noConversion"/>
  <dataValidations count="2">
    <dataValidation type="list" allowBlank="1" showInputMessage="1" showErrorMessage="1" sqref="B12">
      <formula1>$B$4:$B$8</formula1>
    </dataValidation>
    <dataValidation type="list" allowBlank="1" showInputMessage="1" showErrorMessage="1" sqref="C12">
      <formula1>$C$3:$G$3</formula1>
    </dataValidation>
  </dataValidations>
  <pageMargins left="0.7" right="0.7" top="0.75" bottom="0.75" header="0.3" footer="0.3"/>
  <drawing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72"/>
  <sheetViews>
    <sheetView showGridLines="0" workbookViewId="0">
      <pane ySplit="8" topLeftCell="A60" activePane="bottomLeft" state="frozen"/>
      <selection pane="bottomLeft" activeCell="D5" sqref="D5:E5"/>
    </sheetView>
  </sheetViews>
  <sheetFormatPr defaultColWidth="8.09765625" defaultRowHeight="15.6"/>
  <cols>
    <col min="1" max="1" width="3.69921875" style="69" customWidth="1"/>
    <col min="2" max="2" width="10.19921875" style="69" customWidth="1"/>
    <col min="3" max="3" width="21.3984375" style="69" customWidth="1"/>
    <col min="4" max="4" width="12.3984375" style="69" bestFit="1" customWidth="1"/>
    <col min="5" max="5" width="12.3984375" style="69" customWidth="1"/>
    <col min="6" max="6" width="9.796875" style="69" customWidth="1"/>
    <col min="7" max="7" width="10.3984375" style="69" bestFit="1" customWidth="1"/>
    <col min="8" max="8" width="1.796875" style="69" customWidth="1"/>
    <col min="9" max="9" width="8.09765625" style="69"/>
    <col min="10" max="10" width="9.296875" style="69" customWidth="1"/>
    <col min="11" max="16384" width="8.09765625" style="69"/>
  </cols>
  <sheetData>
    <row r="1" spans="2:10" s="74" customFormat="1" ht="18" customHeight="1" thickBot="1"/>
    <row r="2" spans="2:10" s="74" customFormat="1" ht="23.25" customHeight="1" thickBot="1">
      <c r="B2" s="646" t="s">
        <v>484</v>
      </c>
      <c r="C2" s="646"/>
      <c r="D2" s="650" t="s">
        <v>82</v>
      </c>
      <c r="E2" s="651"/>
    </row>
    <row r="3" spans="2:10" s="74" customFormat="1" ht="10.5" customHeight="1"/>
    <row r="4" spans="2:10" s="74" customFormat="1" ht="23.25" customHeight="1">
      <c r="B4" s="647" t="s">
        <v>483</v>
      </c>
      <c r="C4" s="321" t="s">
        <v>1412</v>
      </c>
      <c r="D4" s="672">
        <f>COUNTIF($F$9:$F$72,$D$2)</f>
        <v>7</v>
      </c>
      <c r="E4" s="673"/>
    </row>
    <row r="5" spans="2:10" s="74" customFormat="1" ht="23.25" customHeight="1">
      <c r="B5" s="648"/>
      <c r="C5" s="321" t="s">
        <v>1413</v>
      </c>
      <c r="D5" s="670">
        <f>SUMIF($F$9:$F$72,$D$2,$G$9:$G$72)</f>
        <v>27291300</v>
      </c>
      <c r="E5" s="671"/>
    </row>
    <row r="6" spans="2:10" s="74" customFormat="1" ht="23.25" customHeight="1">
      <c r="B6" s="649"/>
      <c r="C6" s="322" t="s">
        <v>1414</v>
      </c>
      <c r="D6" s="674">
        <f>D5/D4</f>
        <v>3898757.1428571427</v>
      </c>
      <c r="E6" s="675"/>
    </row>
    <row r="7" spans="2:10" s="74" customFormat="1" ht="18" customHeight="1"/>
    <row r="8" spans="2:10" s="74" customFormat="1" ht="18" customHeight="1">
      <c r="B8" s="233" t="s">
        <v>482</v>
      </c>
      <c r="C8" s="234" t="s">
        <v>481</v>
      </c>
      <c r="D8" s="234" t="s">
        <v>480</v>
      </c>
      <c r="E8" s="234" t="s">
        <v>479</v>
      </c>
      <c r="F8" s="234" t="s">
        <v>478</v>
      </c>
      <c r="G8" s="235" t="s">
        <v>477</v>
      </c>
    </row>
    <row r="9" spans="2:10">
      <c r="B9" s="169" t="s">
        <v>476</v>
      </c>
      <c r="C9" s="169" t="s">
        <v>475</v>
      </c>
      <c r="D9" s="169" t="s">
        <v>474</v>
      </c>
      <c r="E9" s="169" t="s">
        <v>295</v>
      </c>
      <c r="F9" s="169" t="s">
        <v>76</v>
      </c>
      <c r="G9" s="170">
        <v>5244600</v>
      </c>
      <c r="J9" s="69" t="str">
        <f>IFERROR(LEFT($C$9:$C$72,FIND(" ",C9)),C9)</f>
        <v>원창</v>
      </c>
    </row>
    <row r="10" spans="2:10">
      <c r="B10" s="73" t="s">
        <v>473</v>
      </c>
      <c r="C10" s="73" t="s">
        <v>472</v>
      </c>
      <c r="D10" s="73" t="s">
        <v>94</v>
      </c>
      <c r="E10" s="73" t="s">
        <v>295</v>
      </c>
      <c r="F10" s="73" t="s">
        <v>76</v>
      </c>
      <c r="G10" s="72">
        <v>5514500</v>
      </c>
      <c r="J10" s="69" t="str">
        <f t="shared" ref="J10:J72" si="0">IFERROR(LEFT($C$9:$C$72,FIND(" ",C10)),C10)</f>
        <v xml:space="preserve">동광 </v>
      </c>
    </row>
    <row r="11" spans="2:10">
      <c r="B11" s="73" t="s">
        <v>471</v>
      </c>
      <c r="C11" s="73" t="s">
        <v>470</v>
      </c>
      <c r="D11" s="73" t="s">
        <v>74</v>
      </c>
      <c r="E11" s="73" t="s">
        <v>304</v>
      </c>
      <c r="F11" s="73" t="s">
        <v>82</v>
      </c>
      <c r="G11" s="72">
        <v>4093500</v>
      </c>
      <c r="J11" s="69" t="str">
        <f t="shared" si="0"/>
        <v xml:space="preserve">경성 </v>
      </c>
    </row>
    <row r="12" spans="2:10">
      <c r="B12" s="73" t="s">
        <v>469</v>
      </c>
      <c r="C12" s="73" t="s">
        <v>468</v>
      </c>
      <c r="D12" s="73" t="s">
        <v>467</v>
      </c>
      <c r="E12" s="73" t="s">
        <v>315</v>
      </c>
      <c r="F12" s="73" t="s">
        <v>96</v>
      </c>
      <c r="G12" s="72">
        <v>5607600</v>
      </c>
      <c r="J12" s="69" t="str">
        <f t="shared" si="0"/>
        <v xml:space="preserve">정금 </v>
      </c>
    </row>
    <row r="13" spans="2:10">
      <c r="B13" s="73" t="s">
        <v>466</v>
      </c>
      <c r="C13" s="73" t="s">
        <v>465</v>
      </c>
      <c r="D13" s="73" t="s">
        <v>464</v>
      </c>
      <c r="E13" s="73" t="s">
        <v>304</v>
      </c>
      <c r="F13" s="73" t="s">
        <v>76</v>
      </c>
      <c r="G13" s="72">
        <v>4743300</v>
      </c>
      <c r="J13" s="69" t="str">
        <f t="shared" si="0"/>
        <v xml:space="preserve">협우 </v>
      </c>
    </row>
    <row r="14" spans="2:10">
      <c r="B14" s="73" t="s">
        <v>463</v>
      </c>
      <c r="C14" s="73" t="s">
        <v>462</v>
      </c>
      <c r="D14" s="73" t="s">
        <v>79</v>
      </c>
      <c r="E14" s="73" t="s">
        <v>333</v>
      </c>
      <c r="F14" s="73" t="s">
        <v>76</v>
      </c>
      <c r="G14" s="72">
        <v>1312300</v>
      </c>
      <c r="J14" s="69" t="str">
        <f t="shared" si="0"/>
        <v xml:space="preserve">베네디스 </v>
      </c>
    </row>
    <row r="15" spans="2:10">
      <c r="B15" s="73" t="s">
        <v>461</v>
      </c>
      <c r="C15" s="73" t="s">
        <v>460</v>
      </c>
      <c r="D15" s="73" t="s">
        <v>459</v>
      </c>
      <c r="E15" s="73" t="s">
        <v>295</v>
      </c>
      <c r="F15" s="73" t="s">
        <v>91</v>
      </c>
      <c r="G15" s="72">
        <v>5653800</v>
      </c>
      <c r="J15" s="69" t="str">
        <f t="shared" si="0"/>
        <v xml:space="preserve">삼화 </v>
      </c>
    </row>
    <row r="16" spans="2:10">
      <c r="B16" s="73" t="s">
        <v>458</v>
      </c>
      <c r="C16" s="73" t="s">
        <v>457</v>
      </c>
      <c r="D16" s="73" t="s">
        <v>456</v>
      </c>
      <c r="E16" s="73" t="s">
        <v>295</v>
      </c>
      <c r="F16" s="73" t="s">
        <v>76</v>
      </c>
      <c r="G16" s="72">
        <v>5595000</v>
      </c>
      <c r="J16" s="69" t="str">
        <f t="shared" si="0"/>
        <v xml:space="preserve">서주 </v>
      </c>
    </row>
    <row r="17" spans="2:10">
      <c r="B17" s="73" t="s">
        <v>455</v>
      </c>
      <c r="C17" s="73" t="s">
        <v>454</v>
      </c>
      <c r="D17" s="73" t="s">
        <v>453</v>
      </c>
      <c r="E17" s="73" t="s">
        <v>308</v>
      </c>
      <c r="F17" s="73" t="s">
        <v>91</v>
      </c>
      <c r="G17" s="72">
        <v>4251900</v>
      </c>
      <c r="J17" s="69" t="str">
        <f t="shared" si="0"/>
        <v xml:space="preserve">태강 </v>
      </c>
    </row>
    <row r="18" spans="2:10">
      <c r="B18" s="73" t="s">
        <v>452</v>
      </c>
      <c r="C18" s="73" t="s">
        <v>451</v>
      </c>
      <c r="D18" s="73" t="s">
        <v>450</v>
      </c>
      <c r="E18" s="73" t="s">
        <v>304</v>
      </c>
      <c r="F18" s="73" t="s">
        <v>76</v>
      </c>
      <c r="G18" s="72">
        <v>2287800</v>
      </c>
      <c r="J18" s="69" t="str">
        <f t="shared" si="0"/>
        <v xml:space="preserve">혜성 </v>
      </c>
    </row>
    <row r="19" spans="2:10">
      <c r="B19" s="73" t="s">
        <v>449</v>
      </c>
      <c r="C19" s="73" t="s">
        <v>448</v>
      </c>
      <c r="D19" s="73" t="s">
        <v>447</v>
      </c>
      <c r="E19" s="73" t="s">
        <v>326</v>
      </c>
      <c r="F19" s="73" t="s">
        <v>82</v>
      </c>
      <c r="G19" s="72">
        <v>4354200</v>
      </c>
      <c r="J19" s="69" t="str">
        <f t="shared" si="0"/>
        <v xml:space="preserve">진주 </v>
      </c>
    </row>
    <row r="20" spans="2:10">
      <c r="B20" s="73" t="s">
        <v>446</v>
      </c>
      <c r="C20" s="73" t="s">
        <v>445</v>
      </c>
      <c r="D20" s="73" t="s">
        <v>93</v>
      </c>
      <c r="E20" s="73" t="s">
        <v>295</v>
      </c>
      <c r="F20" s="73" t="s">
        <v>76</v>
      </c>
      <c r="G20" s="72">
        <v>4177200</v>
      </c>
      <c r="J20" s="69" t="str">
        <f t="shared" si="0"/>
        <v xml:space="preserve">동남 </v>
      </c>
    </row>
    <row r="21" spans="2:10">
      <c r="B21" s="73" t="s">
        <v>444</v>
      </c>
      <c r="C21" s="73" t="s">
        <v>443</v>
      </c>
      <c r="D21" s="73" t="s">
        <v>95</v>
      </c>
      <c r="E21" s="73" t="s">
        <v>304</v>
      </c>
      <c r="F21" s="73" t="s">
        <v>76</v>
      </c>
      <c r="G21" s="72">
        <v>3417600</v>
      </c>
      <c r="J21" s="69" t="str">
        <f t="shared" si="0"/>
        <v xml:space="preserve">대진 </v>
      </c>
    </row>
    <row r="22" spans="2:10">
      <c r="B22" s="73" t="s">
        <v>442</v>
      </c>
      <c r="C22" s="73" t="s">
        <v>441</v>
      </c>
      <c r="D22" s="73" t="s">
        <v>106</v>
      </c>
      <c r="E22" s="73" t="s">
        <v>315</v>
      </c>
      <c r="F22" s="73" t="s">
        <v>76</v>
      </c>
      <c r="G22" s="72">
        <v>4457600</v>
      </c>
      <c r="J22" s="69" t="str">
        <f t="shared" si="0"/>
        <v xml:space="preserve">극동 </v>
      </c>
    </row>
    <row r="23" spans="2:10">
      <c r="B23" s="73" t="s">
        <v>440</v>
      </c>
      <c r="C23" s="73" t="s">
        <v>439</v>
      </c>
      <c r="D23" s="73" t="s">
        <v>438</v>
      </c>
      <c r="E23" s="73" t="s">
        <v>295</v>
      </c>
      <c r="F23" s="73" t="s">
        <v>76</v>
      </c>
      <c r="G23" s="72">
        <v>2395400</v>
      </c>
      <c r="J23" s="69" t="str">
        <f t="shared" si="0"/>
        <v xml:space="preserve">양정 </v>
      </c>
    </row>
    <row r="24" spans="2:10">
      <c r="B24" s="73" t="s">
        <v>437</v>
      </c>
      <c r="C24" s="73" t="s">
        <v>436</v>
      </c>
      <c r="D24" s="73" t="s">
        <v>435</v>
      </c>
      <c r="E24" s="73" t="s">
        <v>315</v>
      </c>
      <c r="F24" s="73" t="s">
        <v>82</v>
      </c>
      <c r="G24" s="72">
        <v>3579600</v>
      </c>
      <c r="J24" s="69" t="str">
        <f t="shared" si="0"/>
        <v xml:space="preserve">신세계 </v>
      </c>
    </row>
    <row r="25" spans="2:10">
      <c r="B25" s="73" t="s">
        <v>434</v>
      </c>
      <c r="C25" s="73" t="s">
        <v>433</v>
      </c>
      <c r="D25" s="73" t="s">
        <v>432</v>
      </c>
      <c r="E25" s="73" t="s">
        <v>354</v>
      </c>
      <c r="F25" s="73" t="s">
        <v>76</v>
      </c>
      <c r="G25" s="72">
        <v>1287700</v>
      </c>
      <c r="J25" s="69" t="str">
        <f t="shared" si="0"/>
        <v>삼일</v>
      </c>
    </row>
    <row r="26" spans="2:10">
      <c r="B26" s="73" t="s">
        <v>431</v>
      </c>
      <c r="C26" s="73" t="s">
        <v>430</v>
      </c>
      <c r="D26" s="73" t="s">
        <v>429</v>
      </c>
      <c r="E26" s="73" t="s">
        <v>308</v>
      </c>
      <c r="F26" s="73" t="s">
        <v>96</v>
      </c>
      <c r="G26" s="72">
        <v>1110500</v>
      </c>
      <c r="J26" s="69" t="str">
        <f t="shared" si="0"/>
        <v xml:space="preserve">세주 </v>
      </c>
    </row>
    <row r="27" spans="2:10">
      <c r="B27" s="73" t="s">
        <v>428</v>
      </c>
      <c r="C27" s="73" t="s">
        <v>427</v>
      </c>
      <c r="D27" s="73" t="s">
        <v>426</v>
      </c>
      <c r="E27" s="73" t="s">
        <v>304</v>
      </c>
      <c r="F27" s="73" t="s">
        <v>76</v>
      </c>
      <c r="G27" s="72">
        <v>4044300</v>
      </c>
      <c r="J27" s="69" t="str">
        <f t="shared" si="0"/>
        <v xml:space="preserve">한일 </v>
      </c>
    </row>
    <row r="28" spans="2:10">
      <c r="B28" s="73" t="s">
        <v>425</v>
      </c>
      <c r="C28" s="73" t="s">
        <v>424</v>
      </c>
      <c r="D28" s="73" t="s">
        <v>423</v>
      </c>
      <c r="E28" s="73" t="s">
        <v>333</v>
      </c>
      <c r="F28" s="73" t="s">
        <v>76</v>
      </c>
      <c r="G28" s="72">
        <v>3497300</v>
      </c>
      <c r="J28" s="69" t="str">
        <f t="shared" si="0"/>
        <v>진흥</v>
      </c>
    </row>
    <row r="29" spans="2:10">
      <c r="B29" s="73" t="s">
        <v>422</v>
      </c>
      <c r="C29" s="73" t="s">
        <v>421</v>
      </c>
      <c r="D29" s="73" t="s">
        <v>420</v>
      </c>
      <c r="E29" s="73" t="s">
        <v>304</v>
      </c>
      <c r="F29" s="73" t="s">
        <v>76</v>
      </c>
      <c r="G29" s="72">
        <v>1886900</v>
      </c>
      <c r="J29" s="69" t="str">
        <f t="shared" si="0"/>
        <v xml:space="preserve">한미 </v>
      </c>
    </row>
    <row r="30" spans="2:10">
      <c r="B30" s="73" t="s">
        <v>419</v>
      </c>
      <c r="C30" s="73" t="s">
        <v>418</v>
      </c>
      <c r="D30" s="73" t="s">
        <v>108</v>
      </c>
      <c r="E30" s="73" t="s">
        <v>326</v>
      </c>
      <c r="F30" s="73" t="s">
        <v>76</v>
      </c>
      <c r="G30" s="72">
        <v>3444700</v>
      </c>
      <c r="J30" s="69" t="str">
        <f t="shared" si="0"/>
        <v xml:space="preserve">광성 </v>
      </c>
    </row>
    <row r="31" spans="2:10">
      <c r="B31" s="73" t="s">
        <v>417</v>
      </c>
      <c r="C31" s="73" t="s">
        <v>416</v>
      </c>
      <c r="D31" s="73" t="s">
        <v>415</v>
      </c>
      <c r="E31" s="73" t="s">
        <v>315</v>
      </c>
      <c r="F31" s="73" t="s">
        <v>76</v>
      </c>
      <c r="G31" s="72">
        <v>5449900</v>
      </c>
      <c r="J31" s="69" t="str">
        <f t="shared" si="0"/>
        <v xml:space="preserve">한미 </v>
      </c>
    </row>
    <row r="32" spans="2:10">
      <c r="B32" s="73" t="s">
        <v>414</v>
      </c>
      <c r="C32" s="73" t="s">
        <v>413</v>
      </c>
      <c r="D32" s="73" t="s">
        <v>412</v>
      </c>
      <c r="E32" s="73" t="s">
        <v>333</v>
      </c>
      <c r="F32" s="73" t="s">
        <v>76</v>
      </c>
      <c r="G32" s="72">
        <v>3698200</v>
      </c>
      <c r="J32" s="69" t="str">
        <f t="shared" si="0"/>
        <v>캘리포니아</v>
      </c>
    </row>
    <row r="33" spans="2:10">
      <c r="B33" s="73" t="s">
        <v>411</v>
      </c>
      <c r="C33" s="73" t="s">
        <v>410</v>
      </c>
      <c r="D33" s="73" t="s">
        <v>89</v>
      </c>
      <c r="E33" s="73" t="s">
        <v>295</v>
      </c>
      <c r="F33" s="73" t="s">
        <v>76</v>
      </c>
      <c r="G33" s="72">
        <v>1643400</v>
      </c>
      <c r="J33" s="69" t="str">
        <f t="shared" si="0"/>
        <v xml:space="preserve">동성 </v>
      </c>
    </row>
    <row r="34" spans="2:10">
      <c r="B34" s="73" t="s">
        <v>409</v>
      </c>
      <c r="C34" s="73" t="s">
        <v>408</v>
      </c>
      <c r="D34" s="73" t="s">
        <v>407</v>
      </c>
      <c r="E34" s="73" t="s">
        <v>304</v>
      </c>
      <c r="F34" s="73" t="s">
        <v>76</v>
      </c>
      <c r="G34" s="72">
        <v>4719400</v>
      </c>
      <c r="J34" s="69" t="str">
        <f t="shared" si="0"/>
        <v xml:space="preserve">아성 </v>
      </c>
    </row>
    <row r="35" spans="2:10">
      <c r="B35" s="73" t="s">
        <v>406</v>
      </c>
      <c r="C35" s="73" t="s">
        <v>405</v>
      </c>
      <c r="D35" s="73" t="s">
        <v>404</v>
      </c>
      <c r="E35" s="73" t="s">
        <v>304</v>
      </c>
      <c r="F35" s="73" t="s">
        <v>91</v>
      </c>
      <c r="G35" s="72">
        <v>1586100</v>
      </c>
      <c r="J35" s="69" t="str">
        <f t="shared" si="0"/>
        <v xml:space="preserve">샤론 </v>
      </c>
    </row>
    <row r="36" spans="2:10">
      <c r="B36" s="73" t="s">
        <v>403</v>
      </c>
      <c r="C36" s="73" t="s">
        <v>402</v>
      </c>
      <c r="D36" s="73" t="s">
        <v>105</v>
      </c>
      <c r="E36" s="73" t="s">
        <v>401</v>
      </c>
      <c r="F36" s="73" t="s">
        <v>76</v>
      </c>
      <c r="G36" s="72">
        <v>3949600</v>
      </c>
      <c r="J36" s="69" t="str">
        <f t="shared" si="0"/>
        <v xml:space="preserve">글로리아 </v>
      </c>
    </row>
    <row r="37" spans="2:10">
      <c r="B37" s="73" t="s">
        <v>400</v>
      </c>
      <c r="C37" s="73" t="s">
        <v>399</v>
      </c>
      <c r="D37" s="73" t="s">
        <v>398</v>
      </c>
      <c r="E37" s="73" t="s">
        <v>304</v>
      </c>
      <c r="F37" s="73" t="s">
        <v>82</v>
      </c>
      <c r="G37" s="72">
        <v>5233400</v>
      </c>
      <c r="J37" s="69" t="str">
        <f t="shared" si="0"/>
        <v xml:space="preserve">신세기 </v>
      </c>
    </row>
    <row r="38" spans="2:10">
      <c r="B38" s="73" t="s">
        <v>397</v>
      </c>
      <c r="C38" s="73" t="s">
        <v>396</v>
      </c>
      <c r="D38" s="73" t="s">
        <v>395</v>
      </c>
      <c r="E38" s="73" t="s">
        <v>304</v>
      </c>
      <c r="F38" s="73" t="s">
        <v>76</v>
      </c>
      <c r="G38" s="72">
        <v>5646400</v>
      </c>
      <c r="J38" s="69" t="str">
        <f t="shared" si="0"/>
        <v xml:space="preserve">세준 </v>
      </c>
    </row>
    <row r="39" spans="2:10">
      <c r="B39" s="73" t="s">
        <v>394</v>
      </c>
      <c r="C39" s="73" t="s">
        <v>393</v>
      </c>
      <c r="D39" s="73" t="s">
        <v>392</v>
      </c>
      <c r="E39" s="73" t="s">
        <v>315</v>
      </c>
      <c r="F39" s="73" t="s">
        <v>96</v>
      </c>
      <c r="G39" s="72">
        <v>1395600</v>
      </c>
      <c r="J39" s="69" t="str">
        <f t="shared" si="0"/>
        <v xml:space="preserve">조선 </v>
      </c>
    </row>
    <row r="40" spans="2:10">
      <c r="B40" s="73" t="s">
        <v>391</v>
      </c>
      <c r="C40" s="73" t="s">
        <v>390</v>
      </c>
      <c r="D40" s="73" t="s">
        <v>389</v>
      </c>
      <c r="E40" s="73" t="s">
        <v>304</v>
      </c>
      <c r="F40" s="73" t="s">
        <v>76</v>
      </c>
      <c r="G40" s="72">
        <v>1346100</v>
      </c>
      <c r="J40" s="69" t="str">
        <f t="shared" si="0"/>
        <v xml:space="preserve">성화 </v>
      </c>
    </row>
    <row r="41" spans="2:10">
      <c r="B41" s="73" t="s">
        <v>388</v>
      </c>
      <c r="C41" s="73" t="s">
        <v>387</v>
      </c>
      <c r="D41" s="73" t="s">
        <v>90</v>
      </c>
      <c r="E41" s="73" t="s">
        <v>304</v>
      </c>
      <c r="F41" s="73" t="s">
        <v>76</v>
      </c>
      <c r="G41" s="72">
        <v>1452800</v>
      </c>
      <c r="J41" s="69" t="str">
        <f t="shared" si="0"/>
        <v xml:space="preserve">동방 </v>
      </c>
    </row>
    <row r="42" spans="2:10">
      <c r="B42" s="73" t="s">
        <v>386</v>
      </c>
      <c r="C42" s="73" t="s">
        <v>385</v>
      </c>
      <c r="D42" s="73" t="s">
        <v>109</v>
      </c>
      <c r="E42" s="73" t="s">
        <v>308</v>
      </c>
      <c r="F42" s="73" t="s">
        <v>76</v>
      </c>
      <c r="G42" s="72">
        <v>4855400</v>
      </c>
      <c r="J42" s="69" t="str">
        <f t="shared" si="0"/>
        <v xml:space="preserve">경동 </v>
      </c>
    </row>
    <row r="43" spans="2:10">
      <c r="B43" s="73" t="s">
        <v>384</v>
      </c>
      <c r="C43" s="73" t="s">
        <v>383</v>
      </c>
      <c r="D43" s="73" t="s">
        <v>382</v>
      </c>
      <c r="E43" s="73" t="s">
        <v>295</v>
      </c>
      <c r="F43" s="73" t="s">
        <v>76</v>
      </c>
      <c r="G43" s="72">
        <v>1600900</v>
      </c>
      <c r="J43" s="69" t="str">
        <f t="shared" si="0"/>
        <v xml:space="preserve">흑진주 </v>
      </c>
    </row>
    <row r="44" spans="2:10">
      <c r="B44" s="73" t="s">
        <v>381</v>
      </c>
      <c r="C44" s="73" t="s">
        <v>380</v>
      </c>
      <c r="D44" s="73" t="s">
        <v>379</v>
      </c>
      <c r="E44" s="73" t="s">
        <v>326</v>
      </c>
      <c r="F44" s="73" t="s">
        <v>76</v>
      </c>
      <c r="G44" s="72">
        <v>2368100</v>
      </c>
      <c r="J44" s="69" t="str">
        <f t="shared" si="0"/>
        <v xml:space="preserve">성진 </v>
      </c>
    </row>
    <row r="45" spans="2:10">
      <c r="B45" s="73" t="s">
        <v>378</v>
      </c>
      <c r="C45" s="73" t="s">
        <v>377</v>
      </c>
      <c r="D45" s="73" t="s">
        <v>376</v>
      </c>
      <c r="E45" s="73" t="s">
        <v>354</v>
      </c>
      <c r="F45" s="73" t="s">
        <v>76</v>
      </c>
      <c r="G45" s="72">
        <v>2302800</v>
      </c>
      <c r="J45" s="69" t="str">
        <f t="shared" si="0"/>
        <v xml:space="preserve">신천지 </v>
      </c>
    </row>
    <row r="46" spans="2:10">
      <c r="B46" s="73" t="s">
        <v>375</v>
      </c>
      <c r="C46" s="73" t="s">
        <v>374</v>
      </c>
      <c r="D46" s="73" t="s">
        <v>373</v>
      </c>
      <c r="E46" s="73" t="s">
        <v>304</v>
      </c>
      <c r="F46" s="73" t="s">
        <v>76</v>
      </c>
      <c r="G46" s="72">
        <v>3781300</v>
      </c>
      <c r="J46" s="69" t="str">
        <f t="shared" si="0"/>
        <v xml:space="preserve">아틀란티스 </v>
      </c>
    </row>
    <row r="47" spans="2:10">
      <c r="B47" s="73" t="s">
        <v>372</v>
      </c>
      <c r="C47" s="73" t="s">
        <v>371</v>
      </c>
      <c r="D47" s="73" t="s">
        <v>370</v>
      </c>
      <c r="E47" s="73" t="s">
        <v>304</v>
      </c>
      <c r="F47" s="73" t="s">
        <v>76</v>
      </c>
      <c r="G47" s="72">
        <v>4506400</v>
      </c>
      <c r="J47" s="69" t="str">
        <f t="shared" si="0"/>
        <v xml:space="preserve">새롬 </v>
      </c>
    </row>
    <row r="48" spans="2:10">
      <c r="B48" s="73" t="s">
        <v>369</v>
      </c>
      <c r="C48" s="73" t="s">
        <v>368</v>
      </c>
      <c r="D48" s="73" t="s">
        <v>367</v>
      </c>
      <c r="E48" s="73" t="s">
        <v>304</v>
      </c>
      <c r="F48" s="73" t="s">
        <v>76</v>
      </c>
      <c r="G48" s="72">
        <v>4144400</v>
      </c>
      <c r="J48" s="69" t="str">
        <f t="shared" si="0"/>
        <v xml:space="preserve">우주 </v>
      </c>
    </row>
    <row r="49" spans="2:10">
      <c r="B49" s="73" t="s">
        <v>366</v>
      </c>
      <c r="C49" s="73" t="s">
        <v>365</v>
      </c>
      <c r="D49" s="73" t="s">
        <v>364</v>
      </c>
      <c r="E49" s="73" t="s">
        <v>295</v>
      </c>
      <c r="F49" s="73" t="s">
        <v>76</v>
      </c>
      <c r="G49" s="72">
        <v>1742400</v>
      </c>
      <c r="J49" s="69" t="str">
        <f t="shared" si="0"/>
        <v xml:space="preserve">평화 </v>
      </c>
    </row>
    <row r="50" spans="2:10">
      <c r="B50" s="73" t="s">
        <v>363</v>
      </c>
      <c r="C50" s="73" t="s">
        <v>362</v>
      </c>
      <c r="D50" s="73" t="s">
        <v>92</v>
      </c>
      <c r="E50" s="73" t="s">
        <v>304</v>
      </c>
      <c r="F50" s="73" t="s">
        <v>91</v>
      </c>
      <c r="G50" s="72">
        <v>3706400</v>
      </c>
      <c r="J50" s="69" t="str">
        <f t="shared" si="0"/>
        <v xml:space="preserve">동도 </v>
      </c>
    </row>
    <row r="51" spans="2:10">
      <c r="B51" s="73" t="s">
        <v>361</v>
      </c>
      <c r="C51" s="73" t="s">
        <v>360</v>
      </c>
      <c r="D51" s="73" t="s">
        <v>359</v>
      </c>
      <c r="E51" s="73" t="s">
        <v>315</v>
      </c>
      <c r="F51" s="73" t="s">
        <v>76</v>
      </c>
      <c r="G51" s="72">
        <v>5079400</v>
      </c>
      <c r="J51" s="69" t="str">
        <f t="shared" si="0"/>
        <v>TGIF</v>
      </c>
    </row>
    <row r="52" spans="2:10">
      <c r="B52" s="73" t="s">
        <v>358</v>
      </c>
      <c r="C52" s="73" t="s">
        <v>357</v>
      </c>
      <c r="D52" s="73" t="s">
        <v>110</v>
      </c>
      <c r="E52" s="73" t="s">
        <v>308</v>
      </c>
      <c r="F52" s="73" t="s">
        <v>96</v>
      </c>
      <c r="G52" s="72">
        <v>5447100</v>
      </c>
      <c r="J52" s="69" t="str">
        <f t="shared" si="0"/>
        <v xml:space="preserve">게이트웨이 </v>
      </c>
    </row>
    <row r="53" spans="2:10">
      <c r="B53" s="73" t="s">
        <v>356</v>
      </c>
      <c r="C53" s="73" t="s">
        <v>355</v>
      </c>
      <c r="D53" s="73" t="s">
        <v>77</v>
      </c>
      <c r="E53" s="73" t="s">
        <v>354</v>
      </c>
      <c r="F53" s="73" t="s">
        <v>76</v>
      </c>
      <c r="G53" s="72">
        <v>1824500</v>
      </c>
      <c r="J53" s="69" t="str">
        <f t="shared" si="0"/>
        <v xml:space="preserve">사하라 </v>
      </c>
    </row>
    <row r="54" spans="2:10">
      <c r="B54" s="73" t="s">
        <v>353</v>
      </c>
      <c r="C54" s="73" t="s">
        <v>352</v>
      </c>
      <c r="D54" s="73" t="s">
        <v>83</v>
      </c>
      <c r="E54" s="73" t="s">
        <v>308</v>
      </c>
      <c r="F54" s="73" t="s">
        <v>82</v>
      </c>
      <c r="G54" s="72">
        <v>2371500</v>
      </c>
      <c r="J54" s="69" t="str">
        <f t="shared" si="0"/>
        <v xml:space="preserve">미성 </v>
      </c>
    </row>
    <row r="55" spans="2:10">
      <c r="B55" s="73" t="s">
        <v>351</v>
      </c>
      <c r="C55" s="73" t="s">
        <v>350</v>
      </c>
      <c r="D55" s="73" t="s">
        <v>349</v>
      </c>
      <c r="E55" s="73" t="s">
        <v>304</v>
      </c>
      <c r="F55" s="73" t="s">
        <v>76</v>
      </c>
      <c r="G55" s="72">
        <v>3969500</v>
      </c>
      <c r="J55" s="69" t="str">
        <f t="shared" si="0"/>
        <v xml:space="preserve">스타 </v>
      </c>
    </row>
    <row r="56" spans="2:10">
      <c r="B56" s="73" t="s">
        <v>348</v>
      </c>
      <c r="C56" s="73" t="s">
        <v>347</v>
      </c>
      <c r="D56" s="73" t="s">
        <v>346</v>
      </c>
      <c r="E56" s="73" t="s">
        <v>304</v>
      </c>
      <c r="F56" s="73" t="s">
        <v>76</v>
      </c>
      <c r="G56" s="72">
        <v>5663000</v>
      </c>
      <c r="J56" s="69" t="str">
        <f t="shared" si="0"/>
        <v xml:space="preserve">정문 </v>
      </c>
    </row>
    <row r="57" spans="2:10">
      <c r="B57" s="73" t="s">
        <v>345</v>
      </c>
      <c r="C57" s="73" t="s">
        <v>344</v>
      </c>
      <c r="D57" s="73" t="s">
        <v>343</v>
      </c>
      <c r="E57" s="73" t="s">
        <v>315</v>
      </c>
      <c r="F57" s="73" t="s">
        <v>76</v>
      </c>
      <c r="G57" s="72">
        <v>3238900</v>
      </c>
      <c r="J57" s="69" t="str">
        <f t="shared" si="0"/>
        <v xml:space="preserve">한남 </v>
      </c>
    </row>
    <row r="58" spans="2:10">
      <c r="B58" s="73" t="s">
        <v>342</v>
      </c>
      <c r="C58" s="73" t="s">
        <v>341</v>
      </c>
      <c r="D58" s="73" t="s">
        <v>340</v>
      </c>
      <c r="E58" s="73" t="s">
        <v>295</v>
      </c>
      <c r="F58" s="73" t="s">
        <v>76</v>
      </c>
      <c r="G58" s="72">
        <v>4652000</v>
      </c>
      <c r="J58" s="69" t="str">
        <f t="shared" si="0"/>
        <v xml:space="preserve">태흥 </v>
      </c>
    </row>
    <row r="59" spans="2:10">
      <c r="B59" s="73" t="s">
        <v>339</v>
      </c>
      <c r="C59" s="73" t="s">
        <v>338</v>
      </c>
      <c r="D59" s="73" t="s">
        <v>337</v>
      </c>
      <c r="E59" s="73" t="s">
        <v>336</v>
      </c>
      <c r="F59" s="73" t="s">
        <v>76</v>
      </c>
      <c r="G59" s="72">
        <v>2114400</v>
      </c>
      <c r="J59" s="69" t="str">
        <f t="shared" si="0"/>
        <v>엘르</v>
      </c>
    </row>
    <row r="60" spans="2:10">
      <c r="B60" s="73" t="s">
        <v>335</v>
      </c>
      <c r="C60" s="73" t="s">
        <v>334</v>
      </c>
      <c r="D60" s="73" t="s">
        <v>97</v>
      </c>
      <c r="E60" s="73" t="s">
        <v>333</v>
      </c>
      <c r="F60" s="73" t="s">
        <v>76</v>
      </c>
      <c r="G60" s="72">
        <v>1006200</v>
      </c>
      <c r="J60" s="69" t="str">
        <f t="shared" si="0"/>
        <v xml:space="preserve">대성 </v>
      </c>
    </row>
    <row r="61" spans="2:10">
      <c r="B61" s="73" t="s">
        <v>332</v>
      </c>
      <c r="C61" s="73" t="s">
        <v>331</v>
      </c>
      <c r="D61" s="73" t="s">
        <v>330</v>
      </c>
      <c r="E61" s="73" t="s">
        <v>308</v>
      </c>
      <c r="F61" s="73" t="s">
        <v>76</v>
      </c>
      <c r="G61" s="72">
        <v>1202100</v>
      </c>
      <c r="J61" s="69" t="str">
        <f t="shared" si="0"/>
        <v xml:space="preserve">삼양 </v>
      </c>
    </row>
    <row r="62" spans="2:10">
      <c r="B62" s="73" t="s">
        <v>329</v>
      </c>
      <c r="C62" s="73" t="s">
        <v>328</v>
      </c>
      <c r="D62" s="73" t="s">
        <v>327</v>
      </c>
      <c r="E62" s="73" t="s">
        <v>326</v>
      </c>
      <c r="F62" s="73" t="s">
        <v>82</v>
      </c>
      <c r="G62" s="72">
        <v>2321700</v>
      </c>
      <c r="J62" s="69" t="str">
        <f t="shared" si="0"/>
        <v xml:space="preserve">신성 </v>
      </c>
    </row>
    <row r="63" spans="2:10">
      <c r="B63" s="73" t="s">
        <v>325</v>
      </c>
      <c r="C63" s="73" t="s">
        <v>324</v>
      </c>
      <c r="D63" s="73" t="s">
        <v>85</v>
      </c>
      <c r="E63" s="73" t="s">
        <v>304</v>
      </c>
      <c r="F63" s="73" t="s">
        <v>76</v>
      </c>
      <c r="G63" s="72">
        <v>4444800</v>
      </c>
      <c r="J63" s="69" t="str">
        <f t="shared" si="0"/>
        <v xml:space="preserve">몽블랑 </v>
      </c>
    </row>
    <row r="64" spans="2:10">
      <c r="B64" s="73" t="s">
        <v>323</v>
      </c>
      <c r="C64" s="73" t="s">
        <v>322</v>
      </c>
      <c r="D64" s="73" t="s">
        <v>321</v>
      </c>
      <c r="E64" s="73" t="s">
        <v>295</v>
      </c>
      <c r="F64" s="73" t="s">
        <v>76</v>
      </c>
      <c r="G64" s="72">
        <v>2993800</v>
      </c>
      <c r="J64" s="69" t="str">
        <f t="shared" si="0"/>
        <v xml:space="preserve">한진 </v>
      </c>
    </row>
    <row r="65" spans="2:12">
      <c r="B65" s="73" t="s">
        <v>320</v>
      </c>
      <c r="C65" s="73" t="s">
        <v>319</v>
      </c>
      <c r="D65" s="73" t="s">
        <v>107</v>
      </c>
      <c r="E65" s="73" t="s">
        <v>304</v>
      </c>
      <c r="F65" s="73" t="s">
        <v>76</v>
      </c>
      <c r="G65" s="72">
        <v>5671300</v>
      </c>
      <c r="J65" s="69" t="str">
        <f t="shared" si="0"/>
        <v xml:space="preserve">국제 </v>
      </c>
      <c r="K65" s="69" t="s">
        <v>1907</v>
      </c>
      <c r="L65" s="69" t="str">
        <f>MID(K65,3,LEN(K65)-4)</f>
        <v>320</v>
      </c>
    </row>
    <row r="66" spans="2:12">
      <c r="B66" s="73" t="s">
        <v>318</v>
      </c>
      <c r="C66" s="73" t="s">
        <v>317</v>
      </c>
      <c r="D66" s="73" t="s">
        <v>316</v>
      </c>
      <c r="E66" s="73" t="s">
        <v>315</v>
      </c>
      <c r="F66" s="73" t="s">
        <v>76</v>
      </c>
      <c r="G66" s="72">
        <v>4789400</v>
      </c>
      <c r="J66" s="69" t="str">
        <f t="shared" si="0"/>
        <v xml:space="preserve">천지 </v>
      </c>
      <c r="K66" s="69" t="s">
        <v>1908</v>
      </c>
      <c r="L66" s="69" t="str">
        <f t="shared" ref="L66:L68" si="1">MID(K66,3,LEN(K66)-4)</f>
        <v>285</v>
      </c>
    </row>
    <row r="67" spans="2:12">
      <c r="B67" s="73" t="s">
        <v>314</v>
      </c>
      <c r="C67" s="73" t="s">
        <v>313</v>
      </c>
      <c r="D67" s="73" t="s">
        <v>312</v>
      </c>
      <c r="E67" s="73" t="s">
        <v>304</v>
      </c>
      <c r="F67" s="73" t="s">
        <v>82</v>
      </c>
      <c r="G67" s="72">
        <v>5337400</v>
      </c>
      <c r="J67" s="69" t="str">
        <f t="shared" si="0"/>
        <v xml:space="preserve">삼왕 </v>
      </c>
      <c r="K67" s="69" t="s">
        <v>1909</v>
      </c>
      <c r="L67" s="69" t="str">
        <f t="shared" si="1"/>
        <v>1320</v>
      </c>
    </row>
    <row r="68" spans="2:12">
      <c r="B68" s="73" t="s">
        <v>311</v>
      </c>
      <c r="C68" s="73" t="s">
        <v>310</v>
      </c>
      <c r="D68" s="73" t="s">
        <v>309</v>
      </c>
      <c r="E68" s="73" t="s">
        <v>308</v>
      </c>
      <c r="F68" s="73" t="s">
        <v>76</v>
      </c>
      <c r="G68" s="72">
        <v>4989600</v>
      </c>
      <c r="J68" s="69" t="str">
        <f t="shared" si="0"/>
        <v xml:space="preserve">해바라기 </v>
      </c>
      <c r="K68" s="69" t="s">
        <v>1910</v>
      </c>
      <c r="L68" s="69" t="str">
        <f t="shared" si="1"/>
        <v>45</v>
      </c>
    </row>
    <row r="69" spans="2:12">
      <c r="B69" s="73" t="s">
        <v>307</v>
      </c>
      <c r="C69" s="73" t="s">
        <v>306</v>
      </c>
      <c r="D69" s="73" t="s">
        <v>305</v>
      </c>
      <c r="E69" s="73" t="s">
        <v>304</v>
      </c>
      <c r="F69" s="73" t="s">
        <v>76</v>
      </c>
      <c r="G69" s="72">
        <v>2033600</v>
      </c>
      <c r="J69" s="69" t="str">
        <f t="shared" si="0"/>
        <v xml:space="preserve">언더우드 </v>
      </c>
    </row>
    <row r="70" spans="2:12">
      <c r="B70" s="73" t="s">
        <v>303</v>
      </c>
      <c r="C70" s="73" t="s">
        <v>302</v>
      </c>
      <c r="D70" s="73" t="s">
        <v>102</v>
      </c>
      <c r="E70" s="73" t="s">
        <v>301</v>
      </c>
      <c r="F70" s="73" t="s">
        <v>91</v>
      </c>
      <c r="G70" s="72">
        <v>5955900</v>
      </c>
      <c r="J70" s="69" t="str">
        <f t="shared" si="0"/>
        <v xml:space="preserve">금화 </v>
      </c>
    </row>
    <row r="71" spans="2:12">
      <c r="B71" s="73" t="s">
        <v>300</v>
      </c>
      <c r="C71" s="73" t="s">
        <v>299</v>
      </c>
      <c r="D71" s="73" t="s">
        <v>298</v>
      </c>
      <c r="E71" s="73" t="s">
        <v>295</v>
      </c>
      <c r="F71" s="73" t="s">
        <v>76</v>
      </c>
      <c r="G71" s="72">
        <v>4044600</v>
      </c>
      <c r="J71" s="69" t="str">
        <f t="shared" si="0"/>
        <v xml:space="preserve">신흥 </v>
      </c>
    </row>
    <row r="72" spans="2:12">
      <c r="B72" s="71" t="s">
        <v>297</v>
      </c>
      <c r="C72" s="71" t="s">
        <v>296</v>
      </c>
      <c r="D72" s="71" t="s">
        <v>81</v>
      </c>
      <c r="E72" s="71" t="s">
        <v>295</v>
      </c>
      <c r="F72" s="71" t="s">
        <v>76</v>
      </c>
      <c r="G72" s="70">
        <v>4177000</v>
      </c>
      <c r="J72" s="69" t="str">
        <f t="shared" si="0"/>
        <v xml:space="preserve">미주 </v>
      </c>
    </row>
  </sheetData>
  <mergeCells count="6">
    <mergeCell ref="B2:C2"/>
    <mergeCell ref="B4:B6"/>
    <mergeCell ref="D4:E4"/>
    <mergeCell ref="D5:E5"/>
    <mergeCell ref="D6:E6"/>
    <mergeCell ref="D2:E2"/>
  </mergeCells>
  <phoneticPr fontId="8" type="noConversion"/>
  <dataValidations count="1">
    <dataValidation type="list" allowBlank="1" showInputMessage="1" showErrorMessage="1" sqref="D2:E2">
      <formula1>"서울특별시,인천광역시,대전광역시,부산광역시"</formula1>
    </dataValidation>
  </dataValidations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T20"/>
  <sheetViews>
    <sheetView showGridLines="0" workbookViewId="0">
      <selection activeCell="T9" sqref="T9"/>
    </sheetView>
  </sheetViews>
  <sheetFormatPr defaultColWidth="8.8984375" defaultRowHeight="17.399999999999999"/>
  <cols>
    <col min="1" max="1" width="0.8984375" style="8" customWidth="1"/>
    <col min="2" max="2" width="5.19921875" style="8" bestFit="1" customWidth="1"/>
    <col min="3" max="3" width="6.296875" style="8" bestFit="1" customWidth="1"/>
    <col min="4" max="4" width="9.796875" style="8" bestFit="1" customWidth="1"/>
    <col min="5" max="5" width="4.8984375" style="8" bestFit="1" customWidth="1"/>
    <col min="6" max="6" width="11.3984375" style="8" bestFit="1" customWidth="1"/>
    <col min="7" max="7" width="9.796875" style="8" bestFit="1" customWidth="1"/>
    <col min="8" max="8" width="5.8984375" style="8" customWidth="1"/>
    <col min="9" max="9" width="12.19921875" style="8" customWidth="1"/>
    <col min="10" max="10" width="9.8984375" style="8" customWidth="1"/>
    <col min="11" max="11" width="2" style="8" customWidth="1"/>
    <col min="12" max="12" width="12.69921875" style="8" customWidth="1"/>
    <col min="13" max="15" width="10.69921875" style="8" bestFit="1" customWidth="1"/>
    <col min="16" max="16384" width="8.8984375" style="8"/>
  </cols>
  <sheetData>
    <row r="1" spans="2:16" ht="25.2">
      <c r="C1" s="652" t="s">
        <v>646</v>
      </c>
      <c r="D1" s="652"/>
      <c r="E1" s="652"/>
      <c r="F1" s="652"/>
      <c r="G1" s="652"/>
      <c r="H1" s="652"/>
      <c r="I1" s="652"/>
      <c r="J1" s="139"/>
    </row>
    <row r="2" spans="2:16" ht="5.25" customHeight="1"/>
    <row r="3" spans="2:16" ht="18" thickBot="1">
      <c r="B3" s="140" t="s">
        <v>647</v>
      </c>
      <c r="C3" s="140" t="s">
        <v>118</v>
      </c>
      <c r="D3" s="140" t="s">
        <v>648</v>
      </c>
      <c r="E3" s="140" t="s">
        <v>649</v>
      </c>
      <c r="F3" s="140" t="s">
        <v>650</v>
      </c>
      <c r="G3" s="140" t="s">
        <v>168</v>
      </c>
      <c r="H3" s="140" t="s">
        <v>169</v>
      </c>
      <c r="I3" s="140" t="s">
        <v>116</v>
      </c>
      <c r="J3" s="140" t="s">
        <v>651</v>
      </c>
      <c r="L3" s="653" t="s">
        <v>652</v>
      </c>
      <c r="M3" s="653"/>
      <c r="N3" s="653"/>
      <c r="O3" s="653"/>
    </row>
    <row r="4" spans="2:16">
      <c r="B4" s="141">
        <f>ROW()-3</f>
        <v>1</v>
      </c>
      <c r="C4" s="142" t="s">
        <v>653</v>
      </c>
      <c r="D4" s="142" t="s">
        <v>654</v>
      </c>
      <c r="E4" s="142" t="s">
        <v>655</v>
      </c>
      <c r="F4" s="142" t="s">
        <v>656</v>
      </c>
      <c r="G4" s="143">
        <f>VLOOKUP(F4,$L$11:$M$13,2,FALSE)</f>
        <v>65000</v>
      </c>
      <c r="H4" s="144">
        <v>12</v>
      </c>
      <c r="I4" s="145">
        <v>780000</v>
      </c>
      <c r="J4" s="146">
        <f>IF(AND(H4&gt;=5,I4&gt;=3000000),I4*10%,0)</f>
        <v>0</v>
      </c>
      <c r="L4" s="147" t="s">
        <v>141</v>
      </c>
      <c r="M4" s="148" t="s">
        <v>655</v>
      </c>
      <c r="N4" s="148" t="s">
        <v>657</v>
      </c>
      <c r="O4" s="149" t="s">
        <v>658</v>
      </c>
    </row>
    <row r="5" spans="2:16">
      <c r="B5" s="141">
        <f t="shared" ref="B5:B18" si="0">ROW()-3</f>
        <v>2</v>
      </c>
      <c r="C5" s="142" t="s">
        <v>659</v>
      </c>
      <c r="D5" s="142" t="s">
        <v>654</v>
      </c>
      <c r="E5" s="142" t="s">
        <v>658</v>
      </c>
      <c r="F5" s="142" t="s">
        <v>660</v>
      </c>
      <c r="G5" s="143">
        <f t="shared" ref="G5:G18" si="1">VLOOKUP(F5,$L$11:$M$13,2,FALSE)</f>
        <v>850000</v>
      </c>
      <c r="H5" s="144">
        <v>4</v>
      </c>
      <c r="I5" s="145">
        <v>3400000</v>
      </c>
      <c r="J5" s="146">
        <f t="shared" ref="J5:J19" si="2">IF(AND(H5&gt;=5,I5&gt;=3000000),I5*10%,0)</f>
        <v>0</v>
      </c>
      <c r="L5" s="150" t="s">
        <v>654</v>
      </c>
      <c r="M5" s="679">
        <f>SUMIFS($I$4:$I$18,$E$4:$E$18,M4,$D$4:$D$18,L5)</f>
        <v>1755000</v>
      </c>
      <c r="N5" s="679">
        <f>SUMIFS($I$4:$I$18,$E$4:$E$18,N4,$D$4:$D$18,L5)</f>
        <v>2600000</v>
      </c>
      <c r="O5" s="679">
        <f>SUMIFS($I$4:$I$18,$E$4:$E$18,O4,$D$4:$D$18,L5)</f>
        <v>5950000</v>
      </c>
      <c r="P5" s="676"/>
    </row>
    <row r="6" spans="2:16">
      <c r="B6" s="141">
        <f t="shared" si="0"/>
        <v>3</v>
      </c>
      <c r="C6" s="142" t="s">
        <v>661</v>
      </c>
      <c r="D6" s="142" t="s">
        <v>654</v>
      </c>
      <c r="E6" s="142" t="s">
        <v>657</v>
      </c>
      <c r="F6" s="142" t="s">
        <v>662</v>
      </c>
      <c r="G6" s="143">
        <f t="shared" si="1"/>
        <v>520000</v>
      </c>
      <c r="H6" s="144">
        <v>5</v>
      </c>
      <c r="I6" s="145">
        <v>2600000</v>
      </c>
      <c r="J6" s="146">
        <f t="shared" si="2"/>
        <v>0</v>
      </c>
      <c r="L6" s="150" t="s">
        <v>663</v>
      </c>
      <c r="M6" s="679">
        <f>SUMIFS($I$4:$I$18,$E$4:$E$18,M4,$D$4:$D$18,L6)</f>
        <v>4680000</v>
      </c>
      <c r="N6" s="679">
        <f>SUMIFS($I$4:$I$18,$E$4:$E$18,N4,$D$4:$D$18,L6)</f>
        <v>2080000</v>
      </c>
      <c r="O6" s="679">
        <f>SUMIFS($I$4:$I$18,$E$4:$E$18,O4,$D$4:$D$18,L6)</f>
        <v>2610000</v>
      </c>
      <c r="P6" s="676"/>
    </row>
    <row r="7" spans="2:16" ht="18" thickBot="1">
      <c r="B7" s="141">
        <f t="shared" si="0"/>
        <v>4</v>
      </c>
      <c r="C7" s="142" t="s">
        <v>664</v>
      </c>
      <c r="D7" s="142" t="s">
        <v>654</v>
      </c>
      <c r="E7" s="142" t="s">
        <v>655</v>
      </c>
      <c r="F7" s="142" t="s">
        <v>656</v>
      </c>
      <c r="G7" s="143">
        <f t="shared" si="1"/>
        <v>65000</v>
      </c>
      <c r="H7" s="144">
        <v>15</v>
      </c>
      <c r="I7" s="145">
        <v>975000</v>
      </c>
      <c r="J7" s="146">
        <f t="shared" si="2"/>
        <v>0</v>
      </c>
      <c r="L7" s="151" t="s">
        <v>665</v>
      </c>
      <c r="M7" s="679">
        <f>SUMIFS($I$4:$I$18,$E$4:$E$18,M4,$D$4:$D$18,L7)</f>
        <v>1105000</v>
      </c>
      <c r="N7" s="679">
        <f>SUMIFS($I$4:$I$18,$E$4:$E$18,N4,$D$4:$D$18,L7)</f>
        <v>5070000</v>
      </c>
      <c r="O7" s="679">
        <f>SUMIFS($I$4:$I$18,$E$4:$E$18,O4,$D$4:$D$18,L7)</f>
        <v>5095000</v>
      </c>
    </row>
    <row r="8" spans="2:16">
      <c r="B8" s="141">
        <f t="shared" si="0"/>
        <v>5</v>
      </c>
      <c r="C8" s="142" t="s">
        <v>666</v>
      </c>
      <c r="D8" s="142" t="s">
        <v>654</v>
      </c>
      <c r="E8" s="142" t="s">
        <v>658</v>
      </c>
      <c r="F8" s="142" t="s">
        <v>660</v>
      </c>
      <c r="G8" s="143">
        <f t="shared" si="1"/>
        <v>850000</v>
      </c>
      <c r="H8" s="144">
        <v>3</v>
      </c>
      <c r="I8" s="145">
        <v>2550000</v>
      </c>
      <c r="J8" s="146">
        <f t="shared" si="2"/>
        <v>0</v>
      </c>
    </row>
    <row r="9" spans="2:16" ht="19.8" thickBot="1">
      <c r="B9" s="141">
        <f t="shared" si="0"/>
        <v>6</v>
      </c>
      <c r="C9" s="142" t="s">
        <v>667</v>
      </c>
      <c r="D9" s="142" t="s">
        <v>668</v>
      </c>
      <c r="E9" s="142" t="s">
        <v>655</v>
      </c>
      <c r="F9" s="142" t="s">
        <v>662</v>
      </c>
      <c r="G9" s="143">
        <f t="shared" si="1"/>
        <v>520000</v>
      </c>
      <c r="H9" s="144">
        <v>7</v>
      </c>
      <c r="I9" s="145">
        <v>3640000</v>
      </c>
      <c r="J9" s="146">
        <f t="shared" si="2"/>
        <v>364000</v>
      </c>
      <c r="L9" s="654" t="s">
        <v>669</v>
      </c>
      <c r="M9" s="654"/>
    </row>
    <row r="10" spans="2:16">
      <c r="B10" s="141">
        <f t="shared" si="0"/>
        <v>7</v>
      </c>
      <c r="C10" s="142" t="s">
        <v>670</v>
      </c>
      <c r="D10" s="142" t="s">
        <v>668</v>
      </c>
      <c r="E10" s="142" t="s">
        <v>655</v>
      </c>
      <c r="F10" s="142" t="s">
        <v>662</v>
      </c>
      <c r="G10" s="143">
        <f t="shared" si="1"/>
        <v>520000</v>
      </c>
      <c r="H10" s="144">
        <v>2</v>
      </c>
      <c r="I10" s="145">
        <v>1040000</v>
      </c>
      <c r="J10" s="146">
        <f t="shared" si="2"/>
        <v>0</v>
      </c>
      <c r="L10" s="152" t="s">
        <v>650</v>
      </c>
      <c r="M10" s="153" t="s">
        <v>168</v>
      </c>
    </row>
    <row r="11" spans="2:16">
      <c r="B11" s="141">
        <f t="shared" si="0"/>
        <v>8</v>
      </c>
      <c r="C11" s="142" t="s">
        <v>671</v>
      </c>
      <c r="D11" s="142" t="s">
        <v>668</v>
      </c>
      <c r="E11" s="142" t="s">
        <v>658</v>
      </c>
      <c r="F11" s="142" t="s">
        <v>656</v>
      </c>
      <c r="G11" s="143">
        <f t="shared" si="1"/>
        <v>65000</v>
      </c>
      <c r="H11" s="144">
        <v>14</v>
      </c>
      <c r="I11" s="145">
        <v>910000</v>
      </c>
      <c r="J11" s="146">
        <f t="shared" si="2"/>
        <v>0</v>
      </c>
      <c r="L11" s="150" t="s">
        <v>656</v>
      </c>
      <c r="M11" s="154">
        <v>65000</v>
      </c>
    </row>
    <row r="12" spans="2:16">
      <c r="B12" s="141">
        <f t="shared" si="0"/>
        <v>9</v>
      </c>
      <c r="C12" s="142" t="s">
        <v>672</v>
      </c>
      <c r="D12" s="142" t="s">
        <v>668</v>
      </c>
      <c r="E12" s="142" t="s">
        <v>658</v>
      </c>
      <c r="F12" s="142" t="s">
        <v>660</v>
      </c>
      <c r="G12" s="143">
        <f t="shared" si="1"/>
        <v>850000</v>
      </c>
      <c r="H12" s="144">
        <v>2</v>
      </c>
      <c r="I12" s="145">
        <v>1700000</v>
      </c>
      <c r="J12" s="146">
        <f t="shared" si="2"/>
        <v>0</v>
      </c>
      <c r="L12" s="150" t="s">
        <v>662</v>
      </c>
      <c r="M12" s="154">
        <v>520000</v>
      </c>
    </row>
    <row r="13" spans="2:16" ht="18" thickBot="1">
      <c r="B13" s="141">
        <f t="shared" si="0"/>
        <v>10</v>
      </c>
      <c r="C13" s="142" t="s">
        <v>673</v>
      </c>
      <c r="D13" s="142" t="s">
        <v>668</v>
      </c>
      <c r="E13" s="142" t="s">
        <v>657</v>
      </c>
      <c r="F13" s="142" t="s">
        <v>662</v>
      </c>
      <c r="G13" s="143">
        <f t="shared" si="1"/>
        <v>520000</v>
      </c>
      <c r="H13" s="144">
        <v>4</v>
      </c>
      <c r="I13" s="145">
        <v>2080000</v>
      </c>
      <c r="J13" s="146">
        <f t="shared" si="2"/>
        <v>0</v>
      </c>
      <c r="L13" s="155" t="s">
        <v>660</v>
      </c>
      <c r="M13" s="156">
        <v>850000</v>
      </c>
    </row>
    <row r="14" spans="2:16">
      <c r="B14" s="141">
        <f t="shared" si="0"/>
        <v>11</v>
      </c>
      <c r="C14" s="142" t="s">
        <v>674</v>
      </c>
      <c r="D14" s="142" t="s">
        <v>665</v>
      </c>
      <c r="E14" s="142" t="s">
        <v>655</v>
      </c>
      <c r="F14" s="142" t="s">
        <v>656</v>
      </c>
      <c r="G14" s="143">
        <f t="shared" si="1"/>
        <v>65000</v>
      </c>
      <c r="H14" s="144">
        <v>17</v>
      </c>
      <c r="I14" s="145">
        <v>1105000</v>
      </c>
      <c r="J14" s="146">
        <f t="shared" si="2"/>
        <v>0</v>
      </c>
    </row>
    <row r="15" spans="2:16">
      <c r="B15" s="141">
        <f t="shared" si="0"/>
        <v>12</v>
      </c>
      <c r="C15" s="142" t="s">
        <v>675</v>
      </c>
      <c r="D15" s="142" t="s">
        <v>665</v>
      </c>
      <c r="E15" s="142" t="s">
        <v>658</v>
      </c>
      <c r="F15" s="142" t="s">
        <v>660</v>
      </c>
      <c r="G15" s="143">
        <f t="shared" si="1"/>
        <v>850000</v>
      </c>
      <c r="H15" s="144">
        <v>5</v>
      </c>
      <c r="I15" s="145">
        <v>4250000</v>
      </c>
      <c r="J15" s="146">
        <f t="shared" si="2"/>
        <v>425000</v>
      </c>
      <c r="L15" s="157" t="s">
        <v>680</v>
      </c>
    </row>
    <row r="16" spans="2:16">
      <c r="B16" s="141">
        <f t="shared" si="0"/>
        <v>13</v>
      </c>
      <c r="C16" s="142" t="s">
        <v>676</v>
      </c>
      <c r="D16" s="142" t="s">
        <v>665</v>
      </c>
      <c r="E16" s="142" t="s">
        <v>657</v>
      </c>
      <c r="F16" s="142" t="s">
        <v>662</v>
      </c>
      <c r="G16" s="143">
        <f t="shared" si="1"/>
        <v>520000</v>
      </c>
      <c r="H16" s="144">
        <v>8</v>
      </c>
      <c r="I16" s="145">
        <v>4160000</v>
      </c>
      <c r="J16" s="146">
        <f t="shared" si="2"/>
        <v>416000</v>
      </c>
      <c r="L16" s="8" t="s">
        <v>1022</v>
      </c>
    </row>
    <row r="17" spans="2:20">
      <c r="B17" s="141">
        <f t="shared" si="0"/>
        <v>14</v>
      </c>
      <c r="C17" s="142" t="s">
        <v>677</v>
      </c>
      <c r="D17" s="142" t="s">
        <v>665</v>
      </c>
      <c r="E17" s="142" t="s">
        <v>658</v>
      </c>
      <c r="F17" s="142" t="s">
        <v>656</v>
      </c>
      <c r="G17" s="143">
        <f t="shared" si="1"/>
        <v>65000</v>
      </c>
      <c r="H17" s="144">
        <v>13</v>
      </c>
      <c r="I17" s="145">
        <v>845000</v>
      </c>
      <c r="J17" s="146">
        <f t="shared" si="2"/>
        <v>0</v>
      </c>
      <c r="L17" s="8" t="s">
        <v>1023</v>
      </c>
    </row>
    <row r="18" spans="2:20">
      <c r="B18" s="141">
        <f t="shared" si="0"/>
        <v>15</v>
      </c>
      <c r="C18" s="142" t="s">
        <v>678</v>
      </c>
      <c r="D18" s="142" t="s">
        <v>665</v>
      </c>
      <c r="E18" s="142" t="s">
        <v>657</v>
      </c>
      <c r="F18" s="142" t="s">
        <v>656</v>
      </c>
      <c r="G18" s="143">
        <f t="shared" si="1"/>
        <v>65000</v>
      </c>
      <c r="H18" s="144">
        <v>14</v>
      </c>
      <c r="I18" s="145">
        <v>910000</v>
      </c>
      <c r="J18" s="146">
        <f t="shared" si="2"/>
        <v>0</v>
      </c>
      <c r="L18" s="8" t="s">
        <v>1024</v>
      </c>
    </row>
    <row r="19" spans="2:20">
      <c r="B19" s="655" t="s">
        <v>679</v>
      </c>
      <c r="C19" s="656"/>
      <c r="D19" s="656"/>
      <c r="E19" s="656"/>
      <c r="F19" s="656"/>
      <c r="G19" s="657"/>
      <c r="H19" s="677">
        <f>SUM(H4:H18)</f>
        <v>125</v>
      </c>
      <c r="I19" s="678">
        <f>SUM(I4:I18)</f>
        <v>30945000</v>
      </c>
      <c r="J19" s="146">
        <f>SUM(J4:J18)</f>
        <v>1205000</v>
      </c>
      <c r="L19" s="8" t="s">
        <v>1025</v>
      </c>
    </row>
    <row r="20" spans="2:20">
      <c r="L20" s="8" t="s">
        <v>1026</v>
      </c>
      <c r="T20" s="676"/>
    </row>
  </sheetData>
  <mergeCells count="4">
    <mergeCell ref="C1:I1"/>
    <mergeCell ref="L3:O3"/>
    <mergeCell ref="L9:M9"/>
    <mergeCell ref="B19:G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41</vt:i4>
      </vt:variant>
      <vt:variant>
        <vt:lpstr>이름이 지정된 범위</vt:lpstr>
      </vt:variant>
      <vt:variant>
        <vt:i4>9</vt:i4>
      </vt:variant>
    </vt:vector>
  </HeadingPairs>
  <TitlesOfParts>
    <vt:vector size="50" baseType="lpstr">
      <vt:lpstr>COUNT</vt:lpstr>
      <vt:lpstr>COUNT2</vt:lpstr>
      <vt:lpstr>COUNT3</vt:lpstr>
      <vt:lpstr>SUM</vt:lpstr>
      <vt:lpstr>SUM2</vt:lpstr>
      <vt:lpstr>AVERAGE</vt:lpstr>
      <vt:lpstr>AVERAGE2</vt:lpstr>
      <vt:lpstr>SUMPRODUCT</vt:lpstr>
      <vt:lpstr>ROUND</vt:lpstr>
      <vt:lpstr>RANK</vt:lpstr>
      <vt:lpstr>RANK2</vt:lpstr>
      <vt:lpstr>ROW</vt:lpstr>
      <vt:lpstr>LARGE</vt:lpstr>
      <vt:lpstr>IF</vt:lpstr>
      <vt:lpstr>IF2</vt:lpstr>
      <vt:lpstr>IF3</vt:lpstr>
      <vt:lpstr>not</vt:lpstr>
      <vt:lpstr>LOOKUP</vt:lpstr>
      <vt:lpstr>VLOOKUP</vt:lpstr>
      <vt:lpstr>HLOOKUP</vt:lpstr>
      <vt:lpstr>찾기</vt:lpstr>
      <vt:lpstr>찾기2</vt:lpstr>
      <vt:lpstr>참조범위변환</vt:lpstr>
      <vt:lpstr>배열상수</vt:lpstr>
      <vt:lpstr>TEXT1</vt:lpstr>
      <vt:lpstr>TEXT2</vt:lpstr>
      <vt:lpstr>TEXT3</vt:lpstr>
      <vt:lpstr>직원정보</vt:lpstr>
      <vt:lpstr>인적사항</vt:lpstr>
      <vt:lpstr>concatenate</vt:lpstr>
      <vt:lpstr>날짜1</vt:lpstr>
      <vt:lpstr>날짜2</vt:lpstr>
      <vt:lpstr>날짜3</vt:lpstr>
      <vt:lpstr>weekday</vt:lpstr>
      <vt:lpstr>workdays</vt:lpstr>
      <vt:lpstr>INDIRECT</vt:lpstr>
      <vt:lpstr>PHONETIC</vt:lpstr>
      <vt:lpstr>INDEX&amp;MATCH</vt:lpstr>
      <vt:lpstr>INDEX활용</vt:lpstr>
      <vt:lpstr>복습</vt:lpstr>
      <vt:lpstr>복습2</vt:lpstr>
      <vt:lpstr>개발부</vt:lpstr>
      <vt:lpstr>관리부</vt:lpstr>
      <vt:lpstr>사번</vt:lpstr>
      <vt:lpstr>성명</vt:lpstr>
      <vt:lpstr>소속</vt:lpstr>
      <vt:lpstr>영업부</vt:lpstr>
      <vt:lpstr>주민등록번호</vt:lpstr>
      <vt:lpstr>주소</vt:lpstr>
      <vt:lpstr>총무부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서정아</dc:creator>
  <cp:lastModifiedBy>AYoonJung</cp:lastModifiedBy>
  <dcterms:created xsi:type="dcterms:W3CDTF">2012-03-20T11:53:02Z</dcterms:created>
  <dcterms:modified xsi:type="dcterms:W3CDTF">2022-06-14T07:49:15Z</dcterms:modified>
</cp:coreProperties>
</file>