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Desktop\Balancer\DCF models\Apple\"/>
    </mc:Choice>
  </mc:AlternateContent>
  <xr:revisionPtr revIDLastSave="0" documentId="13_ncr:1_{85736964-C7C2-4E5A-A6BB-9A9A4124A2E1}" xr6:coauthVersionLast="47" xr6:coauthVersionMax="47" xr10:uidLastSave="{00000000-0000-0000-0000-000000000000}"/>
  <bookViews>
    <workbookView xWindow="-120" yWindow="-120" windowWidth="20730" windowHeight="11310" tabRatio="535" xr2:uid="{47A4CE16-D76D-4C09-AE9A-6F3B223833E9}"/>
  </bookViews>
  <sheets>
    <sheet name="DCF Assumptions" sheetId="8" r:id="rId1"/>
    <sheet name="Financials" sheetId="7" r:id="rId2"/>
    <sheet name="DCF" sheetId="4" r:id="rId3"/>
    <sheet name="CAPM (Rm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4" l="1"/>
  <c r="I8" i="8"/>
  <c r="C104" i="4" l="1"/>
  <c r="L19" i="4"/>
  <c r="D109" i="4"/>
  <c r="E109" i="4" s="1"/>
  <c r="F109" i="4" s="1"/>
  <c r="F95" i="4"/>
  <c r="C98" i="4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D90" i="4"/>
  <c r="D89" i="4"/>
  <c r="F88" i="4"/>
  <c r="G88" i="4" s="1"/>
  <c r="H88" i="4" s="1"/>
  <c r="C55" i="4"/>
  <c r="H58" i="4"/>
  <c r="G58" i="4"/>
  <c r="F58" i="4"/>
  <c r="H57" i="4"/>
  <c r="G57" i="4"/>
  <c r="F57" i="4"/>
  <c r="E57" i="4"/>
  <c r="E59" i="4" s="1"/>
  <c r="E61" i="4" s="1"/>
  <c r="E64" i="4" s="1"/>
  <c r="H32" i="4"/>
  <c r="G32" i="4"/>
  <c r="F32" i="4"/>
  <c r="H31" i="4"/>
  <c r="G31" i="4"/>
  <c r="F31" i="4"/>
  <c r="E31" i="4"/>
  <c r="E33" i="4" s="1"/>
  <c r="E35" i="4" s="1"/>
  <c r="E38" i="4" s="1"/>
  <c r="C3" i="4"/>
  <c r="E5" i="4"/>
  <c r="E7" i="4" s="1"/>
  <c r="E9" i="4" s="1"/>
  <c r="E12" i="4" s="1"/>
  <c r="F5" i="4"/>
  <c r="G5" i="4"/>
  <c r="H5" i="4"/>
  <c r="F6" i="4"/>
  <c r="G6" i="4"/>
  <c r="H6" i="4"/>
  <c r="F1" i="4"/>
  <c r="G1" i="4" s="1"/>
  <c r="L5" i="6" l="1"/>
  <c r="L6" i="6" s="1"/>
  <c r="L4" i="6"/>
  <c r="F97" i="4"/>
  <c r="G96" i="4" s="1"/>
  <c r="I19" i="4"/>
  <c r="M19" i="4"/>
  <c r="K19" i="4"/>
  <c r="K45" i="4" s="1"/>
  <c r="E114" i="4" s="1"/>
  <c r="J19" i="4"/>
  <c r="J45" i="4" s="1"/>
  <c r="D114" i="4" s="1"/>
  <c r="L45" i="4"/>
  <c r="F114" i="4" s="1"/>
  <c r="F110" i="4"/>
  <c r="C91" i="4"/>
  <c r="H1" i="4"/>
  <c r="I1" i="4" s="1"/>
  <c r="J1" i="4" s="1"/>
  <c r="K1" i="4" s="1"/>
  <c r="L1" i="4" s="1"/>
  <c r="M1" i="4" s="1"/>
  <c r="G59" i="4"/>
  <c r="G61" i="4" s="1"/>
  <c r="G64" i="4" s="1"/>
  <c r="G66" i="4" s="1"/>
  <c r="G67" i="4" s="1"/>
  <c r="G71" i="4" s="1"/>
  <c r="F59" i="4"/>
  <c r="F61" i="4" s="1"/>
  <c r="F64" i="4" s="1"/>
  <c r="F66" i="4" s="1"/>
  <c r="F67" i="4" s="1"/>
  <c r="F71" i="4" s="1"/>
  <c r="L71" i="4"/>
  <c r="F118" i="4" s="1"/>
  <c r="H59" i="4"/>
  <c r="H61" i="4" s="1"/>
  <c r="H64" i="4" s="1"/>
  <c r="H66" i="4" s="1"/>
  <c r="H67" i="4" s="1"/>
  <c r="H71" i="4" s="1"/>
  <c r="E66" i="4"/>
  <c r="E67" i="4" s="1"/>
  <c r="E71" i="4" s="1"/>
  <c r="G33" i="4"/>
  <c r="G35" i="4" s="1"/>
  <c r="G38" i="4" s="1"/>
  <c r="G40" i="4" s="1"/>
  <c r="G41" i="4" s="1"/>
  <c r="G45" i="4" s="1"/>
  <c r="H33" i="4"/>
  <c r="H35" i="4" s="1"/>
  <c r="H38" i="4" s="1"/>
  <c r="H40" i="4" s="1"/>
  <c r="H41" i="4" s="1"/>
  <c r="H45" i="4" s="1"/>
  <c r="F33" i="4"/>
  <c r="F35" i="4" s="1"/>
  <c r="F38" i="4" s="1"/>
  <c r="F40" i="4" s="1"/>
  <c r="F41" i="4" s="1"/>
  <c r="F45" i="4" s="1"/>
  <c r="E40" i="4"/>
  <c r="E41" i="4" s="1"/>
  <c r="E45" i="4" s="1"/>
  <c r="H7" i="4"/>
  <c r="F7" i="4"/>
  <c r="G7" i="4"/>
  <c r="E14" i="4"/>
  <c r="G95" i="4" l="1"/>
  <c r="G97" i="4" s="1"/>
  <c r="J33" i="4"/>
  <c r="I45" i="4"/>
  <c r="I31" i="4" s="1"/>
  <c r="C110" i="4"/>
  <c r="L38" i="4"/>
  <c r="I71" i="4"/>
  <c r="C118" i="4" s="1"/>
  <c r="J71" i="4"/>
  <c r="D118" i="4" s="1"/>
  <c r="J41" i="4"/>
  <c r="J35" i="4"/>
  <c r="J38" i="4"/>
  <c r="D110" i="4"/>
  <c r="J31" i="4"/>
  <c r="K41" i="4"/>
  <c r="K33" i="4"/>
  <c r="L31" i="4"/>
  <c r="L41" i="4"/>
  <c r="L35" i="4"/>
  <c r="K38" i="4"/>
  <c r="K35" i="4"/>
  <c r="K71" i="4"/>
  <c r="E118" i="4" s="1"/>
  <c r="E110" i="4"/>
  <c r="L33" i="4"/>
  <c r="K31" i="4"/>
  <c r="L67" i="4"/>
  <c r="L64" i="4"/>
  <c r="L61" i="4"/>
  <c r="L59" i="4"/>
  <c r="L57" i="4"/>
  <c r="G9" i="4"/>
  <c r="F9" i="4"/>
  <c r="H9" i="4"/>
  <c r="E15" i="4"/>
  <c r="C101" i="4" l="1"/>
  <c r="F112" i="4" s="1"/>
  <c r="I111" i="4" s="1"/>
  <c r="I35" i="4"/>
  <c r="J67" i="4"/>
  <c r="I57" i="4"/>
  <c r="I61" i="4"/>
  <c r="J57" i="4"/>
  <c r="C114" i="4"/>
  <c r="I33" i="4"/>
  <c r="I38" i="4"/>
  <c r="I41" i="4"/>
  <c r="I59" i="4"/>
  <c r="J61" i="4"/>
  <c r="I67" i="4"/>
  <c r="I64" i="4"/>
  <c r="J64" i="4"/>
  <c r="J59" i="4"/>
  <c r="K67" i="4"/>
  <c r="K64" i="4"/>
  <c r="K59" i="4"/>
  <c r="K61" i="4"/>
  <c r="K57" i="4"/>
  <c r="F12" i="4"/>
  <c r="H12" i="4"/>
  <c r="G12" i="4"/>
  <c r="E19" i="4"/>
  <c r="E24" i="4" l="1"/>
  <c r="I7" i="4" s="1"/>
  <c r="E23" i="4"/>
  <c r="I5" i="4" s="1"/>
  <c r="H14" i="4"/>
  <c r="E25" i="4"/>
  <c r="I9" i="4" s="1"/>
  <c r="E26" i="4"/>
  <c r="I12" i="4" s="1"/>
  <c r="G14" i="4"/>
  <c r="F14" i="4"/>
  <c r="E27" i="4"/>
  <c r="I15" i="4" s="1"/>
  <c r="G15" i="4" l="1"/>
  <c r="F15" i="4"/>
  <c r="H15" i="4"/>
  <c r="H19" i="4" s="1"/>
  <c r="F19" i="4" l="1"/>
  <c r="F23" i="4" s="1"/>
  <c r="J5" i="4" s="1"/>
  <c r="G19" i="4"/>
  <c r="G23" i="4" s="1"/>
  <c r="K5" i="4" s="1"/>
  <c r="F26" i="4" l="1"/>
  <c r="J12" i="4" s="1"/>
  <c r="F25" i="4"/>
  <c r="J9" i="4" s="1"/>
  <c r="F24" i="4"/>
  <c r="J7" i="4" s="1"/>
  <c r="G25" i="4"/>
  <c r="K9" i="4" s="1"/>
  <c r="G24" i="4"/>
  <c r="K7" i="4" s="1"/>
  <c r="F27" i="4"/>
  <c r="J15" i="4" s="1"/>
  <c r="G26" i="4"/>
  <c r="K12" i="4" s="1"/>
  <c r="H24" i="4"/>
  <c r="L7" i="4" s="1"/>
  <c r="H23" i="4"/>
  <c r="L5" i="4" s="1"/>
  <c r="G27" i="4"/>
  <c r="K15" i="4" s="1"/>
  <c r="H27" i="4"/>
  <c r="L15" i="4" s="1"/>
  <c r="H26" i="4"/>
  <c r="L12" i="4" s="1"/>
  <c r="H25" i="4"/>
  <c r="L9" i="4" s="1"/>
  <c r="C115" i="4" l="1"/>
  <c r="C119" i="4"/>
  <c r="F115" i="4"/>
  <c r="D119" i="4"/>
  <c r="C111" i="4"/>
  <c r="D111" i="4"/>
  <c r="E115" i="4"/>
  <c r="F120" i="4"/>
  <c r="I119" i="4" s="1"/>
  <c r="E111" i="4"/>
  <c r="D115" i="4"/>
  <c r="F111" i="4"/>
  <c r="F119" i="4"/>
  <c r="E119" i="4"/>
  <c r="F116" i="4"/>
  <c r="I115" i="4" s="1"/>
  <c r="H115" i="4" l="1"/>
  <c r="D126" i="4" s="1"/>
  <c r="D127" i="4" s="1"/>
  <c r="D128" i="4" s="1"/>
  <c r="H119" i="4"/>
  <c r="E126" i="4" s="1"/>
  <c r="E127" i="4" s="1"/>
  <c r="E128" i="4" s="1"/>
  <c r="H111" i="4"/>
  <c r="C126" i="4" l="1"/>
  <c r="C127" i="4" s="1"/>
  <c r="C128" i="4" s="1"/>
</calcChain>
</file>

<file path=xl/sharedStrings.xml><?xml version="1.0" encoding="utf-8"?>
<sst xmlns="http://schemas.openxmlformats.org/spreadsheetml/2006/main" count="333" uniqueCount="252">
  <si>
    <t>Ventes</t>
  </si>
  <si>
    <t>Coût des achats/services</t>
  </si>
  <si>
    <t>Bénéfice brut</t>
  </si>
  <si>
    <t>Charges d'exploitation</t>
  </si>
  <si>
    <t>EBITDA</t>
  </si>
  <si>
    <t>Dépréciation / Amortissement</t>
  </si>
  <si>
    <t>Charges d'intérêt</t>
  </si>
  <si>
    <t>Résultat courant avant impôt</t>
  </si>
  <si>
    <t>impôts sur les sociétés</t>
  </si>
  <si>
    <t>Résultat net</t>
  </si>
  <si>
    <t>-</t>
  </si>
  <si>
    <t>Date</t>
  </si>
  <si>
    <t>Total</t>
  </si>
  <si>
    <t xml:space="preserve">taux d'intrets </t>
  </si>
  <si>
    <t>Variation du BFR</t>
  </si>
  <si>
    <t>CapEx</t>
  </si>
  <si>
    <t>FTD</t>
  </si>
  <si>
    <t>CA</t>
  </si>
  <si>
    <t xml:space="preserve">Bénéfice brut </t>
  </si>
  <si>
    <t xml:space="preserve">EBITDA </t>
  </si>
  <si>
    <t xml:space="preserve">Résultat courant avant impôt </t>
  </si>
  <si>
    <t xml:space="preserve">Résultat net </t>
  </si>
  <si>
    <t>Synario 2 :</t>
  </si>
  <si>
    <t>Synario 3 :</t>
  </si>
  <si>
    <t xml:space="preserve"> Prévisions en % du FTD</t>
  </si>
  <si>
    <t xml:space="preserve"> </t>
  </si>
  <si>
    <t>Long Term Debt</t>
  </si>
  <si>
    <t>Current Debt</t>
  </si>
  <si>
    <t>Effective Rate</t>
  </si>
  <si>
    <t>wieght</t>
  </si>
  <si>
    <t>Total Debt</t>
  </si>
  <si>
    <t>Beta (5Y Monthly)</t>
  </si>
  <si>
    <t>Rf (U.S 10-Year Bond Yield)</t>
  </si>
  <si>
    <t>Open</t>
  </si>
  <si>
    <t>High</t>
  </si>
  <si>
    <t>Low</t>
  </si>
  <si>
    <t>Close</t>
  </si>
  <si>
    <t>Adj Close</t>
  </si>
  <si>
    <t>Volume</t>
  </si>
  <si>
    <t>Daily return</t>
  </si>
  <si>
    <t xml:space="preserve">Sum </t>
  </si>
  <si>
    <t>Rm (Monthly)</t>
  </si>
  <si>
    <t>Rm (SP&amp;500)</t>
  </si>
  <si>
    <t>WACC</t>
  </si>
  <si>
    <t>Apple Equity</t>
  </si>
  <si>
    <t>Senario 2</t>
  </si>
  <si>
    <t>Senario 3</t>
  </si>
  <si>
    <t>Projected C.F</t>
  </si>
  <si>
    <t>Senario 1 (0%)</t>
  </si>
  <si>
    <t>Senario 2 (+15%)</t>
  </si>
  <si>
    <t>Senario 3 (-15%)</t>
  </si>
  <si>
    <t>Terminal Value</t>
  </si>
  <si>
    <t>USD</t>
  </si>
  <si>
    <t>Discounted
Projected C.F</t>
  </si>
  <si>
    <t>Dicounted 
T.V</t>
  </si>
  <si>
    <t>Terminal Growth Rate</t>
  </si>
  <si>
    <t>Enterprise Value (EV)</t>
  </si>
  <si>
    <t>Senario 1</t>
  </si>
  <si>
    <t>Net debt (2024)</t>
  </si>
  <si>
    <t>Equity Value</t>
  </si>
  <si>
    <t>Fair price</t>
  </si>
  <si>
    <t xml:space="preserve">CAPM </t>
  </si>
  <si>
    <t xml:space="preserve">Cost of Equity (Re) </t>
  </si>
  <si>
    <t>wieghted Rate</t>
  </si>
  <si>
    <t xml:space="preserve">Wieght </t>
  </si>
  <si>
    <t>Cost of Debt (Rd)</t>
  </si>
  <si>
    <t>Share Outstanding</t>
  </si>
  <si>
    <t>Annulized Return</t>
  </si>
  <si>
    <t>Treasury Shares Number</t>
  </si>
  <si>
    <t>Ordinary Shares Number</t>
  </si>
  <si>
    <t>Share Issued</t>
  </si>
  <si>
    <t>Net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</si>
  <si>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</si>
  <si>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</si>
  <si>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</si>
  <si>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</si>
  <si>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</si>
  <si>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</si>
  <si>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</si>
  <si>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</si>
  <si>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</si>
  <si>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</si>
  <si>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</si>
  <si>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</si>
  <si>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</si>
  <si>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</si>
  <si>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</si>
  <si>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</si>
  <si>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</si>
  <si>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</si>
  <si>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Long Term Debt And Capital Lease Obligation</t>
  </si>
  <si>
    <t>Long Term Capital Lease Obligation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</si>
  <si>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</si>
  <si>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</si>
  <si>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</si>
  <si>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</si>
  <si>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</si>
  <si>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</si>
  <si>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Other Current Borrowings</t>
  </si>
  <si>
    <t>Commercial Paper</t>
  </si>
  <si>
    <t>Payables And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</si>
  <si>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</si>
  <si>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</si>
  <si>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</si>
  <si>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</si>
  <si>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</si>
  <si>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</si>
  <si>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</si>
  <si>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</si>
  <si>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</si>
  <si>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Investments And Advances</t>
  </si>
  <si>
    <t>Other Investments</t>
  </si>
  <si>
    <t>Investmentin Financial Assets</t>
  </si>
  <si>
    <t>Available For Sale Securities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</si>
  <si>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</si>
  <si>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</si>
  <si>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</si>
  <si>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</si>
  <si>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</si>
  <si>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</si>
  <si>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</si>
  <si>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</si>
  <si>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</si>
  <si>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</si>
  <si>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Inventory</t>
  </si>
  <si>
    <t>Receivables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</si>
  <si>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</si>
  <si>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</si>
  <si>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</si>
  <si>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</si>
  <si>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</si>
  <si>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</si>
  <si>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</si>
  <si>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9/30/2024</t>
  </si>
  <si>
    <t>9/30/2023</t>
  </si>
  <si>
    <t>9/30/2022</t>
  </si>
  <si>
    <t>9/30/2021</t>
  </si>
  <si>
    <t>9/30/2020</t>
  </si>
  <si>
    <t>Balance sheet</t>
  </si>
  <si>
    <t>Tax Effect Of Unusual Items</t>
  </si>
  <si>
    <t>Tax Rate For Calcs</t>
  </si>
  <si>
    <t>Normalized EBITDA</t>
  </si>
  <si>
    <t>Net Income From Continuing Operation Net Minority Interest</t>
  </si>
  <si>
    <t>Reconciled Depreciation</t>
  </si>
  <si>
    <t>Reconciled Cost Of Revenue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</si>
  <si>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</si>
  <si>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</si>
  <si>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</si>
  <si>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</si>
  <si>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</si>
  <si>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</si>
  <si>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</si>
  <si>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</si>
  <si>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</si>
  <si>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</si>
  <si>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</si>
  <si>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</si>
  <si>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</si>
  <si>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</si>
  <si>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</si>
  <si>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</si>
  <si>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</si>
  <si>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</si>
  <si>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</si>
  <si>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</si>
  <si>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</si>
  <si>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</si>
  <si>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</si>
  <si>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</si>
  <si>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</si>
  <si>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</si>
  <si>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</si>
  <si>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</si>
  <si>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</si>
  <si>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</si>
  <si>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</si>
  <si>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</si>
  <si>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Income statement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</si>
  <si>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</si>
  <si>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</si>
  <si>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</si>
  <si>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</si>
  <si>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</si>
  <si>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</si>
  <si>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</si>
  <si>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</si>
  <si>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</si>
  <si>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</si>
  <si>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</si>
  <si>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</si>
  <si>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</si>
  <si>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</si>
  <si>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</si>
  <si>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</si>
  <si>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</si>
  <si>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</si>
  <si>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</si>
  <si>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</si>
  <si>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</si>
  <si>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</si>
  <si>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</si>
  <si>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</si>
  <si>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</si>
  <si>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</si>
  <si>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</si>
  <si>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</si>
  <si>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</si>
  <si>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</si>
  <si>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</si>
  <si>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</si>
  <si>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</si>
  <si>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</si>
  <si>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</si>
  <si>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</si>
  <si>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</si>
  <si>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</si>
  <si>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</si>
  <si>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</si>
  <si>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</si>
  <si>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</si>
  <si>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</si>
  <si>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</si>
  <si>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</si>
  <si>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</si>
  <si>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</si>
  <si>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</si>
  <si>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</si>
  <si>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</si>
  <si>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</si>
  <si>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</si>
  <si>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Net Income From Continuing Operations</t>
  </si>
  <si>
    <t>Cash flow statement</t>
  </si>
  <si>
    <t>Ticker</t>
  </si>
  <si>
    <t>AAPL</t>
  </si>
  <si>
    <t>Currency</t>
  </si>
  <si>
    <t>Shares Outstanding</t>
  </si>
  <si>
    <t>Estimated Tax Rate</t>
  </si>
  <si>
    <t>• The financial data used in this analysis was retrieved using Python and the Yahoo Finance API.
• The data has been cross-verified with information from SEC filings available on EDGAR to ensure reliability and accuracy.
• While every effort has been made to maintain precision, results may still be subject to the limitations of public data sources and assumptions inherent to valuation models.</t>
  </si>
  <si>
    <t>Notes on Financial Data:</t>
  </si>
  <si>
    <t>DCF Assumptions</t>
  </si>
  <si>
    <t>Discount Rate:</t>
  </si>
  <si>
    <t>Terminal Growth Rate:</t>
  </si>
  <si>
    <t>Terminal Value:</t>
  </si>
  <si>
    <t>PV of Terminal Value:</t>
  </si>
  <si>
    <t>Sum of PV of Cash Flows:</t>
  </si>
  <si>
    <t>Enterprise Value:</t>
  </si>
  <si>
    <t>Implied Equity Value:</t>
  </si>
  <si>
    <t>Implied Price per Share:</t>
  </si>
  <si>
    <t>Current Price: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</si>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</sst>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0&quot;H&quot;"/>
    <numFmt numFmtId="165" formatCode="0&quot;P&quot;"/>
    <numFmt numFmtId="166" formatCode="#,##0.000000"/>
    <numFmt numFmtId="167" formatCode="0.000%"/>
    <numFmt numFmtId="168" formatCode="yyyy\-mm\-dd;@"/>
    <numFmt numFmtId="169" formatCode="_(&quot;$&quot;* #,##0_);_(&quot;$&quot;* \(#,##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4" tint="-0.49998474074526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/>
    <xf numFmtId="0" fontId="2" fillId="5" borderId="0" xfId="0" applyFont="1" applyFill="1"/>
    <xf numFmtId="0" fontId="5" fillId="5" borderId="0" xfId="0" applyFont="1" applyFill="1"/>
    <xf numFmtId="0" fontId="2" fillId="0" borderId="1" xfId="0" applyFont="1" applyFill="1" applyBorder="1"/>
    <xf numFmtId="3" fontId="8" fillId="0" borderId="1" xfId="0" applyNumberFormat="1" applyFont="1" applyBorder="1"/>
    <xf numFmtId="0" fontId="0" fillId="0" borderId="1" xfId="0" applyBorder="1"/>
    <xf numFmtId="0" fontId="7" fillId="0" borderId="0" xfId="0" applyFont="1" applyBorder="1"/>
    <xf numFmtId="0" fontId="0" fillId="0" borderId="0" xfId="0" applyBorder="1"/>
    <xf numFmtId="3" fontId="8" fillId="0" borderId="0" xfId="0" applyNumberFormat="1" applyFont="1" applyBorder="1"/>
    <xf numFmtId="0" fontId="4" fillId="0" borderId="0" xfId="0" applyFont="1" applyBorder="1"/>
    <xf numFmtId="10" fontId="0" fillId="0" borderId="1" xfId="0" applyNumberFormat="1" applyBorder="1"/>
    <xf numFmtId="10" fontId="0" fillId="0" borderId="0" xfId="0" applyNumberFormat="1" applyBorder="1"/>
    <xf numFmtId="3" fontId="9" fillId="0" borderId="1" xfId="0" applyNumberFormat="1" applyFont="1" applyBorder="1"/>
    <xf numFmtId="0" fontId="0" fillId="0" borderId="5" xfId="0" applyBorder="1"/>
    <xf numFmtId="3" fontId="0" fillId="0" borderId="5" xfId="0" applyNumberFormat="1" applyBorder="1"/>
    <xf numFmtId="3" fontId="9" fillId="0" borderId="5" xfId="0" applyNumberFormat="1" applyFont="1" applyBorder="1"/>
    <xf numFmtId="3" fontId="0" fillId="0" borderId="0" xfId="0" applyNumberFormat="1" applyBorder="1"/>
    <xf numFmtId="166" fontId="0" fillId="0" borderId="0" xfId="0" applyNumberFormat="1" applyBorder="1"/>
    <xf numFmtId="0" fontId="0" fillId="0" borderId="12" xfId="0" applyBorder="1"/>
    <xf numFmtId="3" fontId="8" fillId="0" borderId="12" xfId="0" applyNumberFormat="1" applyFont="1" applyBorder="1"/>
    <xf numFmtId="3" fontId="10" fillId="6" borderId="12" xfId="0" applyNumberFormat="1" applyFont="1" applyFill="1" applyBorder="1"/>
    <xf numFmtId="10" fontId="0" fillId="0" borderId="10" xfId="0" applyNumberFormat="1" applyBorder="1"/>
    <xf numFmtId="0" fontId="0" fillId="0" borderId="6" xfId="0" applyBorder="1"/>
    <xf numFmtId="10" fontId="0" fillId="0" borderId="6" xfId="0" applyNumberFormat="1" applyBorder="1"/>
    <xf numFmtId="10" fontId="0" fillId="0" borderId="14" xfId="0" applyNumberFormat="1" applyBorder="1"/>
    <xf numFmtId="0" fontId="0" fillId="0" borderId="9" xfId="0" applyFont="1" applyBorder="1"/>
    <xf numFmtId="0" fontId="0" fillId="0" borderId="13" xfId="0" applyFont="1" applyBorder="1"/>
    <xf numFmtId="0" fontId="0" fillId="0" borderId="0" xfId="0" applyFont="1" applyFill="1" applyBorder="1" applyAlignment="1"/>
    <xf numFmtId="3" fontId="0" fillId="0" borderId="1" xfId="0" applyNumberFormat="1" applyBorder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3" fontId="0" fillId="0" borderId="0" xfId="0" applyNumberFormat="1"/>
    <xf numFmtId="10" fontId="0" fillId="0" borderId="0" xfId="0" applyNumberFormat="1"/>
    <xf numFmtId="10" fontId="0" fillId="0" borderId="1" xfId="1" applyNumberFormat="1" applyFont="1" applyBorder="1"/>
    <xf numFmtId="3" fontId="10" fillId="4" borderId="17" xfId="0" applyNumberFormat="1" applyFont="1" applyFill="1" applyBorder="1"/>
    <xf numFmtId="3" fontId="0" fillId="0" borderId="0" xfId="0" applyNumberFormat="1" applyBorder="1" applyAlignment="1">
      <alignment horizontal="center" vertical="center"/>
    </xf>
    <xf numFmtId="10" fontId="0" fillId="0" borderId="0" xfId="1" applyNumberFormat="1" applyFont="1" applyBorder="1"/>
    <xf numFmtId="10" fontId="0" fillId="0" borderId="2" xfId="1" applyNumberFormat="1" applyFont="1" applyBorder="1"/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/>
    <xf numFmtId="0" fontId="1" fillId="0" borderId="0" xfId="0" applyFont="1" applyAlignment="1">
      <alignment horizontal="center"/>
    </xf>
    <xf numFmtId="0" fontId="7" fillId="0" borderId="1" xfId="0" applyFont="1" applyBorder="1"/>
    <xf numFmtId="0" fontId="4" fillId="0" borderId="0" xfId="0" applyFont="1" applyBorder="1" applyAlignment="1"/>
    <xf numFmtId="0" fontId="4" fillId="0" borderId="0" xfId="0" applyFont="1"/>
    <xf numFmtId="3" fontId="4" fillId="0" borderId="0" xfId="0" applyNumberFormat="1" applyFont="1" applyBorder="1"/>
    <xf numFmtId="167" fontId="0" fillId="0" borderId="0" xfId="1" applyNumberFormat="1" applyFont="1"/>
    <xf numFmtId="0" fontId="14" fillId="0" borderId="17" xfId="0" applyFont="1" applyBorder="1" applyAlignment="1">
      <alignment horizontal="left" vertical="top"/>
    </xf>
    <xf numFmtId="0" fontId="14" fillId="0" borderId="17" xfId="0" applyFont="1" applyFill="1" applyBorder="1" applyAlignment="1">
      <alignment horizontal="left" vertical="top"/>
    </xf>
    <xf numFmtId="0" fontId="14" fillId="0" borderId="19" xfId="0" applyFont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2" fontId="14" fillId="0" borderId="19" xfId="0" applyNumberFormat="1" applyFont="1" applyBorder="1" applyAlignment="1">
      <alignment horizontal="left" vertical="center"/>
    </xf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4" fontId="16" fillId="9" borderId="17" xfId="0" applyNumberFormat="1" applyFont="1" applyFill="1" applyBorder="1" applyAlignment="1">
      <alignment horizontal="center" vertical="top"/>
    </xf>
    <xf numFmtId="0" fontId="15" fillId="9" borderId="0" xfId="0" applyFont="1" applyFill="1" applyAlignment="1">
      <alignment horizontal="left"/>
    </xf>
    <xf numFmtId="0" fontId="1" fillId="8" borderId="18" xfId="0" applyFont="1" applyFill="1" applyBorder="1" applyAlignment="1">
      <alignment horizontal="left" vertical="center"/>
    </xf>
    <xf numFmtId="0" fontId="1" fillId="8" borderId="19" xfId="0" applyFont="1" applyFill="1" applyBorder="1" applyAlignment="1">
      <alignment horizontal="center" vertical="center"/>
    </xf>
    <xf numFmtId="14" fontId="1" fillId="8" borderId="19" xfId="0" applyNumberFormat="1" applyFont="1" applyFill="1" applyBorder="1" applyAlignment="1">
      <alignment horizontal="center" vertical="center"/>
    </xf>
    <xf numFmtId="3" fontId="1" fillId="8" borderId="19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10" fontId="1" fillId="8" borderId="2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2" xfId="0" applyNumberFormat="1" applyBorder="1"/>
    <xf numFmtId="0" fontId="17" fillId="0" borderId="0" xfId="0" applyFont="1" applyBorder="1" applyAlignment="1"/>
    <xf numFmtId="0" fontId="18" fillId="0" borderId="1" xfId="0" applyFont="1" applyBorder="1" applyAlignment="1"/>
    <xf numFmtId="0" fontId="17" fillId="0" borderId="1" xfId="0" applyFont="1" applyBorder="1" applyAlignment="1"/>
    <xf numFmtId="0" fontId="17" fillId="0" borderId="1" xfId="0" applyFont="1" applyBorder="1"/>
    <xf numFmtId="0" fontId="19" fillId="0" borderId="1" xfId="0" applyFont="1" applyBorder="1"/>
    <xf numFmtId="3" fontId="0" fillId="11" borderId="0" xfId="0" applyNumberFormat="1" applyFill="1" applyBorder="1"/>
    <xf numFmtId="164" fontId="1" fillId="0" borderId="0" xfId="0" applyNumberFormat="1" applyFont="1" applyBorder="1" applyAlignment="1">
      <alignment horizontal="center" vertical="center"/>
    </xf>
    <xf numFmtId="3" fontId="0" fillId="0" borderId="20" xfId="0" applyNumberFormat="1" applyBorder="1"/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0" xfId="0" applyFill="1"/>
    <xf numFmtId="0" fontId="1" fillId="11" borderId="0" xfId="0" applyFont="1" applyFill="1" applyAlignment="1">
      <alignment horizontal="center"/>
    </xf>
    <xf numFmtId="0" fontId="18" fillId="0" borderId="0" xfId="0" applyFont="1" applyBorder="1"/>
    <xf numFmtId="0" fontId="7" fillId="11" borderId="0" xfId="0" applyFont="1" applyFill="1" applyAlignment="1">
      <alignment horizontal="left"/>
    </xf>
    <xf numFmtId="0" fontId="7" fillId="11" borderId="0" xfId="0" applyFont="1" applyFill="1"/>
    <xf numFmtId="0" fontId="7" fillId="11" borderId="2" xfId="0" applyFont="1" applyFill="1" applyBorder="1"/>
    <xf numFmtId="0" fontId="7" fillId="11" borderId="0" xfId="0" applyFont="1" applyFill="1" applyAlignment="1">
      <alignment horizontal="center"/>
    </xf>
    <xf numFmtId="0" fontId="17" fillId="0" borderId="1" xfId="0" applyFont="1" applyFill="1" applyBorder="1"/>
    <xf numFmtId="0" fontId="7" fillId="11" borderId="0" xfId="0" applyFont="1" applyFill="1" applyBorder="1"/>
    <xf numFmtId="164" fontId="1" fillId="11" borderId="0" xfId="0" applyNumberFormat="1" applyFont="1" applyFill="1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68" fontId="0" fillId="0" borderId="0" xfId="0" applyNumberFormat="1"/>
    <xf numFmtId="168" fontId="12" fillId="0" borderId="18" xfId="0" applyNumberFormat="1" applyFont="1" applyBorder="1" applyAlignment="1">
      <alignment horizontal="center" vertical="top"/>
    </xf>
    <xf numFmtId="0" fontId="12" fillId="0" borderId="25" xfId="0" applyFont="1" applyBorder="1" applyAlignment="1">
      <alignment horizontal="center" vertical="top"/>
    </xf>
    <xf numFmtId="0" fontId="17" fillId="0" borderId="2" xfId="0" applyFont="1" applyBorder="1" applyAlignment="1"/>
    <xf numFmtId="0" fontId="1" fillId="11" borderId="0" xfId="0" applyFont="1" applyFill="1" applyBorder="1" applyAlignment="1"/>
    <xf numFmtId="0" fontId="4" fillId="0" borderId="1" xfId="0" applyFont="1" applyBorder="1" applyAlignment="1"/>
    <xf numFmtId="0" fontId="18" fillId="0" borderId="0" xfId="0" applyFont="1" applyBorder="1" applyAlignment="1"/>
    <xf numFmtId="0" fontId="0" fillId="0" borderId="0" xfId="0" applyFont="1" applyBorder="1"/>
    <xf numFmtId="0" fontId="4" fillId="0" borderId="5" xfId="0" applyFont="1" applyBorder="1"/>
    <xf numFmtId="0" fontId="7" fillId="0" borderId="12" xfId="0" applyFont="1" applyBorder="1"/>
    <xf numFmtId="0" fontId="2" fillId="0" borderId="0" xfId="0" applyFont="1" applyFill="1" applyBorder="1"/>
    <xf numFmtId="0" fontId="0" fillId="14" borderId="0" xfId="0" applyFill="1"/>
    <xf numFmtId="0" fontId="1" fillId="14" borderId="0" xfId="0" applyFont="1" applyFill="1" applyAlignment="1"/>
    <xf numFmtId="3" fontId="0" fillId="14" borderId="0" xfId="0" applyNumberFormat="1" applyFill="1" applyBorder="1"/>
    <xf numFmtId="0" fontId="12" fillId="0" borderId="3" xfId="0" applyFont="1" applyBorder="1" applyAlignment="1">
      <alignment horizontal="center" vertical="top"/>
    </xf>
    <xf numFmtId="168" fontId="12" fillId="0" borderId="22" xfId="0" applyNumberFormat="1" applyFont="1" applyBorder="1" applyAlignment="1">
      <alignment horizontal="center" vertical="top"/>
    </xf>
    <xf numFmtId="0" fontId="14" fillId="13" borderId="26" xfId="0" applyFont="1" applyFill="1" applyBorder="1" applyAlignment="1">
      <alignment horizontal="left" vertical="top"/>
    </xf>
    <xf numFmtId="0" fontId="0" fillId="12" borderId="31" xfId="0" applyFont="1" applyFill="1" applyBorder="1" applyAlignment="1">
      <alignment horizontal="center" vertical="center"/>
    </xf>
    <xf numFmtId="0" fontId="14" fillId="13" borderId="23" xfId="0" applyFont="1" applyFill="1" applyBorder="1" applyAlignment="1">
      <alignment horizontal="left" vertical="top"/>
    </xf>
    <xf numFmtId="167" fontId="0" fillId="12" borderId="30" xfId="1" applyNumberFormat="1" applyFont="1" applyFill="1" applyBorder="1" applyAlignment="1">
      <alignment horizontal="center" vertical="center"/>
    </xf>
    <xf numFmtId="0" fontId="14" fillId="13" borderId="24" xfId="0" applyFont="1" applyFill="1" applyBorder="1" applyAlignment="1">
      <alignment horizontal="left" vertical="top"/>
    </xf>
    <xf numFmtId="167" fontId="0" fillId="12" borderId="32" xfId="1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168" fontId="14" fillId="0" borderId="4" xfId="0" applyNumberFormat="1" applyFont="1" applyBorder="1" applyAlignment="1">
      <alignment horizontal="center" vertical="top"/>
    </xf>
    <xf numFmtId="14" fontId="7" fillId="11" borderId="0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left" vertical="center"/>
    </xf>
    <xf numFmtId="0" fontId="4" fillId="15" borderId="9" xfId="0" applyFont="1" applyFill="1" applyBorder="1"/>
    <xf numFmtId="0" fontId="4" fillId="15" borderId="0" xfId="0" applyFont="1" applyFill="1" applyBorder="1"/>
    <xf numFmtId="0" fontId="4" fillId="15" borderId="10" xfId="0" applyFont="1" applyFill="1" applyBorder="1"/>
    <xf numFmtId="10" fontId="4" fillId="15" borderId="10" xfId="0" applyNumberFormat="1" applyFont="1" applyFill="1" applyBorder="1"/>
    <xf numFmtId="44" fontId="4" fillId="15" borderId="10" xfId="0" applyNumberFormat="1" applyFont="1" applyFill="1" applyBorder="1"/>
    <xf numFmtId="6" fontId="4" fillId="15" borderId="10" xfId="0" applyNumberFormat="1" applyFont="1" applyFill="1" applyBorder="1"/>
    <xf numFmtId="0" fontId="4" fillId="15" borderId="0" xfId="0" applyFont="1" applyFill="1" applyBorder="1" applyAlignment="1">
      <alignment horizontal="center" vertical="center"/>
    </xf>
    <xf numFmtId="169" fontId="4" fillId="15" borderId="10" xfId="0" applyNumberFormat="1" applyFont="1" applyFill="1" applyBorder="1"/>
    <xf numFmtId="0" fontId="4" fillId="15" borderId="6" xfId="0" applyFont="1" applyFill="1" applyBorder="1"/>
    <xf numFmtId="44" fontId="4" fillId="15" borderId="14" xfId="0" applyNumberFormat="1" applyFont="1" applyFill="1" applyBorder="1"/>
    <xf numFmtId="44" fontId="0" fillId="0" borderId="0" xfId="0" applyNumberFormat="1" applyBorder="1"/>
    <xf numFmtId="9" fontId="0" fillId="0" borderId="0" xfId="0" applyNumberFormat="1" applyBorder="1"/>
    <xf numFmtId="0" fontId="7" fillId="15" borderId="11" xfId="0" applyFont="1" applyFill="1" applyBorder="1"/>
    <xf numFmtId="0" fontId="7" fillId="15" borderId="9" xfId="0" applyFont="1" applyFill="1" applyBorder="1"/>
    <xf numFmtId="0" fontId="7" fillId="15" borderId="13" xfId="0" applyFont="1" applyFill="1" applyBorder="1"/>
    <xf numFmtId="0" fontId="21" fillId="7" borderId="7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left" vertical="center" wrapText="1"/>
    </xf>
    <xf numFmtId="0" fontId="1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horizontal="left" vertical="center" wrapText="1"/>
    </xf>
    <xf numFmtId="0" fontId="1" fillId="10" borderId="10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5" fontId="1" fillId="4" borderId="0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0" fontId="3" fillId="0" borderId="1" xfId="1" applyNumberFormat="1" applyFont="1" applyFill="1" applyBorder="1" applyAlignment="1">
      <alignment horizontal="center" vertical="center"/>
    </xf>
    <xf numFmtId="10" fontId="3" fillId="0" borderId="0" xfId="1" applyNumberFormat="1" applyFont="1" applyFill="1" applyBorder="1" applyAlignment="1">
      <alignment horizontal="center" vertical="center"/>
    </xf>
    <xf numFmtId="9" fontId="5" fillId="5" borderId="2" xfId="1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9" fontId="5" fillId="5" borderId="6" xfId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3" fontId="22" fillId="0" borderId="0" xfId="0" applyNumberFormat="1" applyFont="1"/>
  </cellXfs>
  <cellStyles count="2">
    <cellStyle name="Normal" xfId="0" builtinId="0"/>
    <cellStyle name="Per cent" xfId="1" builtinId="5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8" formatCode="yyyy\-mm\-dd;@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numFmt numFmtId="19" formatCode="m/d/yyyy"/>
      <fill>
        <patternFill patternType="solid">
          <fgColor indexed="64"/>
          <bgColor theme="2" tint="-0.74999237037263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numFmt numFmtId="19" formatCode="m/d/yyyy"/>
      <fill>
        <patternFill patternType="solid">
          <fgColor indexed="64"/>
          <bgColor theme="2" tint="-0.74999237037263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m/d/yyyy"/>
      <fill>
        <patternFill patternType="solid">
          <fgColor indexed="64"/>
          <bgColor theme="2" tint="-0.74999237037263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1357313</xdr:colOff>
      <xdr:row>9</xdr:row>
      <xdr:rowOff>83344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F748CB-AC3D-442B-A94F-2F9EBDC5B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7844" cy="1797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82</xdr:row>
      <xdr:rowOff>24914</xdr:rowOff>
    </xdr:from>
    <xdr:to>
      <xdr:col>2</xdr:col>
      <xdr:colOff>673977</xdr:colOff>
      <xdr:row>84</xdr:row>
      <xdr:rowOff>110558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ED3BC0-6C96-4532-B817-E859408C3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85" y="1870383"/>
          <a:ext cx="2703142" cy="459840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C0383-CBAC-4BF9-8E22-D00FCDFE33A5}" name="Table5" displayName="Table5" ref="H6:I11" headerRowBorderDxfId="27" tableBorderDxfId="26" totalsRowBorderDxfId="25">
  <autoFilter ref="H6:I11" xr:uid="{F27C0383-CBAC-4BF9-8E22-D00FCDFE33A5}">
    <filterColumn colId="0" hiddenButton="1"/>
    <filterColumn colId="1" hiddenButton="1"/>
  </autoFilter>
  <tableColumns count="2">
    <tableColumn id="1" xr3:uid="{F332CB5A-8181-4137-AA37-B7F2E87B766D}" name="Ticker" totalsRowLabel="Total" dataDxfId="24" totalsRowDxfId="23"/>
    <tableColumn id="2" xr3:uid="{9F6461AB-90E5-4A73-AC4E-EEBB56FD0578}" name="AAPL" totalsRowFunction="count" totalsRowDxfId="2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24821-9C0F-4D26-82E8-4607C102A790}" name="Table1" displayName="Table1" ref="B60:G128" headerRowDxfId="21">
  <autoFilter ref="B60:G128" xr:uid="{39A24821-9C0F-4D26-82E8-4607C102A7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AE36D3F-4A3F-4717-8D1E-32F2AF33BF48}" name="Balance sheet" totalsRowLabel="Total" dataDxfId="20" totalsRowDxfId="19"/>
    <tableColumn id="2" xr3:uid="{79383F36-88FD-4A2E-BD94-5C97CAA5BBB0}" name="9/30/2024"/>
    <tableColumn id="3" xr3:uid="{A8337EA1-24D2-48AD-910C-AED45B3A997F}" name="9/30/2023"/>
    <tableColumn id="4" xr3:uid="{A293C103-FDF3-4A63-9909-83F89ACFF8A8}" name="9/30/2022"/>
    <tableColumn id="5" xr3:uid="{828EF7A6-58AC-40A3-B8C1-5861DE421F47}" name="9/30/2021"/>
    <tableColumn id="6" xr3:uid="{490DA979-FD13-4A88-A249-B8EFF808C6FF}" name="9/30/2020" totalsRowFunction="sum"/>
  </tableColumns>
  <tableStyleInfo name="TableStyleLight15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F3885-C6CB-4DFA-93EE-A60E080A8B93}" name="Table2" displayName="Table2" ref="B20:G59" totalsRowShown="0" headerRowDxfId="18" dataDxfId="17">
  <autoFilter ref="B20:G59" xr:uid="{1F2F3885-C6CB-4DFA-93EE-A60E080A8B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8F8BC25-88A8-4347-91DE-D7CD1DF30182}" name="Income statement" dataDxfId="16"/>
    <tableColumn id="2" xr3:uid="{B6C36C8C-131C-4338-B4DB-5C003F067F65}" name="9/30/2024" dataDxfId="15"/>
    <tableColumn id="3" xr3:uid="{CC70C42B-16B4-44A5-95CB-59EA056AC00A}" name="9/30/2023" dataDxfId="14"/>
    <tableColumn id="4" xr3:uid="{7A276824-6162-41AA-80E9-66448733C10B}" name="9/30/2022" dataDxfId="13"/>
    <tableColumn id="5" xr3:uid="{A50849BC-5968-4B1C-B18A-950984A6D6BA}" name="9/30/2021" dataDxfId="12"/>
    <tableColumn id="6" xr3:uid="{0D0A029B-22A6-4944-BE75-7E8908EADFE1}" name="9/30/2020" dataDxfId="1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7B9DC0-CCB0-462E-B0A1-52376874452C}" name="Table4" displayName="Table4" ref="B129:G182" totalsRowShown="0" headerRowDxfId="10">
  <autoFilter ref="B129:G182" xr:uid="{BB7B9DC0-CCB0-462E-B0A1-5237687445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56B5132-C5C9-49C0-B42A-6492427AE9C2}" name="Cash flow statement" dataDxfId="9"/>
    <tableColumn id="2" xr3:uid="{5E6134FE-BFA0-4ED4-8FA3-1E31C503858A}" name="9/30/2024" dataDxfId="8"/>
    <tableColumn id="3" xr3:uid="{80075B4E-383C-4D42-87CC-D5C139DD7F96}" name="9/30/2023" dataDxfId="7"/>
    <tableColumn id="8" xr3:uid="{AAB801FE-2364-4ED0-8163-C276491D2034}" name="9/30/2022" dataDxfId="6"/>
    <tableColumn id="4" xr3:uid="{AC2F0C14-5AC7-4CE3-B92E-6351E1E2BEEA}" name="9/30/2021" dataDxfId="5"/>
    <tableColumn id="5" xr3:uid="{7A2DDE14-8C9C-4613-9605-64DADBD3BD0B}" name="9/30/2020" dataDxfId="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EC5627-1A99-4645-9D6A-889E1C3B0C79}" name="Table6" displayName="Table6" ref="B7:I67" totalsRowShown="0" headerRowDxfId="3" headerRowBorderDxfId="2" tableBorderDxfId="1">
  <autoFilter ref="B7:I67" xr:uid="{37EC5627-1A99-4645-9D6A-889E1C3B0C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5CB6601-65A0-411E-80B8-1A776AA04B26}" name="Date" dataDxfId="0"/>
    <tableColumn id="2" xr3:uid="{0A9A2215-45D5-4F41-874B-B1F6176C2830}" name="Open"/>
    <tableColumn id="3" xr3:uid="{488C5283-A59A-47CA-B63E-4529E7225EEC}" name="High"/>
    <tableColumn id="4" xr3:uid="{323EDD0C-00CD-4B2F-B12B-8C6639B4F1BE}" name="Low"/>
    <tableColumn id="5" xr3:uid="{D66450B0-F02A-4DAA-BE49-95FE02392D85}" name="Close"/>
    <tableColumn id="6" xr3:uid="{349A2038-D587-4C61-B826-CEA179C961BA}" name="Adj Close"/>
    <tableColumn id="7" xr3:uid="{751C1898-CD79-4A3D-9DA5-0AD76C368C8E}" name="Daily return">
      <calculatedColumnFormula>G8/G7-1</calculatedColumnFormula>
    </tableColumn>
    <tableColumn id="8" xr3:uid="{57980EF1-2574-4B65-92AB-1A2FEE64D46A}" name="Volu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C11E-A5C1-4F91-BC45-FEEDE588B506}">
  <dimension ref="A1:I32"/>
  <sheetViews>
    <sheetView showGridLines="0" tabSelected="1" topLeftCell="A2" zoomScale="90" zoomScaleNormal="90" workbookViewId="0">
      <selection activeCell="J11" sqref="J11"/>
    </sheetView>
  </sheetViews>
  <sheetFormatPr defaultRowHeight="15" x14ac:dyDescent="0.25"/>
  <cols>
    <col min="2" max="2" width="26.28515625" bestFit="1" customWidth="1"/>
    <col min="3" max="3" width="5.42578125" bestFit="1" customWidth="1"/>
    <col min="4" max="4" width="24" bestFit="1" customWidth="1"/>
    <col min="7" max="7" width="12" bestFit="1" customWidth="1"/>
    <col min="8" max="8" width="18.42578125" bestFit="1" customWidth="1"/>
    <col min="9" max="9" width="14.85546875" bestFit="1" customWidth="1"/>
  </cols>
  <sheetData>
    <row r="1" spans="2:9" ht="15.75" thickBot="1" x14ac:dyDescent="0.3"/>
    <row r="2" spans="2:9" ht="15" customHeight="1" x14ac:dyDescent="0.25">
      <c r="B2" s="141" t="s">
        <v>239</v>
      </c>
      <c r="C2" s="142"/>
      <c r="D2" s="143"/>
    </row>
    <row r="3" spans="2:9" ht="15" customHeight="1" x14ac:dyDescent="0.25">
      <c r="B3" s="144"/>
      <c r="C3" s="145"/>
      <c r="D3" s="146"/>
    </row>
    <row r="4" spans="2:9" ht="15.75" customHeight="1" thickBot="1" x14ac:dyDescent="0.3">
      <c r="B4" s="147"/>
      <c r="C4" s="148"/>
      <c r="D4" s="149"/>
    </row>
    <row r="5" spans="2:9" ht="15.75" x14ac:dyDescent="0.25">
      <c r="B5" s="126"/>
      <c r="C5" s="127"/>
      <c r="D5" s="128"/>
    </row>
    <row r="6" spans="2:9" ht="15.75" x14ac:dyDescent="0.25">
      <c r="B6" s="138" t="s">
        <v>240</v>
      </c>
      <c r="C6" s="127"/>
      <c r="D6" s="129">
        <v>8.3299999999999999E-2</v>
      </c>
      <c r="H6" s="69" t="s">
        <v>232</v>
      </c>
      <c r="I6" s="70" t="s">
        <v>233</v>
      </c>
    </row>
    <row r="7" spans="2:9" ht="15.75" x14ac:dyDescent="0.25">
      <c r="B7" s="139"/>
      <c r="C7" s="127"/>
      <c r="D7" s="128"/>
      <c r="H7" s="65" t="s">
        <v>234</v>
      </c>
      <c r="I7" s="66" t="s">
        <v>52</v>
      </c>
    </row>
    <row r="8" spans="2:9" ht="15.75" x14ac:dyDescent="0.25">
      <c r="B8" s="138" t="s">
        <v>241</v>
      </c>
      <c r="C8" s="127"/>
      <c r="D8" s="129">
        <v>0.04</v>
      </c>
      <c r="H8" s="65" t="s">
        <v>11</v>
      </c>
      <c r="I8" s="67">
        <f ca="1">TODAY()</f>
        <v>45672</v>
      </c>
    </row>
    <row r="9" spans="2:9" ht="15.75" x14ac:dyDescent="0.25">
      <c r="B9" s="139" t="s">
        <v>242</v>
      </c>
      <c r="C9" s="127"/>
      <c r="D9" s="130">
        <v>3186219521074.8159</v>
      </c>
      <c r="H9" s="65" t="s">
        <v>235</v>
      </c>
      <c r="I9" s="68">
        <v>15115823000</v>
      </c>
    </row>
    <row r="10" spans="2:9" ht="15.75" x14ac:dyDescent="0.25">
      <c r="B10" s="139"/>
      <c r="C10" s="127"/>
      <c r="D10" s="128"/>
      <c r="H10" s="65" t="s">
        <v>236</v>
      </c>
      <c r="I10" s="71">
        <v>0.24091199999999999</v>
      </c>
    </row>
    <row r="11" spans="2:9" ht="15.75" x14ac:dyDescent="0.25">
      <c r="B11" s="138" t="s">
        <v>243</v>
      </c>
      <c r="C11" s="127"/>
      <c r="D11" s="130">
        <v>2316486314035.4351</v>
      </c>
      <c r="H11" s="125"/>
      <c r="I11" s="124"/>
    </row>
    <row r="12" spans="2:9" ht="15.75" x14ac:dyDescent="0.25">
      <c r="B12" s="139"/>
      <c r="C12" s="127"/>
      <c r="D12" s="131"/>
    </row>
    <row r="13" spans="2:9" ht="15.75" x14ac:dyDescent="0.25">
      <c r="B13" s="138" t="s">
        <v>244</v>
      </c>
      <c r="C13" s="132" t="s">
        <v>249</v>
      </c>
      <c r="D13" s="130">
        <v>398690670097.05298</v>
      </c>
    </row>
    <row r="14" spans="2:9" ht="15.75" x14ac:dyDescent="0.25">
      <c r="B14" s="126"/>
      <c r="C14" s="132" t="s">
        <v>250</v>
      </c>
      <c r="D14" s="130">
        <v>458494270611.61102</v>
      </c>
    </row>
    <row r="15" spans="2:9" ht="15.75" x14ac:dyDescent="0.25">
      <c r="B15" s="126"/>
      <c r="C15" s="132" t="s">
        <v>251</v>
      </c>
      <c r="D15" s="130">
        <v>338887069582.495</v>
      </c>
    </row>
    <row r="16" spans="2:9" ht="15.75" x14ac:dyDescent="0.25">
      <c r="B16" s="126"/>
      <c r="C16" s="132"/>
      <c r="D16" s="133"/>
    </row>
    <row r="17" spans="1:9" ht="15.75" x14ac:dyDescent="0.25">
      <c r="B17" s="138" t="s">
        <v>245</v>
      </c>
      <c r="C17" s="132" t="s">
        <v>249</v>
      </c>
      <c r="D17" s="130">
        <v>2715176984132.4902</v>
      </c>
    </row>
    <row r="18" spans="1:9" ht="15.75" x14ac:dyDescent="0.25">
      <c r="B18" s="139"/>
      <c r="C18" s="132" t="s">
        <v>250</v>
      </c>
      <c r="D18" s="130">
        <v>2774980584647.0498</v>
      </c>
    </row>
    <row r="19" spans="1:9" ht="15.75" x14ac:dyDescent="0.25">
      <c r="B19" s="139"/>
      <c r="C19" s="132" t="s">
        <v>251</v>
      </c>
      <c r="D19" s="130">
        <v>2655373383617.9302</v>
      </c>
    </row>
    <row r="20" spans="1:9" ht="15.75" x14ac:dyDescent="0.25">
      <c r="B20" s="139"/>
      <c r="C20" s="132"/>
      <c r="D20" s="128"/>
    </row>
    <row r="21" spans="1:9" ht="15.75" x14ac:dyDescent="0.25">
      <c r="B21" s="138" t="s">
        <v>246</v>
      </c>
      <c r="C21" s="132" t="s">
        <v>249</v>
      </c>
      <c r="D21" s="130">
        <v>2638490984132.4902</v>
      </c>
      <c r="G21" s="18"/>
      <c r="H21" s="18"/>
      <c r="I21" s="18"/>
    </row>
    <row r="22" spans="1:9" ht="15.75" x14ac:dyDescent="0.25">
      <c r="B22" s="139"/>
      <c r="C22" s="132" t="s">
        <v>250</v>
      </c>
      <c r="D22" s="130">
        <v>2698294584647.0498</v>
      </c>
      <c r="G22" s="18"/>
      <c r="H22" s="18"/>
      <c r="I22" s="18"/>
    </row>
    <row r="23" spans="1:9" ht="15.75" x14ac:dyDescent="0.25">
      <c r="B23" s="139"/>
      <c r="C23" s="132" t="s">
        <v>251</v>
      </c>
      <c r="D23" s="130">
        <v>2578687383617.9302</v>
      </c>
      <c r="G23" s="18"/>
      <c r="H23" s="18"/>
      <c r="I23" s="18"/>
    </row>
    <row r="24" spans="1:9" ht="15.75" x14ac:dyDescent="0.25">
      <c r="B24" s="139"/>
      <c r="C24" s="132"/>
      <c r="D24" s="131"/>
      <c r="G24" s="18"/>
      <c r="H24" s="18"/>
      <c r="I24" s="18"/>
    </row>
    <row r="25" spans="1:9" ht="15.75" x14ac:dyDescent="0.25">
      <c r="B25" s="138" t="s">
        <v>247</v>
      </c>
      <c r="C25" s="132" t="s">
        <v>249</v>
      </c>
      <c r="D25" s="130">
        <v>174.551592998442</v>
      </c>
    </row>
    <row r="26" spans="1:9" ht="15.75" x14ac:dyDescent="0.25">
      <c r="B26" s="139"/>
      <c r="C26" s="132" t="s">
        <v>250</v>
      </c>
      <c r="D26" s="130">
        <v>178.50795055267901</v>
      </c>
    </row>
    <row r="27" spans="1:9" ht="15.75" x14ac:dyDescent="0.25">
      <c r="B27" s="139"/>
      <c r="C27" s="132" t="s">
        <v>251</v>
      </c>
      <c r="D27" s="130">
        <v>170.595235444205</v>
      </c>
    </row>
    <row r="28" spans="1:9" ht="15.75" x14ac:dyDescent="0.25">
      <c r="B28" s="139"/>
      <c r="C28" s="127"/>
      <c r="D28" s="130"/>
    </row>
    <row r="29" spans="1:9" ht="16.5" thickBot="1" x14ac:dyDescent="0.3">
      <c r="B29" s="140" t="s">
        <v>248</v>
      </c>
      <c r="C29" s="134"/>
      <c r="D29" s="135">
        <v>250.71</v>
      </c>
    </row>
    <row r="30" spans="1:9" x14ac:dyDescent="0.25">
      <c r="A30" s="9"/>
      <c r="B30" s="9"/>
      <c r="C30" s="9"/>
      <c r="D30" s="9"/>
    </row>
    <row r="31" spans="1:9" x14ac:dyDescent="0.25">
      <c r="A31" s="9"/>
      <c r="B31" s="9"/>
      <c r="C31" s="9"/>
      <c r="D31" s="136"/>
    </row>
    <row r="32" spans="1:9" x14ac:dyDescent="0.25">
      <c r="A32" s="9"/>
      <c r="B32" s="9"/>
      <c r="C32" s="9"/>
      <c r="D32" s="137"/>
    </row>
  </sheetData>
  <mergeCells count="1">
    <mergeCell ref="B2:D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E9B8-0109-4328-994B-AD4EC82F4E31}">
  <dimension ref="B10:G182"/>
  <sheetViews>
    <sheetView showGridLines="0" topLeftCell="A44" zoomScale="80" zoomScaleNormal="80" workbookViewId="0">
      <selection activeCell="B71" sqref="B71"/>
    </sheetView>
  </sheetViews>
  <sheetFormatPr defaultRowHeight="15" outlineLevelRow="1" x14ac:dyDescent="0.25"/>
  <cols>
    <col min="1" max="1" width="6.5703125" customWidth="1"/>
    <col min="2" max="2" width="56.7109375" bestFit="1" customWidth="1"/>
    <col min="3" max="6" width="15" bestFit="1" customWidth="1"/>
    <col min="7" max="7" width="14.28515625" bestFit="1" customWidth="1"/>
    <col min="8" max="8" width="12.7109375" bestFit="1" customWidth="1"/>
  </cols>
  <sheetData>
    <row r="10" spans="2:7" x14ac:dyDescent="0.25">
      <c r="F10" s="48"/>
      <c r="G10" s="48"/>
    </row>
    <row r="11" spans="2:7" ht="15.75" thickBot="1" x14ac:dyDescent="0.3"/>
    <row r="12" spans="2:7" ht="19.5" thickBot="1" x14ac:dyDescent="0.35">
      <c r="B12" s="119" t="s">
        <v>238</v>
      </c>
      <c r="C12" s="120"/>
      <c r="D12" s="120"/>
      <c r="E12" s="120"/>
      <c r="F12" s="120"/>
      <c r="G12" s="121"/>
    </row>
    <row r="13" spans="2:7" x14ac:dyDescent="0.25">
      <c r="B13" s="150" t="s">
        <v>237</v>
      </c>
      <c r="C13" s="151"/>
      <c r="D13" s="151"/>
      <c r="E13" s="151"/>
      <c r="F13" s="151"/>
      <c r="G13" s="152"/>
    </row>
    <row r="14" spans="2:7" x14ac:dyDescent="0.25">
      <c r="B14" s="153"/>
      <c r="C14" s="154"/>
      <c r="D14" s="154"/>
      <c r="E14" s="154"/>
      <c r="F14" s="154"/>
      <c r="G14" s="155"/>
    </row>
    <row r="15" spans="2:7" x14ac:dyDescent="0.25">
      <c r="B15" s="153"/>
      <c r="C15" s="154"/>
      <c r="D15" s="154"/>
      <c r="E15" s="154"/>
      <c r="F15" s="154"/>
      <c r="G15" s="155"/>
    </row>
    <row r="16" spans="2:7" x14ac:dyDescent="0.25">
      <c r="B16" s="153"/>
      <c r="C16" s="154"/>
      <c r="D16" s="154"/>
      <c r="E16" s="154"/>
      <c r="F16" s="154"/>
      <c r="G16" s="155"/>
    </row>
    <row r="17" spans="2:7" x14ac:dyDescent="0.25">
      <c r="B17" s="153"/>
      <c r="C17" s="154"/>
      <c r="D17" s="154"/>
      <c r="E17" s="154"/>
      <c r="F17" s="154"/>
      <c r="G17" s="155"/>
    </row>
    <row r="18" spans="2:7" ht="15.75" thickBot="1" x14ac:dyDescent="0.3">
      <c r="B18" s="156"/>
      <c r="C18" s="157"/>
      <c r="D18" s="157"/>
      <c r="E18" s="157"/>
      <c r="F18" s="157"/>
      <c r="G18" s="158"/>
    </row>
    <row r="20" spans="2:7" ht="21" x14ac:dyDescent="0.35">
      <c r="B20" s="64" t="s">
        <v>177</v>
      </c>
      <c r="C20" s="63" t="s">
        <v>133</v>
      </c>
      <c r="D20" s="63" t="s">
        <v>134</v>
      </c>
      <c r="E20" s="63" t="s">
        <v>135</v>
      </c>
      <c r="F20" s="63" t="s">
        <v>136</v>
      </c>
      <c r="G20" s="63" t="s">
        <v>137</v>
      </c>
    </row>
    <row r="21" spans="2:7" outlineLevel="1" x14ac:dyDescent="0.25">
      <c r="B21" s="58" t="s">
        <v>139</v>
      </c>
      <c r="C21" s="61">
        <v>0</v>
      </c>
      <c r="D21" s="61">
        <v>0</v>
      </c>
      <c r="E21" s="61">
        <v>0</v>
      </c>
      <c r="F21" s="61">
        <v>0</v>
      </c>
      <c r="G21" s="61"/>
    </row>
    <row r="22" spans="2:7" outlineLevel="1" x14ac:dyDescent="0.25">
      <c r="B22" s="58" t="s">
        <v>140</v>
      </c>
      <c r="C22" s="61">
        <v>0.24091199999999999</v>
      </c>
      <c r="D22" s="61">
        <v>0.14719199999999999</v>
      </c>
      <c r="E22" s="61">
        <v>0.16200000000000001</v>
      </c>
      <c r="F22" s="61">
        <v>0.13300000000000001</v>
      </c>
      <c r="G22" s="61"/>
    </row>
    <row r="23" spans="2:7" outlineLevel="1" x14ac:dyDescent="0.25">
      <c r="B23" s="58" t="s">
        <v>141</v>
      </c>
      <c r="C23" s="61">
        <v>134661000000</v>
      </c>
      <c r="D23" s="61">
        <v>125820000000</v>
      </c>
      <c r="E23" s="61">
        <v>130541000000</v>
      </c>
      <c r="F23" s="61">
        <v>123136000000</v>
      </c>
      <c r="G23" s="61"/>
    </row>
    <row r="24" spans="2:7" outlineLevel="1" x14ac:dyDescent="0.25">
      <c r="B24" s="58" t="s">
        <v>142</v>
      </c>
      <c r="C24" s="61">
        <v>93736000000</v>
      </c>
      <c r="D24" s="61">
        <v>96995000000</v>
      </c>
      <c r="E24" s="61">
        <v>99803000000</v>
      </c>
      <c r="F24" s="61">
        <v>94680000000</v>
      </c>
      <c r="G24" s="61"/>
    </row>
    <row r="25" spans="2:7" outlineLevel="1" x14ac:dyDescent="0.25">
      <c r="B25" s="56" t="s">
        <v>143</v>
      </c>
      <c r="C25" s="61">
        <v>11445000000</v>
      </c>
      <c r="D25" s="61">
        <v>11519000000</v>
      </c>
      <c r="E25" s="61">
        <v>11104000000</v>
      </c>
      <c r="F25" s="61">
        <v>11284000000</v>
      </c>
      <c r="G25" s="61"/>
    </row>
    <row r="26" spans="2:7" outlineLevel="1" x14ac:dyDescent="0.25">
      <c r="B26" s="56" t="s">
        <v>144</v>
      </c>
      <c r="C26" s="61">
        <v>210352000000</v>
      </c>
      <c r="D26" s="61">
        <v>214137000000</v>
      </c>
      <c r="E26" s="61">
        <v>223546000000</v>
      </c>
      <c r="F26" s="61">
        <v>212981000000</v>
      </c>
      <c r="G26" s="61"/>
    </row>
    <row r="27" spans="2:7" outlineLevel="1" x14ac:dyDescent="0.25">
      <c r="B27" s="56" t="s">
        <v>4</v>
      </c>
      <c r="C27" s="61">
        <v>134661000000</v>
      </c>
      <c r="D27" s="61">
        <v>125820000000</v>
      </c>
      <c r="E27" s="61">
        <v>130541000000</v>
      </c>
      <c r="F27" s="61">
        <v>123136000000</v>
      </c>
      <c r="G27" s="61"/>
    </row>
    <row r="28" spans="2:7" outlineLevel="1" x14ac:dyDescent="0.25">
      <c r="B28" s="56" t="s">
        <v>145</v>
      </c>
      <c r="C28" s="61">
        <v>123216000000</v>
      </c>
      <c r="D28" s="61">
        <v>114301000000</v>
      </c>
      <c r="E28" s="61">
        <v>119437000000</v>
      </c>
      <c r="F28" s="61">
        <v>111852000000</v>
      </c>
      <c r="G28" s="61"/>
    </row>
    <row r="29" spans="2:7" outlineLevel="1" x14ac:dyDescent="0.25">
      <c r="B29" s="56" t="s">
        <v>146</v>
      </c>
      <c r="C29" s="61"/>
      <c r="D29" s="61">
        <v>-183000000</v>
      </c>
      <c r="E29" s="61">
        <v>-106000000</v>
      </c>
      <c r="F29" s="61">
        <v>198000000</v>
      </c>
      <c r="G29" s="61">
        <v>890000000</v>
      </c>
    </row>
    <row r="30" spans="2:7" outlineLevel="1" x14ac:dyDescent="0.25">
      <c r="B30" s="57" t="s">
        <v>147</v>
      </c>
      <c r="C30" s="62"/>
      <c r="D30" s="62">
        <v>3933000000</v>
      </c>
      <c r="E30" s="62">
        <v>2931000000</v>
      </c>
      <c r="F30" s="62">
        <v>2645000000</v>
      </c>
      <c r="G30" s="62">
        <v>2873000000</v>
      </c>
    </row>
    <row r="31" spans="2:7" outlineLevel="1" x14ac:dyDescent="0.25">
      <c r="B31" s="57" t="s">
        <v>148</v>
      </c>
      <c r="C31" s="62"/>
      <c r="D31" s="62">
        <v>3750000000</v>
      </c>
      <c r="E31" s="62">
        <v>2825000000</v>
      </c>
      <c r="F31" s="62">
        <v>2843000000</v>
      </c>
      <c r="G31" s="62">
        <v>3763000000</v>
      </c>
    </row>
    <row r="32" spans="2:7" outlineLevel="1" x14ac:dyDescent="0.25">
      <c r="B32" s="56" t="s">
        <v>149</v>
      </c>
      <c r="C32" s="61">
        <v>93736000000</v>
      </c>
      <c r="D32" s="61">
        <v>96995000000</v>
      </c>
      <c r="E32" s="61">
        <v>99803000000</v>
      </c>
      <c r="F32" s="61">
        <v>94680000000</v>
      </c>
      <c r="G32" s="61"/>
    </row>
    <row r="33" spans="2:7" outlineLevel="1" x14ac:dyDescent="0.25">
      <c r="B33" s="56" t="s">
        <v>150</v>
      </c>
      <c r="C33" s="61">
        <v>93736000000</v>
      </c>
      <c r="D33" s="61">
        <v>96995000000</v>
      </c>
      <c r="E33" s="61">
        <v>99803000000</v>
      </c>
      <c r="F33" s="61">
        <v>94680000000</v>
      </c>
      <c r="G33" s="61"/>
    </row>
    <row r="34" spans="2:7" outlineLevel="1" x14ac:dyDescent="0.25">
      <c r="B34" s="56" t="s">
        <v>151</v>
      </c>
      <c r="C34" s="61">
        <v>267819000000</v>
      </c>
      <c r="D34" s="61">
        <v>268984000000</v>
      </c>
      <c r="E34" s="61">
        <v>274891000000</v>
      </c>
      <c r="F34" s="61">
        <v>256868000000</v>
      </c>
      <c r="G34" s="61"/>
    </row>
    <row r="35" spans="2:7" outlineLevel="1" x14ac:dyDescent="0.25">
      <c r="B35" s="56" t="s">
        <v>152</v>
      </c>
      <c r="C35" s="61">
        <v>123216000000</v>
      </c>
      <c r="D35" s="61">
        <v>114301000000</v>
      </c>
      <c r="E35" s="61">
        <v>119437000000</v>
      </c>
      <c r="F35" s="61">
        <v>108949000000</v>
      </c>
      <c r="G35" s="61"/>
    </row>
    <row r="36" spans="2:7" outlineLevel="1" x14ac:dyDescent="0.25">
      <c r="B36" s="56" t="s">
        <v>153</v>
      </c>
      <c r="C36" s="61"/>
      <c r="D36" s="61">
        <v>15812547000</v>
      </c>
      <c r="E36" s="61">
        <v>16325819000</v>
      </c>
      <c r="F36" s="61">
        <v>16864919000</v>
      </c>
      <c r="G36" s="61">
        <v>17528214000</v>
      </c>
    </row>
    <row r="37" spans="2:7" outlineLevel="1" x14ac:dyDescent="0.25">
      <c r="B37" s="56" t="s">
        <v>154</v>
      </c>
      <c r="C37" s="61"/>
      <c r="D37" s="61">
        <v>15744231000</v>
      </c>
      <c r="E37" s="61">
        <v>16215963000</v>
      </c>
      <c r="F37" s="61">
        <v>16701272000</v>
      </c>
      <c r="G37" s="61">
        <v>17352119000</v>
      </c>
    </row>
    <row r="38" spans="2:7" outlineLevel="1" x14ac:dyDescent="0.25">
      <c r="B38" s="56" t="s">
        <v>155</v>
      </c>
      <c r="C38" s="61"/>
      <c r="D38" s="61">
        <v>6.13</v>
      </c>
      <c r="E38" s="61">
        <v>6.11</v>
      </c>
      <c r="F38" s="61">
        <v>5.61</v>
      </c>
      <c r="G38" s="61">
        <v>3.28</v>
      </c>
    </row>
    <row r="39" spans="2:7" outlineLevel="1" x14ac:dyDescent="0.25">
      <c r="B39" s="56" t="s">
        <v>156</v>
      </c>
      <c r="C39" s="61"/>
      <c r="D39" s="61">
        <v>6.16</v>
      </c>
      <c r="E39" s="61">
        <v>6.15</v>
      </c>
      <c r="F39" s="61">
        <v>5.67</v>
      </c>
      <c r="G39" s="61">
        <v>3.31</v>
      </c>
    </row>
    <row r="40" spans="2:7" outlineLevel="1" x14ac:dyDescent="0.25">
      <c r="B40" s="56" t="s">
        <v>157</v>
      </c>
      <c r="C40" s="61">
        <v>93736000000</v>
      </c>
      <c r="D40" s="61">
        <v>96995000000</v>
      </c>
      <c r="E40" s="61">
        <v>99803000000</v>
      </c>
      <c r="F40" s="61">
        <v>94680000000</v>
      </c>
      <c r="G40" s="61"/>
    </row>
    <row r="41" spans="2:7" outlineLevel="1" x14ac:dyDescent="0.25">
      <c r="B41" s="56" t="s">
        <v>158</v>
      </c>
      <c r="C41" s="61">
        <v>93736000000</v>
      </c>
      <c r="D41" s="61">
        <v>96995000000</v>
      </c>
      <c r="E41" s="61">
        <v>99803000000</v>
      </c>
      <c r="F41" s="61">
        <v>94680000000</v>
      </c>
      <c r="G41" s="61"/>
    </row>
    <row r="42" spans="2:7" outlineLevel="1" x14ac:dyDescent="0.25">
      <c r="B42" s="56" t="s">
        <v>159</v>
      </c>
      <c r="C42" s="61">
        <v>93736000000</v>
      </c>
      <c r="D42" s="61">
        <v>96995000000</v>
      </c>
      <c r="E42" s="61">
        <v>99803000000</v>
      </c>
      <c r="F42" s="61">
        <v>94680000000</v>
      </c>
      <c r="G42" s="61"/>
    </row>
    <row r="43" spans="2:7" outlineLevel="1" x14ac:dyDescent="0.25">
      <c r="B43" s="56" t="s">
        <v>160</v>
      </c>
      <c r="C43" s="61">
        <v>93736000000</v>
      </c>
      <c r="D43" s="61">
        <v>96995000000</v>
      </c>
      <c r="E43" s="61">
        <v>99803000000</v>
      </c>
      <c r="F43" s="61">
        <v>94680000000</v>
      </c>
      <c r="G43" s="61"/>
    </row>
    <row r="44" spans="2:7" outlineLevel="1" x14ac:dyDescent="0.25">
      <c r="B44" s="56" t="s">
        <v>161</v>
      </c>
      <c r="C44" s="61">
        <v>93736000000</v>
      </c>
      <c r="D44" s="61">
        <v>96995000000</v>
      </c>
      <c r="E44" s="61">
        <v>99803000000</v>
      </c>
      <c r="F44" s="61">
        <v>94680000000</v>
      </c>
      <c r="G44" s="61"/>
    </row>
    <row r="45" spans="2:7" outlineLevel="1" x14ac:dyDescent="0.25">
      <c r="B45" s="56" t="s">
        <v>162</v>
      </c>
      <c r="C45" s="61">
        <v>29749000000</v>
      </c>
      <c r="D45" s="61">
        <v>16741000000</v>
      </c>
      <c r="E45" s="61">
        <v>19300000000</v>
      </c>
      <c r="F45" s="61">
        <v>14527000000</v>
      </c>
      <c r="G45" s="61"/>
    </row>
    <row r="46" spans="2:7" outlineLevel="1" x14ac:dyDescent="0.25">
      <c r="B46" s="56" t="s">
        <v>163</v>
      </c>
      <c r="C46" s="61">
        <v>123485000000</v>
      </c>
      <c r="D46" s="61">
        <v>113736000000</v>
      </c>
      <c r="E46" s="61">
        <v>119103000000</v>
      </c>
      <c r="F46" s="61">
        <v>109207000000</v>
      </c>
      <c r="G46" s="61"/>
    </row>
    <row r="47" spans="2:7" outlineLevel="1" x14ac:dyDescent="0.25">
      <c r="B47" s="56" t="s">
        <v>164</v>
      </c>
      <c r="C47" s="61">
        <v>269000000</v>
      </c>
      <c r="D47" s="61">
        <v>-565000000</v>
      </c>
      <c r="E47" s="61">
        <v>-334000000</v>
      </c>
      <c r="F47" s="61">
        <v>60000000</v>
      </c>
      <c r="G47" s="61"/>
    </row>
    <row r="48" spans="2:7" outlineLevel="1" x14ac:dyDescent="0.25">
      <c r="B48" s="56" t="s">
        <v>165</v>
      </c>
      <c r="C48" s="61">
        <v>269000000</v>
      </c>
      <c r="D48" s="61">
        <v>-565000000</v>
      </c>
      <c r="E48" s="61">
        <v>-334000000</v>
      </c>
      <c r="F48" s="61">
        <v>60000000</v>
      </c>
      <c r="G48" s="61"/>
    </row>
    <row r="49" spans="2:7" outlineLevel="1" x14ac:dyDescent="0.25">
      <c r="B49" s="56" t="s">
        <v>166</v>
      </c>
      <c r="C49" s="61"/>
      <c r="D49" s="61">
        <v>-183000000</v>
      </c>
      <c r="E49" s="61">
        <v>-106000000</v>
      </c>
      <c r="F49" s="61">
        <v>198000000</v>
      </c>
      <c r="G49" s="61">
        <v>890000000</v>
      </c>
    </row>
    <row r="50" spans="2:7" outlineLevel="1" x14ac:dyDescent="0.25">
      <c r="B50" s="56" t="s">
        <v>167</v>
      </c>
      <c r="C50" s="61"/>
      <c r="D50" s="61">
        <v>3933000000</v>
      </c>
      <c r="E50" s="61">
        <v>2931000000</v>
      </c>
      <c r="F50" s="61">
        <v>2645000000</v>
      </c>
      <c r="G50" s="61">
        <v>2873000000</v>
      </c>
    </row>
    <row r="51" spans="2:7" outlineLevel="1" x14ac:dyDescent="0.25">
      <c r="B51" s="56" t="s">
        <v>168</v>
      </c>
      <c r="C51" s="61"/>
      <c r="D51" s="61">
        <v>3750000000</v>
      </c>
      <c r="E51" s="61">
        <v>2825000000</v>
      </c>
      <c r="F51" s="61">
        <v>2843000000</v>
      </c>
      <c r="G51" s="61">
        <v>3763000000</v>
      </c>
    </row>
    <row r="52" spans="2:7" outlineLevel="1" x14ac:dyDescent="0.25">
      <c r="B52" s="56" t="s">
        <v>169</v>
      </c>
      <c r="C52" s="61">
        <v>123216000000</v>
      </c>
      <c r="D52" s="61">
        <v>114301000000</v>
      </c>
      <c r="E52" s="61">
        <v>119437000000</v>
      </c>
      <c r="F52" s="61">
        <v>108949000000</v>
      </c>
      <c r="G52" s="61"/>
    </row>
    <row r="53" spans="2:7" outlineLevel="1" x14ac:dyDescent="0.25">
      <c r="B53" s="57" t="s">
        <v>170</v>
      </c>
      <c r="C53" s="61">
        <v>57467000000</v>
      </c>
      <c r="D53" s="61">
        <v>54847000000</v>
      </c>
      <c r="E53" s="61">
        <v>51345000000</v>
      </c>
      <c r="F53" s="61">
        <v>43887000000</v>
      </c>
      <c r="G53" s="61"/>
    </row>
    <row r="54" spans="2:7" outlineLevel="1" x14ac:dyDescent="0.25">
      <c r="B54" s="57" t="s">
        <v>171</v>
      </c>
      <c r="C54" s="61">
        <v>31370000000</v>
      </c>
      <c r="D54" s="61">
        <v>29915000000</v>
      </c>
      <c r="E54" s="61">
        <v>26251000000</v>
      </c>
      <c r="F54" s="61">
        <v>21914000000</v>
      </c>
      <c r="G54" s="61"/>
    </row>
    <row r="55" spans="2:7" outlineLevel="1" x14ac:dyDescent="0.25">
      <c r="B55" s="57" t="s">
        <v>172</v>
      </c>
      <c r="C55" s="61">
        <v>26097000000</v>
      </c>
      <c r="D55" s="61">
        <v>24932000000</v>
      </c>
      <c r="E55" s="61">
        <v>25094000000</v>
      </c>
      <c r="F55" s="61">
        <v>21973000000</v>
      </c>
      <c r="G55" s="61"/>
    </row>
    <row r="56" spans="2:7" outlineLevel="1" x14ac:dyDescent="0.25">
      <c r="B56" s="57" t="s">
        <v>173</v>
      </c>
      <c r="C56" s="61">
        <v>180683000000</v>
      </c>
      <c r="D56" s="61">
        <v>169148000000</v>
      </c>
      <c r="E56" s="61">
        <v>170782000000</v>
      </c>
      <c r="F56" s="61">
        <v>152836000000</v>
      </c>
      <c r="G56" s="61"/>
    </row>
    <row r="57" spans="2:7" outlineLevel="1" x14ac:dyDescent="0.25">
      <c r="B57" s="57" t="s">
        <v>174</v>
      </c>
      <c r="C57" s="61">
        <v>210352000000</v>
      </c>
      <c r="D57" s="61">
        <v>214137000000</v>
      </c>
      <c r="E57" s="61">
        <v>223546000000</v>
      </c>
      <c r="F57" s="61">
        <v>212981000000</v>
      </c>
      <c r="G57" s="61"/>
    </row>
    <row r="58" spans="2:7" outlineLevel="1" x14ac:dyDescent="0.25">
      <c r="B58" s="57" t="s">
        <v>175</v>
      </c>
      <c r="C58" s="61">
        <v>391035000000</v>
      </c>
      <c r="D58" s="61">
        <v>383285000000</v>
      </c>
      <c r="E58" s="61">
        <v>394328000000</v>
      </c>
      <c r="F58" s="61">
        <v>365817000000</v>
      </c>
      <c r="G58" s="61"/>
    </row>
    <row r="59" spans="2:7" outlineLevel="1" x14ac:dyDescent="0.25">
      <c r="B59" s="56" t="s">
        <v>176</v>
      </c>
      <c r="C59" s="61">
        <v>391035000000</v>
      </c>
      <c r="D59" s="61">
        <v>383285000000</v>
      </c>
      <c r="E59" s="61">
        <v>394328000000</v>
      </c>
      <c r="F59" s="61">
        <v>365817000000</v>
      </c>
      <c r="G59" s="61"/>
    </row>
    <row r="60" spans="2:7" ht="21" x14ac:dyDescent="0.35">
      <c r="B60" s="64" t="s">
        <v>138</v>
      </c>
      <c r="C60" s="63" t="s">
        <v>133</v>
      </c>
      <c r="D60" s="63" t="s">
        <v>134</v>
      </c>
      <c r="E60" s="63" t="s">
        <v>135</v>
      </c>
      <c r="F60" s="63" t="s">
        <v>136</v>
      </c>
      <c r="G60" s="63" t="s">
        <v>137</v>
      </c>
    </row>
    <row r="61" spans="2:7" outlineLevel="1" x14ac:dyDescent="0.25">
      <c r="B61" s="54" t="s">
        <v>68</v>
      </c>
      <c r="D61">
        <v>0</v>
      </c>
    </row>
    <row r="62" spans="2:7" outlineLevel="1" x14ac:dyDescent="0.25">
      <c r="B62" s="54" t="s">
        <v>69</v>
      </c>
      <c r="C62" s="59">
        <v>15116786000</v>
      </c>
      <c r="D62" s="59">
        <v>15550061000</v>
      </c>
      <c r="E62" s="59">
        <v>15943425000</v>
      </c>
      <c r="F62" s="59">
        <v>16426786000</v>
      </c>
      <c r="G62" s="59"/>
    </row>
    <row r="63" spans="2:7" outlineLevel="1" x14ac:dyDescent="0.25">
      <c r="B63" s="54" t="s">
        <v>70</v>
      </c>
      <c r="C63" s="59">
        <v>15116786000</v>
      </c>
      <c r="D63" s="59">
        <v>15550061000</v>
      </c>
      <c r="E63" s="59">
        <v>15943425000</v>
      </c>
      <c r="F63" s="59">
        <v>16426786000</v>
      </c>
      <c r="G63" s="59"/>
    </row>
    <row r="64" spans="2:7" outlineLevel="1" x14ac:dyDescent="0.25">
      <c r="B64" s="54" t="s">
        <v>71</v>
      </c>
      <c r="C64" s="59">
        <v>76686000000</v>
      </c>
      <c r="D64" s="59">
        <v>81123000000</v>
      </c>
      <c r="E64" s="59">
        <v>96423000000</v>
      </c>
      <c r="F64" s="59">
        <v>89779000000</v>
      </c>
      <c r="G64" s="59"/>
    </row>
    <row r="65" spans="2:7" outlineLevel="1" x14ac:dyDescent="0.25">
      <c r="B65" s="54" t="s">
        <v>30</v>
      </c>
      <c r="C65" s="59">
        <v>106629000000</v>
      </c>
      <c r="D65" s="59">
        <v>111088000000</v>
      </c>
      <c r="E65" s="59">
        <v>132480000000</v>
      </c>
      <c r="F65" s="59">
        <v>136522000000</v>
      </c>
      <c r="G65" s="59"/>
    </row>
    <row r="66" spans="2:7" outlineLevel="1" x14ac:dyDescent="0.25">
      <c r="B66" s="54" t="s">
        <v>72</v>
      </c>
      <c r="C66" s="59">
        <v>56950000000</v>
      </c>
      <c r="D66" s="59">
        <v>62146000000</v>
      </c>
      <c r="E66" s="59">
        <v>50672000000</v>
      </c>
      <c r="F66" s="59">
        <v>63090000000</v>
      </c>
      <c r="G66" s="59"/>
    </row>
    <row r="67" spans="2:7" outlineLevel="1" x14ac:dyDescent="0.25">
      <c r="B67" s="54" t="s">
        <v>73</v>
      </c>
      <c r="C67" s="59">
        <v>163579000000</v>
      </c>
      <c r="D67" s="59">
        <v>173234000000</v>
      </c>
      <c r="E67" s="59">
        <v>170741000000</v>
      </c>
      <c r="F67" s="59">
        <v>187809000000</v>
      </c>
      <c r="G67" s="59"/>
    </row>
    <row r="68" spans="2:7" outlineLevel="1" x14ac:dyDescent="0.25">
      <c r="B68" s="54" t="s">
        <v>74</v>
      </c>
      <c r="C68" s="59">
        <v>-23405000000</v>
      </c>
      <c r="D68" s="59">
        <v>-1742000000</v>
      </c>
      <c r="E68" s="59">
        <v>-18577000000</v>
      </c>
      <c r="F68" s="59">
        <v>9355000000</v>
      </c>
      <c r="G68" s="59"/>
    </row>
    <row r="69" spans="2:7" outlineLevel="1" x14ac:dyDescent="0.25">
      <c r="B69" s="54" t="s">
        <v>75</v>
      </c>
      <c r="C69" s="59">
        <v>56950000000</v>
      </c>
      <c r="D69" s="59">
        <v>62146000000</v>
      </c>
      <c r="E69" s="59">
        <v>50672000000</v>
      </c>
      <c r="F69" s="59">
        <v>63090000000</v>
      </c>
      <c r="G69" s="59"/>
    </row>
    <row r="70" spans="2:7" outlineLevel="1" x14ac:dyDescent="0.25">
      <c r="B70" s="54" t="s">
        <v>76</v>
      </c>
      <c r="C70" s="59"/>
      <c r="D70" s="59">
        <v>12842000000</v>
      </c>
      <c r="E70" s="59">
        <v>12411000000</v>
      </c>
      <c r="F70" s="59">
        <v>11803000000</v>
      </c>
      <c r="G70" s="59">
        <v>9842000000</v>
      </c>
    </row>
    <row r="71" spans="2:7" outlineLevel="1" x14ac:dyDescent="0.25">
      <c r="B71" s="54" t="s">
        <v>77</v>
      </c>
      <c r="C71" s="59">
        <v>56950000000</v>
      </c>
      <c r="D71" s="59">
        <v>62146000000</v>
      </c>
      <c r="E71" s="59">
        <v>50672000000</v>
      </c>
      <c r="F71" s="59">
        <v>63090000000</v>
      </c>
      <c r="G71" s="59"/>
    </row>
    <row r="72" spans="2:7" outlineLevel="1" x14ac:dyDescent="0.25">
      <c r="B72" s="54" t="s">
        <v>78</v>
      </c>
      <c r="C72" s="59">
        <v>142700000000</v>
      </c>
      <c r="D72" s="59">
        <v>157427000000</v>
      </c>
      <c r="E72" s="59">
        <v>149631000000</v>
      </c>
      <c r="F72" s="59">
        <v>172196000000</v>
      </c>
      <c r="G72" s="59"/>
    </row>
    <row r="73" spans="2:7" outlineLevel="1" x14ac:dyDescent="0.25">
      <c r="B73" s="54" t="s">
        <v>79</v>
      </c>
      <c r="C73" s="59">
        <v>56950000000</v>
      </c>
      <c r="D73" s="59">
        <v>62146000000</v>
      </c>
      <c r="E73" s="59">
        <v>50672000000</v>
      </c>
      <c r="F73" s="59">
        <v>63090000000</v>
      </c>
      <c r="G73" s="59"/>
    </row>
    <row r="74" spans="2:7" outlineLevel="1" x14ac:dyDescent="0.25">
      <c r="B74" s="54" t="s">
        <v>80</v>
      </c>
      <c r="C74" s="59">
        <v>56950000000</v>
      </c>
      <c r="D74" s="59">
        <v>62146000000</v>
      </c>
      <c r="E74" s="59">
        <v>50672000000</v>
      </c>
      <c r="F74" s="59">
        <v>63090000000</v>
      </c>
      <c r="G74" s="59"/>
    </row>
    <row r="75" spans="2:7" outlineLevel="1" x14ac:dyDescent="0.25">
      <c r="B75" s="54" t="s">
        <v>81</v>
      </c>
      <c r="C75" s="59">
        <v>-7172000000</v>
      </c>
      <c r="D75" s="59">
        <v>-11452000000</v>
      </c>
      <c r="E75" s="59">
        <v>-11109000000</v>
      </c>
      <c r="F75" s="59">
        <v>163000000</v>
      </c>
      <c r="G75" s="59"/>
    </row>
    <row r="76" spans="2:7" outlineLevel="1" x14ac:dyDescent="0.25">
      <c r="B76" s="54" t="s">
        <v>82</v>
      </c>
      <c r="C76" s="59">
        <v>-7172000000</v>
      </c>
      <c r="D76" s="59">
        <v>-11452000000</v>
      </c>
      <c r="E76" s="59">
        <v>-11109000000</v>
      </c>
      <c r="F76" s="59">
        <v>163000000</v>
      </c>
      <c r="G76" s="59"/>
    </row>
    <row r="77" spans="2:7" outlineLevel="1" x14ac:dyDescent="0.25">
      <c r="B77" s="54" t="s">
        <v>83</v>
      </c>
      <c r="C77" s="59">
        <v>-19154000000</v>
      </c>
      <c r="D77" s="59">
        <v>-214000000</v>
      </c>
      <c r="E77" s="59">
        <v>-3068000000</v>
      </c>
      <c r="F77" s="59">
        <v>5562000000</v>
      </c>
      <c r="G77" s="59"/>
    </row>
    <row r="78" spans="2:7" outlineLevel="1" x14ac:dyDescent="0.25">
      <c r="B78" s="54" t="s">
        <v>84</v>
      </c>
      <c r="C78" s="59">
        <v>83276000000</v>
      </c>
      <c r="D78" s="59">
        <v>73812000000</v>
      </c>
      <c r="E78" s="59">
        <v>64849000000</v>
      </c>
      <c r="F78" s="59">
        <v>57365000000</v>
      </c>
      <c r="G78" s="59"/>
    </row>
    <row r="79" spans="2:7" outlineLevel="1" x14ac:dyDescent="0.25">
      <c r="B79" s="54" t="s">
        <v>85</v>
      </c>
      <c r="C79" s="59">
        <v>83276000000</v>
      </c>
      <c r="D79" s="59">
        <v>73812000000</v>
      </c>
      <c r="E79" s="59">
        <v>64849000000</v>
      </c>
      <c r="F79" s="59">
        <v>57365000000</v>
      </c>
      <c r="G79" s="59"/>
    </row>
    <row r="80" spans="2:7" outlineLevel="1" x14ac:dyDescent="0.25">
      <c r="B80" s="54" t="s">
        <v>86</v>
      </c>
      <c r="C80" s="59">
        <v>308030000000</v>
      </c>
      <c r="D80" s="59">
        <v>290437000000</v>
      </c>
      <c r="E80" s="59">
        <v>302083000000</v>
      </c>
      <c r="F80" s="59">
        <v>287912000000</v>
      </c>
      <c r="G80" s="59"/>
    </row>
    <row r="81" spans="2:7" outlineLevel="1" x14ac:dyDescent="0.25">
      <c r="B81" s="54" t="s">
        <v>87</v>
      </c>
      <c r="C81" s="59">
        <v>131638000000</v>
      </c>
      <c r="D81" s="59">
        <v>145129000000</v>
      </c>
      <c r="E81" s="59">
        <v>148101000000</v>
      </c>
      <c r="F81" s="59">
        <v>162431000000</v>
      </c>
      <c r="G81" s="59"/>
    </row>
    <row r="82" spans="2:7" outlineLevel="1" x14ac:dyDescent="0.25">
      <c r="B82" s="54" t="s">
        <v>88</v>
      </c>
      <c r="C82" s="59">
        <v>36634000000</v>
      </c>
      <c r="D82" s="59">
        <v>34391000000</v>
      </c>
      <c r="E82" s="59">
        <v>21737000000</v>
      </c>
      <c r="F82" s="59">
        <v>18361000000</v>
      </c>
      <c r="G82" s="59"/>
    </row>
    <row r="83" spans="2:7" outlineLevel="1" x14ac:dyDescent="0.25">
      <c r="B83" s="54" t="s">
        <v>89</v>
      </c>
      <c r="C83" s="59">
        <v>9254000000</v>
      </c>
      <c r="D83" s="59">
        <v>15457000000</v>
      </c>
      <c r="E83" s="59">
        <v>16657000000</v>
      </c>
      <c r="F83" s="59">
        <v>24689000000</v>
      </c>
      <c r="G83" s="59"/>
    </row>
    <row r="84" spans="2:7" outlineLevel="1" x14ac:dyDescent="0.25">
      <c r="B84" s="54" t="s">
        <v>90</v>
      </c>
      <c r="C84" s="59">
        <v>85750000000</v>
      </c>
      <c r="D84" s="59">
        <v>95281000000</v>
      </c>
      <c r="E84" s="59">
        <v>109707000000</v>
      </c>
      <c r="F84" s="59">
        <v>119381000000</v>
      </c>
      <c r="G84" s="59"/>
    </row>
    <row r="85" spans="2:7" outlineLevel="1" x14ac:dyDescent="0.25">
      <c r="B85" s="54" t="s">
        <v>91</v>
      </c>
      <c r="C85" s="59"/>
      <c r="D85" s="59">
        <v>11267000000</v>
      </c>
      <c r="E85" s="59">
        <v>10748000000</v>
      </c>
      <c r="F85" s="59">
        <v>10275000000</v>
      </c>
      <c r="G85" s="59">
        <v>8382000000</v>
      </c>
    </row>
    <row r="86" spans="2:7" outlineLevel="1" x14ac:dyDescent="0.25">
      <c r="B86" s="55" t="s">
        <v>26</v>
      </c>
      <c r="C86" s="60">
        <v>85750000000</v>
      </c>
      <c r="D86" s="60">
        <v>95281000000</v>
      </c>
      <c r="E86" s="60">
        <v>98959000000</v>
      </c>
      <c r="F86" s="60">
        <v>109106000000</v>
      </c>
      <c r="G86" s="60"/>
    </row>
    <row r="87" spans="2:7" outlineLevel="1" x14ac:dyDescent="0.25">
      <c r="B87" s="55" t="s">
        <v>92</v>
      </c>
      <c r="C87" s="60">
        <v>176392000000</v>
      </c>
      <c r="D87" s="60">
        <v>145308000000</v>
      </c>
      <c r="E87" s="60">
        <v>153982000000</v>
      </c>
      <c r="F87" s="60">
        <v>125481000000</v>
      </c>
      <c r="G87" s="60"/>
    </row>
    <row r="88" spans="2:7" outlineLevel="1" x14ac:dyDescent="0.25">
      <c r="B88" s="55" t="s">
        <v>93</v>
      </c>
      <c r="C88" s="60">
        <v>51703000000</v>
      </c>
      <c r="D88" s="60">
        <v>50010000000</v>
      </c>
      <c r="E88" s="60">
        <v>52630000000</v>
      </c>
      <c r="F88" s="60">
        <v>45965000000</v>
      </c>
      <c r="G88" s="60"/>
    </row>
    <row r="89" spans="2:7" outlineLevel="1" x14ac:dyDescent="0.25">
      <c r="B89" s="55" t="s">
        <v>94</v>
      </c>
      <c r="C89" s="60">
        <v>8249000000</v>
      </c>
      <c r="D89" s="60">
        <v>8061000000</v>
      </c>
      <c r="E89" s="60">
        <v>7912000000</v>
      </c>
      <c r="F89" s="60">
        <v>7612000000</v>
      </c>
      <c r="G89" s="60"/>
    </row>
    <row r="90" spans="2:7" outlineLevel="1" x14ac:dyDescent="0.25">
      <c r="B90" s="55" t="s">
        <v>95</v>
      </c>
      <c r="C90" s="60">
        <v>8249000000</v>
      </c>
      <c r="D90" s="60">
        <v>8061000000</v>
      </c>
      <c r="E90" s="60">
        <v>7912000000</v>
      </c>
      <c r="F90" s="60">
        <v>7612000000</v>
      </c>
      <c r="G90" s="60"/>
    </row>
    <row r="91" spans="2:7" outlineLevel="1" x14ac:dyDescent="0.25">
      <c r="B91" s="55" t="s">
        <v>96</v>
      </c>
      <c r="C91" s="60">
        <v>20879000000</v>
      </c>
      <c r="D91" s="60">
        <v>15807000000</v>
      </c>
      <c r="E91" s="60">
        <v>22773000000</v>
      </c>
      <c r="F91" s="60">
        <v>17141000000</v>
      </c>
      <c r="G91" s="60"/>
    </row>
    <row r="92" spans="2:7" outlineLevel="1" x14ac:dyDescent="0.25">
      <c r="B92" s="55" t="s">
        <v>97</v>
      </c>
      <c r="C92" s="60"/>
      <c r="D92" s="60">
        <v>1575000000</v>
      </c>
      <c r="E92" s="60">
        <v>1663000000</v>
      </c>
      <c r="F92" s="60">
        <v>1528000000</v>
      </c>
      <c r="G92" s="60">
        <v>1460000000</v>
      </c>
    </row>
    <row r="93" spans="2:7" outlineLevel="1" x14ac:dyDescent="0.25">
      <c r="B93" s="55" t="s">
        <v>27</v>
      </c>
      <c r="C93" s="60">
        <v>20879000000</v>
      </c>
      <c r="D93" s="60">
        <v>15807000000</v>
      </c>
      <c r="E93" s="60">
        <v>21110000000</v>
      </c>
      <c r="F93" s="60">
        <v>15613000000</v>
      </c>
      <c r="G93" s="60"/>
    </row>
    <row r="94" spans="2:7" outlineLevel="1" x14ac:dyDescent="0.25">
      <c r="B94" s="55" t="s">
        <v>98</v>
      </c>
      <c r="C94" s="60">
        <v>10912000000</v>
      </c>
      <c r="D94" s="60">
        <v>9822000000</v>
      </c>
      <c r="E94" s="60">
        <v>11128000000</v>
      </c>
      <c r="F94" s="60">
        <v>9613000000</v>
      </c>
      <c r="G94" s="60"/>
    </row>
    <row r="95" spans="2:7" outlineLevel="1" x14ac:dyDescent="0.25">
      <c r="B95" s="54" t="s">
        <v>99</v>
      </c>
      <c r="C95" s="59">
        <v>9967000000</v>
      </c>
      <c r="D95" s="59">
        <v>5985000000</v>
      </c>
      <c r="E95" s="59">
        <v>9982000000</v>
      </c>
      <c r="F95" s="59">
        <v>6000000000</v>
      </c>
      <c r="G95" s="59"/>
    </row>
    <row r="96" spans="2:7" outlineLevel="1" x14ac:dyDescent="0.25">
      <c r="B96" s="54" t="s">
        <v>100</v>
      </c>
      <c r="C96" s="59">
        <v>95561000000</v>
      </c>
      <c r="D96" s="59">
        <v>71430000000</v>
      </c>
      <c r="E96" s="59">
        <v>70667000000</v>
      </c>
      <c r="F96" s="59">
        <v>54763000000</v>
      </c>
      <c r="G96" s="59"/>
    </row>
    <row r="97" spans="2:7" outlineLevel="1" x14ac:dyDescent="0.25">
      <c r="B97" s="54" t="s">
        <v>101</v>
      </c>
      <c r="C97" s="59">
        <v>95561000000</v>
      </c>
      <c r="D97" s="59">
        <v>71430000000</v>
      </c>
      <c r="E97" s="59">
        <v>70667000000</v>
      </c>
      <c r="F97" s="59">
        <v>54763000000</v>
      </c>
      <c r="G97" s="59"/>
    </row>
    <row r="98" spans="2:7" outlineLevel="1" x14ac:dyDescent="0.25">
      <c r="B98" s="54" t="s">
        <v>102</v>
      </c>
      <c r="C98" s="59">
        <v>26601000000</v>
      </c>
      <c r="D98" s="59">
        <v>8819000000</v>
      </c>
      <c r="E98" s="59">
        <v>6552000000</v>
      </c>
      <c r="F98" s="59"/>
      <c r="G98" s="59"/>
    </row>
    <row r="99" spans="2:7" outlineLevel="1" x14ac:dyDescent="0.25">
      <c r="B99" s="54" t="s">
        <v>103</v>
      </c>
      <c r="C99" s="59">
        <v>26601000000</v>
      </c>
      <c r="D99" s="59">
        <v>8819000000</v>
      </c>
      <c r="E99" s="59">
        <v>6552000000</v>
      </c>
      <c r="F99" s="59"/>
      <c r="G99" s="59"/>
    </row>
    <row r="100" spans="2:7" outlineLevel="1" x14ac:dyDescent="0.25">
      <c r="B100" s="54" t="s">
        <v>104</v>
      </c>
      <c r="C100" s="59">
        <v>68960000000</v>
      </c>
      <c r="D100" s="59">
        <v>62611000000</v>
      </c>
      <c r="E100" s="59">
        <v>64115000000</v>
      </c>
      <c r="F100" s="59">
        <v>54763000000</v>
      </c>
      <c r="G100" s="59"/>
    </row>
    <row r="101" spans="2:7" outlineLevel="1" x14ac:dyDescent="0.25">
      <c r="B101" s="54" t="s">
        <v>105</v>
      </c>
      <c r="C101" s="59">
        <v>364980000000</v>
      </c>
      <c r="D101" s="59">
        <v>352583000000</v>
      </c>
      <c r="E101" s="59">
        <v>352755000000</v>
      </c>
      <c r="F101" s="59">
        <v>351002000000</v>
      </c>
      <c r="G101" s="59"/>
    </row>
    <row r="102" spans="2:7" outlineLevel="1" x14ac:dyDescent="0.25">
      <c r="B102" s="54" t="s">
        <v>106</v>
      </c>
      <c r="C102" s="59">
        <v>211993000000</v>
      </c>
      <c r="D102" s="59">
        <v>209017000000</v>
      </c>
      <c r="E102" s="59">
        <v>217350000000</v>
      </c>
      <c r="F102" s="59">
        <v>216166000000</v>
      </c>
      <c r="G102" s="59"/>
    </row>
    <row r="103" spans="2:7" outlineLevel="1" x14ac:dyDescent="0.25">
      <c r="B103" s="54" t="s">
        <v>107</v>
      </c>
      <c r="C103" s="59">
        <v>55335000000</v>
      </c>
      <c r="D103" s="59">
        <v>46906000000</v>
      </c>
      <c r="E103" s="59">
        <v>28636000000</v>
      </c>
      <c r="F103" s="59">
        <v>38762000000</v>
      </c>
      <c r="G103" s="59"/>
    </row>
    <row r="104" spans="2:7" outlineLevel="1" x14ac:dyDescent="0.25">
      <c r="B104" s="54" t="s">
        <v>108</v>
      </c>
      <c r="C104" s="59">
        <v>19499000000</v>
      </c>
      <c r="D104" s="59">
        <v>17852000000</v>
      </c>
      <c r="E104" s="59">
        <v>15375000000</v>
      </c>
      <c r="F104" s="59"/>
      <c r="G104" s="59"/>
    </row>
    <row r="105" spans="2:7" outlineLevel="1" x14ac:dyDescent="0.25">
      <c r="B105" s="54" t="s">
        <v>109</v>
      </c>
      <c r="C105" s="59">
        <v>19499000000</v>
      </c>
      <c r="D105" s="59">
        <v>17852000000</v>
      </c>
      <c r="E105" s="59">
        <v>15375000000</v>
      </c>
      <c r="F105" s="59"/>
      <c r="G105" s="59"/>
    </row>
    <row r="106" spans="2:7" outlineLevel="1" x14ac:dyDescent="0.25">
      <c r="B106" s="54" t="s">
        <v>110</v>
      </c>
      <c r="C106" s="59">
        <v>91479000000</v>
      </c>
      <c r="D106" s="59">
        <v>100544000000</v>
      </c>
      <c r="E106" s="59">
        <v>120805000000</v>
      </c>
      <c r="F106" s="59">
        <v>127877000000</v>
      </c>
      <c r="G106" s="59"/>
    </row>
    <row r="107" spans="2:7" outlineLevel="1" x14ac:dyDescent="0.25">
      <c r="B107" s="54" t="s">
        <v>111</v>
      </c>
      <c r="C107" s="59"/>
      <c r="D107" s="59"/>
      <c r="E107" s="59">
        <v>120805000000</v>
      </c>
      <c r="F107" s="59">
        <v>127877000000</v>
      </c>
      <c r="G107" s="59">
        <v>100887000000</v>
      </c>
    </row>
    <row r="108" spans="2:7" outlineLevel="1" x14ac:dyDescent="0.25">
      <c r="B108" s="54" t="s">
        <v>112</v>
      </c>
      <c r="C108" s="59">
        <v>91479000000</v>
      </c>
      <c r="D108" s="59">
        <v>100544000000</v>
      </c>
      <c r="E108" s="59">
        <v>120805000000</v>
      </c>
      <c r="F108" s="59">
        <v>127877000000</v>
      </c>
      <c r="G108" s="59"/>
    </row>
    <row r="109" spans="2:7" outlineLevel="1" x14ac:dyDescent="0.25">
      <c r="B109" s="54" t="s">
        <v>113</v>
      </c>
      <c r="C109" s="59">
        <v>91479000000</v>
      </c>
      <c r="D109" s="59">
        <v>100544000000</v>
      </c>
      <c r="E109" s="59">
        <v>120805000000</v>
      </c>
      <c r="F109" s="59">
        <v>127877000000</v>
      </c>
      <c r="G109" s="59"/>
    </row>
    <row r="110" spans="2:7" outlineLevel="1" x14ac:dyDescent="0.25">
      <c r="B110" s="54" t="s">
        <v>114</v>
      </c>
      <c r="C110" s="59">
        <v>45680000000</v>
      </c>
      <c r="D110" s="59">
        <v>43715000000</v>
      </c>
      <c r="E110" s="59">
        <v>52534000000</v>
      </c>
      <c r="F110" s="59">
        <v>49527000000</v>
      </c>
      <c r="G110" s="59"/>
    </row>
    <row r="111" spans="2:7" outlineLevel="1" x14ac:dyDescent="0.25">
      <c r="B111" s="54" t="s">
        <v>115</v>
      </c>
      <c r="C111" s="59">
        <v>-73448000000</v>
      </c>
      <c r="D111" s="59">
        <v>-70884000000</v>
      </c>
      <c r="E111" s="59">
        <v>-72340000000</v>
      </c>
      <c r="F111" s="59">
        <v>-70283000000</v>
      </c>
      <c r="G111" s="59"/>
    </row>
    <row r="112" spans="2:7" outlineLevel="1" x14ac:dyDescent="0.25">
      <c r="B112" s="54" t="s">
        <v>116</v>
      </c>
      <c r="C112" s="59">
        <v>119128000000</v>
      </c>
      <c r="D112" s="59">
        <v>114599000000</v>
      </c>
      <c r="E112" s="59">
        <v>124874000000</v>
      </c>
      <c r="F112" s="59">
        <v>119810000000</v>
      </c>
      <c r="G112" s="59"/>
    </row>
    <row r="113" spans="2:7" outlineLevel="1" x14ac:dyDescent="0.25">
      <c r="B113" s="54" t="s">
        <v>117</v>
      </c>
      <c r="C113" s="59">
        <v>14233000000</v>
      </c>
      <c r="D113" s="59">
        <v>12839000000</v>
      </c>
      <c r="E113" s="59">
        <v>11271000000</v>
      </c>
      <c r="F113" s="59">
        <v>11023000000</v>
      </c>
      <c r="G113" s="59"/>
    </row>
    <row r="114" spans="2:7" outlineLevel="1" x14ac:dyDescent="0.25">
      <c r="B114" s="54" t="s">
        <v>118</v>
      </c>
      <c r="C114" s="59"/>
      <c r="D114" s="59">
        <v>10661000000</v>
      </c>
      <c r="E114" s="59">
        <v>10417000000</v>
      </c>
      <c r="F114" s="59">
        <v>10087000000</v>
      </c>
      <c r="G114" s="59">
        <v>8570000000</v>
      </c>
    </row>
    <row r="115" spans="2:7" outlineLevel="1" x14ac:dyDescent="0.25">
      <c r="B115" s="54" t="s">
        <v>119</v>
      </c>
      <c r="C115" s="59">
        <v>80205000000</v>
      </c>
      <c r="D115" s="59">
        <v>78314000000</v>
      </c>
      <c r="E115" s="59">
        <v>81060000000</v>
      </c>
      <c r="F115" s="59">
        <v>78659000000</v>
      </c>
      <c r="G115" s="59"/>
    </row>
    <row r="116" spans="2:7" outlineLevel="1" x14ac:dyDescent="0.25">
      <c r="B116" s="54" t="s">
        <v>120</v>
      </c>
      <c r="C116" s="59">
        <v>24690000000</v>
      </c>
      <c r="D116" s="59">
        <v>23446000000</v>
      </c>
      <c r="E116" s="59">
        <v>22126000000</v>
      </c>
      <c r="F116" s="59">
        <v>20041000000</v>
      </c>
      <c r="G116" s="59"/>
    </row>
    <row r="117" spans="2:7" outlineLevel="1" x14ac:dyDescent="0.25">
      <c r="B117" s="54" t="s">
        <v>121</v>
      </c>
      <c r="C117" s="59">
        <v>0</v>
      </c>
      <c r="D117" s="59">
        <v>0</v>
      </c>
      <c r="E117" s="59">
        <v>0</v>
      </c>
      <c r="F117" s="59">
        <v>0</v>
      </c>
      <c r="G117" s="59"/>
    </row>
    <row r="118" spans="2:7" outlineLevel="1" x14ac:dyDescent="0.25">
      <c r="B118" s="54" t="s">
        <v>122</v>
      </c>
      <c r="C118" s="59">
        <v>152987000000</v>
      </c>
      <c r="D118" s="59">
        <v>143566000000</v>
      </c>
      <c r="E118" s="59">
        <v>135405000000</v>
      </c>
      <c r="F118" s="59">
        <v>134836000000</v>
      </c>
      <c r="G118" s="59"/>
    </row>
    <row r="119" spans="2:7" outlineLevel="1" x14ac:dyDescent="0.25">
      <c r="B119" s="54" t="s">
        <v>123</v>
      </c>
      <c r="C119" s="59">
        <v>14287000000</v>
      </c>
      <c r="D119" s="59">
        <v>14695000000</v>
      </c>
      <c r="E119" s="59">
        <v>21223000000</v>
      </c>
      <c r="F119" s="59">
        <v>14111000000</v>
      </c>
      <c r="G119" s="59"/>
    </row>
    <row r="120" spans="2:7" outlineLevel="1" x14ac:dyDescent="0.25">
      <c r="B120" s="54" t="s">
        <v>124</v>
      </c>
      <c r="C120" s="59">
        <v>7286000000</v>
      </c>
      <c r="D120" s="59">
        <v>6331000000</v>
      </c>
      <c r="E120" s="59">
        <v>4946000000</v>
      </c>
      <c r="F120" s="59">
        <v>6580000000</v>
      </c>
      <c r="G120" s="59"/>
    </row>
    <row r="121" spans="2:7" outlineLevel="1" x14ac:dyDescent="0.25">
      <c r="B121" s="54" t="s">
        <v>125</v>
      </c>
      <c r="C121" s="59">
        <v>66243000000</v>
      </c>
      <c r="D121" s="59">
        <v>60985000000</v>
      </c>
      <c r="E121" s="59">
        <v>60932000000</v>
      </c>
      <c r="F121" s="59">
        <v>51506000000</v>
      </c>
      <c r="G121" s="59"/>
    </row>
    <row r="122" spans="2:7" outlineLevel="1" x14ac:dyDescent="0.25">
      <c r="B122" s="54" t="s">
        <v>126</v>
      </c>
      <c r="C122" s="59">
        <v>32833000000</v>
      </c>
      <c r="D122" s="59">
        <v>31477000000</v>
      </c>
      <c r="E122" s="59">
        <v>32748000000</v>
      </c>
      <c r="F122" s="59">
        <v>25228000000</v>
      </c>
      <c r="G122" s="59"/>
    </row>
    <row r="123" spans="2:7" outlineLevel="1" x14ac:dyDescent="0.25">
      <c r="B123" s="54" t="s">
        <v>127</v>
      </c>
      <c r="C123" s="59">
        <v>33410000000</v>
      </c>
      <c r="D123" s="59">
        <v>29508000000</v>
      </c>
      <c r="E123" s="59">
        <v>28184000000</v>
      </c>
      <c r="F123" s="59">
        <v>26278000000</v>
      </c>
      <c r="G123" s="59"/>
    </row>
    <row r="124" spans="2:7" outlineLevel="1" x14ac:dyDescent="0.25">
      <c r="B124" s="54" t="s">
        <v>128</v>
      </c>
      <c r="C124" s="59">
        <v>65171000000</v>
      </c>
      <c r="D124" s="59">
        <v>61555000000</v>
      </c>
      <c r="E124" s="59">
        <v>48304000000</v>
      </c>
      <c r="F124" s="59">
        <v>62639000000</v>
      </c>
      <c r="G124" s="59"/>
    </row>
    <row r="125" spans="2:7" outlineLevel="1" x14ac:dyDescent="0.25">
      <c r="B125" s="54" t="s">
        <v>129</v>
      </c>
      <c r="C125" s="59">
        <v>35228000000</v>
      </c>
      <c r="D125" s="59">
        <v>31590000000</v>
      </c>
      <c r="E125" s="59">
        <v>24658000000</v>
      </c>
      <c r="F125" s="59">
        <v>27699000000</v>
      </c>
      <c r="G125" s="59"/>
    </row>
    <row r="126" spans="2:7" outlineLevel="1" x14ac:dyDescent="0.25">
      <c r="B126" s="54" t="s">
        <v>130</v>
      </c>
      <c r="C126" s="59">
        <v>29943000000</v>
      </c>
      <c r="D126" s="59">
        <v>29965000000</v>
      </c>
      <c r="E126" s="59">
        <v>23646000000</v>
      </c>
      <c r="F126" s="59">
        <v>34940000000</v>
      </c>
      <c r="G126" s="59"/>
    </row>
    <row r="127" spans="2:7" outlineLevel="1" x14ac:dyDescent="0.25">
      <c r="B127" s="54" t="s">
        <v>131</v>
      </c>
      <c r="C127" s="59">
        <v>2744000000</v>
      </c>
      <c r="D127" s="59">
        <v>1606000000</v>
      </c>
      <c r="E127" s="59">
        <v>5100000000</v>
      </c>
      <c r="F127" s="59">
        <v>17635000000</v>
      </c>
      <c r="G127" s="59"/>
    </row>
    <row r="128" spans="2:7" outlineLevel="1" x14ac:dyDescent="0.25">
      <c r="B128" s="54" t="s">
        <v>132</v>
      </c>
      <c r="C128" s="59">
        <v>27199000000</v>
      </c>
      <c r="D128" s="59">
        <v>28359000000</v>
      </c>
      <c r="E128" s="59">
        <v>18546000000</v>
      </c>
      <c r="F128" s="59">
        <v>17305000000</v>
      </c>
      <c r="G128" s="59"/>
    </row>
    <row r="129" spans="2:7" ht="21" x14ac:dyDescent="0.35">
      <c r="B129" s="64" t="s">
        <v>231</v>
      </c>
      <c r="C129" s="63" t="s">
        <v>133</v>
      </c>
      <c r="D129" s="63" t="s">
        <v>134</v>
      </c>
      <c r="E129" s="63" t="s">
        <v>135</v>
      </c>
      <c r="F129" s="63" t="s">
        <v>136</v>
      </c>
      <c r="G129" s="63" t="s">
        <v>137</v>
      </c>
    </row>
    <row r="130" spans="2:7" outlineLevel="1" x14ac:dyDescent="0.25">
      <c r="B130" s="54" t="s">
        <v>178</v>
      </c>
      <c r="C130" s="59">
        <v>108807000000</v>
      </c>
      <c r="D130" s="59">
        <v>99584000000</v>
      </c>
      <c r="E130" s="59">
        <v>111443000000</v>
      </c>
      <c r="F130" s="59">
        <v>92953000000</v>
      </c>
      <c r="G130" s="59"/>
    </row>
    <row r="131" spans="2:7" outlineLevel="1" x14ac:dyDescent="0.25">
      <c r="B131" s="54" t="s">
        <v>179</v>
      </c>
      <c r="C131" s="59">
        <v>-94949000000</v>
      </c>
      <c r="D131" s="59">
        <v>-77550000000</v>
      </c>
      <c r="E131" s="59">
        <v>-89402000000</v>
      </c>
      <c r="F131" s="59">
        <v>-85971000000</v>
      </c>
      <c r="G131" s="59"/>
    </row>
    <row r="132" spans="2:7" outlineLevel="1" x14ac:dyDescent="0.25">
      <c r="B132" s="54" t="s">
        <v>180</v>
      </c>
      <c r="C132" s="59">
        <v>-9958000000</v>
      </c>
      <c r="D132" s="59">
        <v>-11151000000</v>
      </c>
      <c r="E132" s="59">
        <v>-9543000000</v>
      </c>
      <c r="F132" s="59">
        <v>-8750000000</v>
      </c>
      <c r="G132" s="59"/>
    </row>
    <row r="133" spans="2:7" outlineLevel="1" x14ac:dyDescent="0.25">
      <c r="B133" s="54" t="s">
        <v>181</v>
      </c>
      <c r="C133" s="59">
        <v>0</v>
      </c>
      <c r="D133" s="59">
        <v>5228000000</v>
      </c>
      <c r="E133" s="59">
        <v>5465000000</v>
      </c>
      <c r="F133" s="59">
        <v>20393000000</v>
      </c>
      <c r="G133" s="59"/>
    </row>
    <row r="134" spans="2:7" outlineLevel="1" x14ac:dyDescent="0.25">
      <c r="B134" s="54" t="s">
        <v>182</v>
      </c>
      <c r="C134" s="59"/>
      <c r="D134" s="59"/>
      <c r="E134" s="59"/>
      <c r="F134" s="59">
        <v>1105000000</v>
      </c>
      <c r="G134" s="59">
        <v>880000000</v>
      </c>
    </row>
    <row r="135" spans="2:7" outlineLevel="1" x14ac:dyDescent="0.25">
      <c r="B135" s="54" t="s">
        <v>183</v>
      </c>
      <c r="C135" s="59">
        <v>-9447000000</v>
      </c>
      <c r="D135" s="59">
        <v>-10959000000</v>
      </c>
      <c r="E135" s="59">
        <v>-10708000000</v>
      </c>
      <c r="F135" s="59">
        <v>-11085000000</v>
      </c>
      <c r="G135" s="59"/>
    </row>
    <row r="136" spans="2:7" outlineLevel="1" x14ac:dyDescent="0.25">
      <c r="B136" s="54" t="s">
        <v>184</v>
      </c>
      <c r="C136" s="59"/>
      <c r="D136" s="59">
        <v>3803000000</v>
      </c>
      <c r="E136" s="59">
        <v>2865000000</v>
      </c>
      <c r="F136" s="59">
        <v>2687000000</v>
      </c>
      <c r="G136" s="59">
        <v>3002000000</v>
      </c>
    </row>
    <row r="137" spans="2:7" outlineLevel="1" x14ac:dyDescent="0.25">
      <c r="B137" s="54" t="s">
        <v>185</v>
      </c>
      <c r="C137" s="59">
        <v>26102000000</v>
      </c>
      <c r="D137" s="59">
        <v>18679000000</v>
      </c>
      <c r="E137" s="59">
        <v>19573000000</v>
      </c>
      <c r="F137" s="59">
        <v>25385000000</v>
      </c>
      <c r="G137" s="59"/>
    </row>
    <row r="138" spans="2:7" outlineLevel="1" x14ac:dyDescent="0.25">
      <c r="B138" s="54" t="s">
        <v>186</v>
      </c>
      <c r="C138" s="59">
        <v>29943000000</v>
      </c>
      <c r="D138" s="59">
        <v>30737000000</v>
      </c>
      <c r="E138" s="59">
        <v>24977000000</v>
      </c>
      <c r="F138" s="59">
        <v>35929000000</v>
      </c>
      <c r="G138" s="59"/>
    </row>
    <row r="139" spans="2:7" outlineLevel="1" x14ac:dyDescent="0.25">
      <c r="B139" s="54" t="s">
        <v>187</v>
      </c>
      <c r="C139" s="59">
        <v>30737000000</v>
      </c>
      <c r="D139" s="59">
        <v>24977000000</v>
      </c>
      <c r="E139" s="59">
        <v>35929000000</v>
      </c>
      <c r="F139" s="59">
        <v>39789000000</v>
      </c>
      <c r="G139" s="59"/>
    </row>
    <row r="140" spans="2:7" outlineLevel="1" x14ac:dyDescent="0.25">
      <c r="B140" s="54" t="s">
        <v>188</v>
      </c>
      <c r="C140" s="59">
        <v>-794000000</v>
      </c>
      <c r="D140" s="59">
        <v>5760000000</v>
      </c>
      <c r="E140" s="59">
        <v>-10952000000</v>
      </c>
      <c r="F140" s="59">
        <v>-3860000000</v>
      </c>
      <c r="G140" s="59"/>
    </row>
    <row r="141" spans="2:7" outlineLevel="1" x14ac:dyDescent="0.25">
      <c r="B141" s="54" t="s">
        <v>189</v>
      </c>
      <c r="C141" s="59">
        <v>-121983000000</v>
      </c>
      <c r="D141" s="59">
        <v>-108488000000</v>
      </c>
      <c r="E141" s="59">
        <v>-110749000000</v>
      </c>
      <c r="F141" s="59">
        <v>-93353000000</v>
      </c>
      <c r="G141" s="59"/>
    </row>
    <row r="142" spans="2:7" outlineLevel="1" x14ac:dyDescent="0.25">
      <c r="B142" s="54" t="s">
        <v>190</v>
      </c>
      <c r="C142" s="59">
        <v>-121983000000</v>
      </c>
      <c r="D142" s="59">
        <v>-108488000000</v>
      </c>
      <c r="E142" s="59">
        <v>-110749000000</v>
      </c>
      <c r="F142" s="59">
        <v>-93353000000</v>
      </c>
      <c r="G142" s="59"/>
    </row>
    <row r="143" spans="2:7" outlineLevel="1" x14ac:dyDescent="0.25">
      <c r="B143" s="54" t="s">
        <v>191</v>
      </c>
      <c r="C143" s="59">
        <v>-5802000000</v>
      </c>
      <c r="D143" s="59">
        <v>-6012000000</v>
      </c>
      <c r="E143" s="59">
        <v>-6383000000</v>
      </c>
      <c r="F143" s="59">
        <v>-5580000000</v>
      </c>
      <c r="G143" s="59"/>
    </row>
    <row r="144" spans="2:7" outlineLevel="1" x14ac:dyDescent="0.25">
      <c r="B144" s="54" t="s">
        <v>192</v>
      </c>
      <c r="C144" s="59">
        <v>-15234000000</v>
      </c>
      <c r="D144" s="59">
        <v>-15025000000</v>
      </c>
      <c r="E144" s="59">
        <v>-14841000000</v>
      </c>
      <c r="F144" s="59">
        <v>-14467000000</v>
      </c>
      <c r="G144" s="59"/>
    </row>
    <row r="145" spans="2:7" outlineLevel="1" x14ac:dyDescent="0.25">
      <c r="B145" s="54" t="s">
        <v>193</v>
      </c>
      <c r="C145" s="59">
        <v>-15234000000</v>
      </c>
      <c r="D145" s="59">
        <v>-15025000000</v>
      </c>
      <c r="E145" s="59">
        <v>-14841000000</v>
      </c>
      <c r="F145" s="59">
        <v>-14467000000</v>
      </c>
      <c r="G145" s="59"/>
    </row>
    <row r="146" spans="2:7" outlineLevel="1" x14ac:dyDescent="0.25">
      <c r="B146" s="54" t="s">
        <v>194</v>
      </c>
      <c r="C146" s="59">
        <v>-94949000000</v>
      </c>
      <c r="D146" s="59">
        <v>-77550000000</v>
      </c>
      <c r="E146" s="59">
        <v>-89402000000</v>
      </c>
      <c r="F146" s="59">
        <v>-85971000000</v>
      </c>
      <c r="G146" s="59"/>
    </row>
    <row r="147" spans="2:7" outlineLevel="1" x14ac:dyDescent="0.25">
      <c r="B147" s="54" t="s">
        <v>195</v>
      </c>
      <c r="C147" s="59">
        <v>-94949000000</v>
      </c>
      <c r="D147" s="59">
        <v>-77550000000</v>
      </c>
      <c r="E147" s="59">
        <v>-89402000000</v>
      </c>
      <c r="F147" s="59">
        <v>-85971000000</v>
      </c>
      <c r="G147" s="59"/>
    </row>
    <row r="148" spans="2:7" outlineLevel="1" x14ac:dyDescent="0.25">
      <c r="B148" s="54" t="s">
        <v>196</v>
      </c>
      <c r="C148" s="59"/>
      <c r="D148" s="59"/>
      <c r="E148" s="59"/>
      <c r="F148" s="59">
        <v>1105000000</v>
      </c>
      <c r="G148" s="59">
        <v>880000000</v>
      </c>
    </row>
    <row r="149" spans="2:7" outlineLevel="1" x14ac:dyDescent="0.25">
      <c r="B149" s="54" t="s">
        <v>197</v>
      </c>
      <c r="C149" s="59">
        <v>-5998000000</v>
      </c>
      <c r="D149" s="59">
        <v>-9901000000</v>
      </c>
      <c r="E149" s="59">
        <v>-123000000</v>
      </c>
      <c r="F149" s="59">
        <v>12665000000</v>
      </c>
      <c r="G149" s="59"/>
    </row>
    <row r="150" spans="2:7" outlineLevel="1" x14ac:dyDescent="0.25">
      <c r="B150" s="54" t="s">
        <v>198</v>
      </c>
      <c r="C150" s="59">
        <v>3960000000</v>
      </c>
      <c r="D150" s="59">
        <v>-3978000000</v>
      </c>
      <c r="E150" s="59">
        <v>3955000000</v>
      </c>
      <c r="F150" s="59">
        <v>1022000000</v>
      </c>
      <c r="G150" s="59"/>
    </row>
    <row r="151" spans="2:7" outlineLevel="1" x14ac:dyDescent="0.25">
      <c r="B151" s="54" t="s">
        <v>199</v>
      </c>
      <c r="C151" s="59">
        <v>-9958000000</v>
      </c>
      <c r="D151" s="59">
        <v>-5923000000</v>
      </c>
      <c r="E151" s="59">
        <v>-4078000000</v>
      </c>
      <c r="F151" s="59">
        <v>11643000000</v>
      </c>
      <c r="G151" s="59"/>
    </row>
    <row r="152" spans="2:7" outlineLevel="1" x14ac:dyDescent="0.25">
      <c r="B152" s="54" t="s">
        <v>200</v>
      </c>
      <c r="C152" s="59">
        <v>-9958000000</v>
      </c>
      <c r="D152" s="59">
        <v>-11151000000</v>
      </c>
      <c r="E152" s="59">
        <v>-9543000000</v>
      </c>
      <c r="F152" s="59">
        <v>-8750000000</v>
      </c>
      <c r="G152" s="59"/>
    </row>
    <row r="153" spans="2:7" outlineLevel="1" x14ac:dyDescent="0.25">
      <c r="B153" s="54" t="s">
        <v>201</v>
      </c>
      <c r="C153" s="59">
        <v>0</v>
      </c>
      <c r="D153" s="59">
        <v>5228000000</v>
      </c>
      <c r="E153" s="59">
        <v>5465000000</v>
      </c>
      <c r="F153" s="59">
        <v>20393000000</v>
      </c>
      <c r="G153" s="59"/>
    </row>
    <row r="154" spans="2:7" outlineLevel="1" x14ac:dyDescent="0.25">
      <c r="B154" s="54" t="s">
        <v>202</v>
      </c>
      <c r="C154" s="59">
        <v>2935000000</v>
      </c>
      <c r="D154" s="59">
        <v>3705000000</v>
      </c>
      <c r="E154" s="59">
        <v>-22354000000</v>
      </c>
      <c r="F154" s="59">
        <v>-14545000000</v>
      </c>
      <c r="G154" s="59"/>
    </row>
    <row r="155" spans="2:7" outlineLevel="1" x14ac:dyDescent="0.25">
      <c r="B155" s="54" t="s">
        <v>203</v>
      </c>
      <c r="C155" s="59">
        <v>2935000000</v>
      </c>
      <c r="D155" s="59">
        <v>3705000000</v>
      </c>
      <c r="E155" s="59">
        <v>-22354000000</v>
      </c>
      <c r="F155" s="59">
        <v>-14545000000</v>
      </c>
      <c r="G155" s="59"/>
    </row>
    <row r="156" spans="2:7" outlineLevel="1" x14ac:dyDescent="0.25">
      <c r="B156" s="54" t="s">
        <v>204</v>
      </c>
      <c r="C156" s="59">
        <v>-1308000000</v>
      </c>
      <c r="D156" s="59">
        <v>-1337000000</v>
      </c>
      <c r="E156" s="59">
        <v>-2086000000</v>
      </c>
      <c r="F156" s="59">
        <v>-385000000</v>
      </c>
      <c r="G156" s="59"/>
    </row>
    <row r="157" spans="2:7" outlineLevel="1" x14ac:dyDescent="0.25">
      <c r="B157" s="54" t="s">
        <v>205</v>
      </c>
      <c r="C157" s="59">
        <v>13690000000</v>
      </c>
      <c r="D157" s="59">
        <v>16001000000</v>
      </c>
      <c r="E157" s="59">
        <v>-9560000000</v>
      </c>
      <c r="F157" s="59">
        <v>-3075000000</v>
      </c>
      <c r="G157" s="59"/>
    </row>
    <row r="158" spans="2:7" outlineLevel="1" x14ac:dyDescent="0.25">
      <c r="B158" s="54" t="s">
        <v>206</v>
      </c>
      <c r="C158" s="59">
        <v>62346000000</v>
      </c>
      <c r="D158" s="59">
        <v>45514000000</v>
      </c>
      <c r="E158" s="59">
        <v>67363000000</v>
      </c>
      <c r="F158" s="59">
        <v>106483000000</v>
      </c>
      <c r="G158" s="59"/>
    </row>
    <row r="159" spans="2:7" outlineLevel="1" x14ac:dyDescent="0.25">
      <c r="B159" s="54" t="s">
        <v>207</v>
      </c>
      <c r="C159" s="59">
        <v>-48656000000</v>
      </c>
      <c r="D159" s="59">
        <v>-29513000000</v>
      </c>
      <c r="E159" s="59">
        <v>-76923000000</v>
      </c>
      <c r="F159" s="59">
        <v>-109558000000</v>
      </c>
      <c r="G159" s="59"/>
    </row>
    <row r="160" spans="2:7" outlineLevel="1" x14ac:dyDescent="0.25">
      <c r="B160" s="54" t="s">
        <v>208</v>
      </c>
      <c r="C160" s="59"/>
      <c r="D160" s="59"/>
      <c r="E160" s="59">
        <v>-306000000</v>
      </c>
      <c r="F160" s="59">
        <v>-33000000</v>
      </c>
      <c r="G160" s="59">
        <v>-1524000000</v>
      </c>
    </row>
    <row r="161" spans="2:7" outlineLevel="1" x14ac:dyDescent="0.25">
      <c r="B161" s="54" t="s">
        <v>209</v>
      </c>
      <c r="C161" s="59"/>
      <c r="D161" s="59"/>
      <c r="E161" s="59">
        <v>-306000000</v>
      </c>
      <c r="F161" s="59">
        <v>-33000000</v>
      </c>
      <c r="G161" s="59">
        <v>-1524000000</v>
      </c>
    </row>
    <row r="162" spans="2:7" outlineLevel="1" x14ac:dyDescent="0.25">
      <c r="B162" s="54" t="s">
        <v>210</v>
      </c>
      <c r="C162" s="59">
        <v>-9447000000</v>
      </c>
      <c r="D162" s="59">
        <v>-10959000000</v>
      </c>
      <c r="E162" s="59">
        <v>-10708000000</v>
      </c>
      <c r="F162" s="59">
        <v>-11085000000</v>
      </c>
      <c r="G162" s="59"/>
    </row>
    <row r="163" spans="2:7" outlineLevel="1" x14ac:dyDescent="0.25">
      <c r="B163" s="54" t="s">
        <v>211</v>
      </c>
      <c r="C163" s="59">
        <v>-9447000000</v>
      </c>
      <c r="D163" s="59">
        <v>-10959000000</v>
      </c>
      <c r="E163" s="59">
        <v>-10708000000</v>
      </c>
      <c r="F163" s="59">
        <v>-11085000000</v>
      </c>
      <c r="G163" s="59"/>
    </row>
    <row r="164" spans="2:7" outlineLevel="1" x14ac:dyDescent="0.25">
      <c r="B164" s="54" t="s">
        <v>212</v>
      </c>
      <c r="C164" s="59">
        <v>118254000000</v>
      </c>
      <c r="D164" s="59">
        <v>110543000000</v>
      </c>
      <c r="E164" s="59">
        <v>122151000000</v>
      </c>
      <c r="F164" s="59">
        <v>104038000000</v>
      </c>
      <c r="G164" s="59"/>
    </row>
    <row r="165" spans="2:7" outlineLevel="1" x14ac:dyDescent="0.25">
      <c r="B165" s="54" t="s">
        <v>213</v>
      </c>
      <c r="C165" s="59">
        <v>118254000000</v>
      </c>
      <c r="D165" s="59">
        <v>110543000000</v>
      </c>
      <c r="E165" s="59">
        <v>122151000000</v>
      </c>
      <c r="F165" s="59">
        <v>104038000000</v>
      </c>
      <c r="G165" s="59"/>
    </row>
    <row r="166" spans="2:7" outlineLevel="1" x14ac:dyDescent="0.25">
      <c r="B166" s="54" t="s">
        <v>214</v>
      </c>
      <c r="C166" s="59">
        <v>3651000000</v>
      </c>
      <c r="D166" s="59">
        <v>-6577000000</v>
      </c>
      <c r="E166" s="59">
        <v>1200000000</v>
      </c>
      <c r="F166" s="59">
        <v>-4911000000</v>
      </c>
      <c r="G166" s="59"/>
    </row>
    <row r="167" spans="2:7" outlineLevel="1" x14ac:dyDescent="0.25">
      <c r="B167" s="55" t="s">
        <v>215</v>
      </c>
      <c r="C167" s="60"/>
      <c r="D167" s="60"/>
      <c r="E167" s="60">
        <v>478000000</v>
      </c>
      <c r="F167" s="60">
        <v>1676000000</v>
      </c>
      <c r="G167" s="60">
        <v>2081000000</v>
      </c>
    </row>
    <row r="168" spans="2:7" outlineLevel="1" x14ac:dyDescent="0.25">
      <c r="B168" s="54" t="s">
        <v>216</v>
      </c>
      <c r="C168" s="59">
        <v>15552000000</v>
      </c>
      <c r="D168" s="59">
        <v>3031000000</v>
      </c>
      <c r="E168" s="59">
        <v>6110000000</v>
      </c>
      <c r="F168" s="59">
        <v>7475000000</v>
      </c>
      <c r="G168" s="59"/>
    </row>
    <row r="169" spans="2:7" outlineLevel="1" x14ac:dyDescent="0.25">
      <c r="B169" s="54" t="s">
        <v>217</v>
      </c>
      <c r="C169" s="59">
        <v>-11731000000</v>
      </c>
      <c r="D169" s="59">
        <v>-5684000000</v>
      </c>
      <c r="E169" s="59">
        <v>-6499000000</v>
      </c>
      <c r="F169" s="59">
        <v>-8042000000</v>
      </c>
      <c r="G169" s="59"/>
    </row>
    <row r="170" spans="2:7" outlineLevel="1" x14ac:dyDescent="0.25">
      <c r="B170" s="54" t="s">
        <v>218</v>
      </c>
      <c r="C170" s="59">
        <v>6020000000</v>
      </c>
      <c r="D170" s="59">
        <v>-1889000000</v>
      </c>
      <c r="E170" s="59">
        <v>9448000000</v>
      </c>
      <c r="F170" s="59">
        <v>12326000000</v>
      </c>
      <c r="G170" s="59"/>
    </row>
    <row r="171" spans="2:7" outlineLevel="1" x14ac:dyDescent="0.25">
      <c r="B171" s="54" t="s">
        <v>219</v>
      </c>
      <c r="C171" s="59">
        <v>6020000000</v>
      </c>
      <c r="D171" s="59">
        <v>-1889000000</v>
      </c>
      <c r="E171" s="59">
        <v>9448000000</v>
      </c>
      <c r="F171" s="59">
        <v>12326000000</v>
      </c>
      <c r="G171" s="59"/>
    </row>
    <row r="172" spans="2:7" outlineLevel="1" x14ac:dyDescent="0.25">
      <c r="B172" s="54" t="s">
        <v>220</v>
      </c>
      <c r="C172" s="59">
        <v>6020000000</v>
      </c>
      <c r="D172" s="59">
        <v>-1889000000</v>
      </c>
      <c r="E172" s="59">
        <v>9448000000</v>
      </c>
      <c r="F172" s="59">
        <v>12326000000</v>
      </c>
      <c r="G172" s="59"/>
    </row>
    <row r="173" spans="2:7" outlineLevel="1" x14ac:dyDescent="0.25">
      <c r="B173" s="54" t="s">
        <v>221</v>
      </c>
      <c r="C173" s="59">
        <v>-1046000000</v>
      </c>
      <c r="D173" s="59">
        <v>-1618000000</v>
      </c>
      <c r="E173" s="59">
        <v>1484000000</v>
      </c>
      <c r="F173" s="59">
        <v>-2642000000</v>
      </c>
      <c r="G173" s="59"/>
    </row>
    <row r="174" spans="2:7" outlineLevel="1" x14ac:dyDescent="0.25">
      <c r="B174" s="54" t="s">
        <v>222</v>
      </c>
      <c r="C174" s="59">
        <v>-5144000000</v>
      </c>
      <c r="D174" s="59">
        <v>-417000000</v>
      </c>
      <c r="E174" s="59">
        <v>-9343000000</v>
      </c>
      <c r="F174" s="59">
        <v>-14028000000</v>
      </c>
      <c r="G174" s="59"/>
    </row>
    <row r="175" spans="2:7" outlineLevel="1" x14ac:dyDescent="0.25">
      <c r="B175" s="54" t="s">
        <v>223</v>
      </c>
      <c r="C175" s="59">
        <v>-3788000000</v>
      </c>
      <c r="D175" s="59">
        <v>-1688000000</v>
      </c>
      <c r="E175" s="59">
        <v>-1823000000</v>
      </c>
      <c r="F175" s="59">
        <v>-10125000000</v>
      </c>
      <c r="G175" s="59"/>
    </row>
    <row r="176" spans="2:7" outlineLevel="1" x14ac:dyDescent="0.25">
      <c r="B176" s="54" t="s">
        <v>224</v>
      </c>
      <c r="C176" s="59">
        <v>-2266000000</v>
      </c>
      <c r="D176" s="59">
        <v>-2227000000</v>
      </c>
      <c r="E176" s="59">
        <v>1006000000</v>
      </c>
      <c r="F176" s="59">
        <v>-4921000000</v>
      </c>
      <c r="G176" s="59"/>
    </row>
    <row r="177" spans="2:7" outlineLevel="1" x14ac:dyDescent="0.25">
      <c r="B177" s="54" t="s">
        <v>225</v>
      </c>
      <c r="C177" s="59">
        <v>11688000000</v>
      </c>
      <c r="D177" s="59">
        <v>10833000000</v>
      </c>
      <c r="E177" s="59">
        <v>9038000000</v>
      </c>
      <c r="F177" s="59">
        <v>7906000000</v>
      </c>
      <c r="G177" s="59"/>
    </row>
    <row r="178" spans="2:7" outlineLevel="1" x14ac:dyDescent="0.25">
      <c r="B178" s="54" t="s">
        <v>226</v>
      </c>
      <c r="C178" s="59"/>
      <c r="D178" s="59"/>
      <c r="E178" s="59">
        <v>895000000</v>
      </c>
      <c r="F178" s="59">
        <v>-4774000000</v>
      </c>
      <c r="G178" s="59">
        <v>-215000000</v>
      </c>
    </row>
    <row r="179" spans="2:7" outlineLevel="1" x14ac:dyDescent="0.25">
      <c r="B179" s="54" t="s">
        <v>227</v>
      </c>
      <c r="C179" s="59"/>
      <c r="D179" s="59"/>
      <c r="E179" s="59">
        <v>895000000</v>
      </c>
      <c r="F179" s="59">
        <v>-4774000000</v>
      </c>
      <c r="G179" s="59">
        <v>-215000000</v>
      </c>
    </row>
    <row r="180" spans="2:7" outlineLevel="1" x14ac:dyDescent="0.25">
      <c r="B180" s="54" t="s">
        <v>228</v>
      </c>
      <c r="C180" s="59">
        <v>11445000000</v>
      </c>
      <c r="D180" s="59">
        <v>11519000000</v>
      </c>
      <c r="E180" s="59">
        <v>11104000000</v>
      </c>
      <c r="F180" s="59">
        <v>11284000000</v>
      </c>
      <c r="G180" s="59"/>
    </row>
    <row r="181" spans="2:7" outlineLevel="1" x14ac:dyDescent="0.25">
      <c r="B181" s="54" t="s">
        <v>229</v>
      </c>
      <c r="C181" s="59">
        <v>11445000000</v>
      </c>
      <c r="D181" s="59">
        <v>11519000000</v>
      </c>
      <c r="E181" s="59">
        <v>11104000000</v>
      </c>
      <c r="F181" s="59">
        <v>11284000000</v>
      </c>
      <c r="G181" s="59"/>
    </row>
    <row r="182" spans="2:7" outlineLevel="1" x14ac:dyDescent="0.25">
      <c r="B182" s="54" t="s">
        <v>230</v>
      </c>
      <c r="C182" s="59">
        <v>93736000000</v>
      </c>
      <c r="D182" s="59">
        <v>96995000000</v>
      </c>
      <c r="E182" s="59">
        <v>99803000000</v>
      </c>
      <c r="F182" s="59">
        <v>94680000000</v>
      </c>
      <c r="G182" s="59"/>
    </row>
  </sheetData>
  <mergeCells count="1">
    <mergeCell ref="B13:G18"/>
  </mergeCells>
  <phoneticPr fontId="13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B245-467D-41C8-9922-45B2E13FEC21}">
  <dimension ref="A1:O128"/>
  <sheetViews>
    <sheetView showGridLines="0" zoomScale="80" zoomScaleNormal="80" workbookViewId="0">
      <selection activeCell="B21" sqref="B21:H22"/>
    </sheetView>
  </sheetViews>
  <sheetFormatPr defaultRowHeight="15" outlineLevelRow="3" x14ac:dyDescent="0.25"/>
  <cols>
    <col min="1" max="1" width="5.140625" style="9" customWidth="1"/>
    <col min="2" max="2" width="30.5703125" bestFit="1" customWidth="1"/>
    <col min="3" max="6" width="17.140625" bestFit="1" customWidth="1"/>
    <col min="7" max="8" width="15.42578125" bestFit="1" customWidth="1"/>
    <col min="9" max="9" width="17.7109375" bestFit="1" customWidth="1"/>
    <col min="10" max="13" width="15.42578125" bestFit="1" customWidth="1"/>
    <col min="15" max="15" width="9.5703125" bestFit="1" customWidth="1"/>
  </cols>
  <sheetData>
    <row r="1" spans="1:13" x14ac:dyDescent="0.25">
      <c r="B1" s="177" t="s">
        <v>52</v>
      </c>
      <c r="C1" s="177"/>
      <c r="D1" s="177"/>
      <c r="E1" s="179">
        <v>2021</v>
      </c>
      <c r="F1" s="179">
        <f t="shared" ref="F1:M1" si="0">E1+1</f>
        <v>2022</v>
      </c>
      <c r="G1" s="179">
        <f t="shared" si="0"/>
        <v>2023</v>
      </c>
      <c r="H1" s="179">
        <f t="shared" si="0"/>
        <v>2024</v>
      </c>
      <c r="I1" s="161">
        <f t="shared" si="0"/>
        <v>2025</v>
      </c>
      <c r="J1" s="161">
        <f t="shared" si="0"/>
        <v>2026</v>
      </c>
      <c r="K1" s="161">
        <f t="shared" si="0"/>
        <v>2027</v>
      </c>
      <c r="L1" s="161">
        <f t="shared" si="0"/>
        <v>2028</v>
      </c>
      <c r="M1" s="161">
        <f t="shared" si="0"/>
        <v>2029</v>
      </c>
    </row>
    <row r="2" spans="1:13" x14ac:dyDescent="0.25">
      <c r="B2" s="178"/>
      <c r="C2" s="178"/>
      <c r="D2" s="178"/>
      <c r="E2" s="180"/>
      <c r="F2" s="180"/>
      <c r="G2" s="180"/>
      <c r="H2" s="180"/>
      <c r="I2" s="162"/>
      <c r="J2" s="162"/>
      <c r="K2" s="162"/>
      <c r="L2" s="162"/>
      <c r="M2" s="162"/>
    </row>
    <row r="3" spans="1:13" ht="19.5" thickBot="1" x14ac:dyDescent="0.35">
      <c r="B3" s="4" t="s">
        <v>25</v>
      </c>
      <c r="C3" s="176">
        <f>0%</f>
        <v>0</v>
      </c>
      <c r="D3" s="176"/>
      <c r="E3" s="3"/>
      <c r="F3" s="3"/>
      <c r="G3" s="3"/>
      <c r="H3" s="3"/>
      <c r="I3" s="3"/>
      <c r="J3" s="3"/>
      <c r="K3" s="3"/>
      <c r="L3" s="3"/>
      <c r="M3" s="3"/>
    </row>
    <row r="4" spans="1:13" ht="15.75" outlineLevel="1" thickBot="1" x14ac:dyDescent="0.3">
      <c r="I4" s="9"/>
      <c r="J4" s="9"/>
      <c r="K4" s="9"/>
      <c r="L4" s="9"/>
      <c r="M4" s="9"/>
    </row>
    <row r="5" spans="1:13" ht="15.75" outlineLevel="2" x14ac:dyDescent="0.25">
      <c r="B5" s="105" t="s">
        <v>0</v>
      </c>
      <c r="C5" s="15"/>
      <c r="D5" s="15"/>
      <c r="E5" s="16">
        <f>365817000000</f>
        <v>365817000000</v>
      </c>
      <c r="F5" s="16">
        <f>394328000000</f>
        <v>394328000000</v>
      </c>
      <c r="G5" s="16">
        <f>383285000000</f>
        <v>383285000000</v>
      </c>
      <c r="H5" s="16">
        <f>391035000000</f>
        <v>391035000000</v>
      </c>
      <c r="I5" s="17">
        <f>I19*E23</f>
        <v>376642449366.12604</v>
      </c>
      <c r="J5" s="17">
        <f>J19*F23</f>
        <v>428884371914.68683</v>
      </c>
      <c r="K5" s="17">
        <f>K19*G23</f>
        <v>418790329237.17957</v>
      </c>
      <c r="L5" s="17">
        <f>L19*H23</f>
        <v>516241637747.16779</v>
      </c>
      <c r="M5" s="17"/>
    </row>
    <row r="6" spans="1:13" s="2" customFormat="1" ht="18.75" outlineLevel="2" x14ac:dyDescent="0.3">
      <c r="A6" s="107"/>
      <c r="B6" s="11" t="s">
        <v>1</v>
      </c>
      <c r="C6" s="9"/>
      <c r="D6" s="9"/>
      <c r="E6" s="18">
        <v>212981000000</v>
      </c>
      <c r="F6" s="18">
        <f>223546000000</f>
        <v>223546000000</v>
      </c>
      <c r="G6" s="18">
        <f>214137000000</f>
        <v>214137000000</v>
      </c>
      <c r="H6" s="18">
        <f>210352000000</f>
        <v>210352000000</v>
      </c>
      <c r="I6" s="18"/>
      <c r="J6" s="18"/>
      <c r="K6" s="18"/>
      <c r="L6" s="18"/>
      <c r="M6" s="18"/>
    </row>
    <row r="7" spans="1:13" ht="18.75" outlineLevel="2" x14ac:dyDescent="0.3">
      <c r="B7" s="49" t="s">
        <v>2</v>
      </c>
      <c r="C7" s="5"/>
      <c r="D7" s="5"/>
      <c r="E7" s="6">
        <f>E5-E6</f>
        <v>152836000000</v>
      </c>
      <c r="F7" s="6">
        <f>F5-F6</f>
        <v>170782000000</v>
      </c>
      <c r="G7" s="6">
        <f>G5-G6</f>
        <v>169148000000</v>
      </c>
      <c r="H7" s="6">
        <f>H5-H6</f>
        <v>180683000000</v>
      </c>
      <c r="I7" s="14">
        <f>E24*I19</f>
        <v>157358803421.71423</v>
      </c>
      <c r="J7" s="14">
        <f>F24*J19</f>
        <v>185748237011.66046</v>
      </c>
      <c r="K7" s="14">
        <f>G24*K19</f>
        <v>184816902852.47388</v>
      </c>
      <c r="L7" s="14">
        <f>H24*L19</f>
        <v>238536417029.34906</v>
      </c>
      <c r="M7" s="14"/>
    </row>
    <row r="8" spans="1:13" ht="15.75" outlineLevel="2" x14ac:dyDescent="0.25">
      <c r="B8" s="11" t="s">
        <v>3</v>
      </c>
      <c r="C8" s="9"/>
      <c r="D8" s="9"/>
      <c r="E8" s="18">
        <v>43887000000</v>
      </c>
      <c r="F8" s="18">
        <v>51345000000</v>
      </c>
      <c r="G8" s="18">
        <v>54847000000</v>
      </c>
      <c r="H8" s="18">
        <v>57467000000</v>
      </c>
      <c r="I8" s="18"/>
      <c r="J8" s="18"/>
      <c r="K8" s="18"/>
      <c r="L8" s="18"/>
      <c r="M8" s="18"/>
    </row>
    <row r="9" spans="1:13" ht="15.75" outlineLevel="2" x14ac:dyDescent="0.25">
      <c r="B9" s="49" t="s">
        <v>4</v>
      </c>
      <c r="C9" s="7"/>
      <c r="D9" s="7"/>
      <c r="E9" s="6">
        <f>E7-E8</f>
        <v>108949000000</v>
      </c>
      <c r="F9" s="6">
        <f>F7-F8</f>
        <v>119437000000</v>
      </c>
      <c r="G9" s="6">
        <f>G7-G8</f>
        <v>114301000000</v>
      </c>
      <c r="H9" s="6">
        <f>H7-H8</f>
        <v>123216000000</v>
      </c>
      <c r="I9" s="14">
        <f>I19*E25</f>
        <v>112173076199.27469</v>
      </c>
      <c r="J9" s="14">
        <f>J19*F25</f>
        <v>129903691161.60773</v>
      </c>
      <c r="K9" s="14">
        <f>K19*G25</f>
        <v>124889190607.87369</v>
      </c>
      <c r="L9" s="14">
        <f>L19*H25</f>
        <v>162668890602.26074</v>
      </c>
      <c r="M9" s="14"/>
    </row>
    <row r="10" spans="1:13" ht="15.75" outlineLevel="2" x14ac:dyDescent="0.25">
      <c r="B10" s="11" t="s">
        <v>5</v>
      </c>
      <c r="C10" s="9"/>
      <c r="D10" s="9"/>
      <c r="E10" s="18">
        <v>11284000000</v>
      </c>
      <c r="F10" s="18">
        <v>11104000000</v>
      </c>
      <c r="G10" s="18">
        <v>11519000000</v>
      </c>
      <c r="H10" s="18">
        <v>11445000000</v>
      </c>
      <c r="I10" s="18"/>
      <c r="J10" s="18"/>
      <c r="K10" s="18"/>
      <c r="L10" s="18"/>
      <c r="M10" s="18"/>
    </row>
    <row r="11" spans="1:13" ht="15.75" outlineLevel="2" x14ac:dyDescent="0.25">
      <c r="B11" s="11" t="s">
        <v>6</v>
      </c>
      <c r="C11" s="9"/>
      <c r="D11" s="9"/>
      <c r="E11" s="18">
        <v>2873000000</v>
      </c>
      <c r="F11" s="18">
        <v>2645000000</v>
      </c>
      <c r="G11" s="18">
        <v>2931000000</v>
      </c>
      <c r="H11" s="18">
        <v>3933000000</v>
      </c>
      <c r="I11" s="18"/>
      <c r="J11" s="18"/>
      <c r="K11" s="18"/>
      <c r="L11" s="18"/>
      <c r="M11" s="18"/>
    </row>
    <row r="12" spans="1:13" ht="15.75" outlineLevel="2" x14ac:dyDescent="0.25">
      <c r="B12" s="49" t="s">
        <v>7</v>
      </c>
      <c r="C12" s="7"/>
      <c r="D12" s="7"/>
      <c r="E12" s="6">
        <f>E9-E10-E11</f>
        <v>94792000000</v>
      </c>
      <c r="F12" s="6">
        <f>F9-F10-F11</f>
        <v>105688000000</v>
      </c>
      <c r="G12" s="6">
        <f>G9-G10-G11</f>
        <v>99851000000</v>
      </c>
      <c r="H12" s="6">
        <f>H9-H10-H11</f>
        <v>107838000000</v>
      </c>
      <c r="I12" s="14">
        <f>I19*E26</f>
        <v>97597134797.764511</v>
      </c>
      <c r="J12" s="14">
        <f>J19*F26</f>
        <v>114949817154.55008</v>
      </c>
      <c r="K12" s="14">
        <f>K19*G26</f>
        <v>109100625291.00179</v>
      </c>
      <c r="L12" s="14">
        <f>L19*H26</f>
        <v>142366963907.01364</v>
      </c>
      <c r="M12" s="14"/>
    </row>
    <row r="13" spans="1:13" ht="15.75" outlineLevel="2" x14ac:dyDescent="0.25">
      <c r="B13" s="11" t="s">
        <v>13</v>
      </c>
      <c r="C13" s="9"/>
      <c r="D13" s="11"/>
      <c r="E13" s="19">
        <v>0.13300000000000001</v>
      </c>
      <c r="F13" s="19">
        <v>0.16200000000000001</v>
      </c>
      <c r="G13" s="19">
        <v>0.14719199999999999</v>
      </c>
      <c r="H13" s="19">
        <v>0.24091199999999999</v>
      </c>
      <c r="I13" s="18"/>
      <c r="J13" s="18"/>
      <c r="K13" s="18"/>
      <c r="L13" s="18"/>
      <c r="M13" s="18"/>
    </row>
    <row r="14" spans="1:13" ht="15.75" outlineLevel="2" x14ac:dyDescent="0.25">
      <c r="B14" s="11" t="s">
        <v>8</v>
      </c>
      <c r="C14" s="9"/>
      <c r="D14" s="11"/>
      <c r="E14" s="18">
        <f>E12*E13</f>
        <v>12607336000</v>
      </c>
      <c r="F14" s="18">
        <f>F12*F13</f>
        <v>17121456000</v>
      </c>
      <c r="G14" s="18">
        <f>G12*G13</f>
        <v>14697268391.999998</v>
      </c>
      <c r="H14" s="18">
        <f>H12*H13</f>
        <v>25979468256</v>
      </c>
      <c r="I14" s="18"/>
      <c r="J14" s="18"/>
      <c r="K14" s="18"/>
      <c r="L14" s="18"/>
      <c r="M14" s="18"/>
    </row>
    <row r="15" spans="1:13" ht="15.75" outlineLevel="2" x14ac:dyDescent="0.25">
      <c r="B15" s="49" t="s">
        <v>9</v>
      </c>
      <c r="C15" s="7"/>
      <c r="D15" s="7"/>
      <c r="E15" s="6">
        <f>E12-E14</f>
        <v>82184664000</v>
      </c>
      <c r="F15" s="6">
        <f>F12-F14</f>
        <v>88566544000</v>
      </c>
      <c r="G15" s="6">
        <f>G12-G14</f>
        <v>85153731608</v>
      </c>
      <c r="H15" s="6">
        <f>H12-H14</f>
        <v>81858531744</v>
      </c>
      <c r="I15" s="14">
        <f>I19*E27</f>
        <v>84616715869.661835</v>
      </c>
      <c r="J15" s="14">
        <f>J19*F27</f>
        <v>96327946775.512955</v>
      </c>
      <c r="K15" s="14">
        <f>K19*G27</f>
        <v>93041886053.168655</v>
      </c>
      <c r="L15" s="14">
        <f>L19*H27</f>
        <v>108069053898.24716</v>
      </c>
      <c r="M15" s="14"/>
    </row>
    <row r="16" spans="1:13" ht="15.75" outlineLevel="2" x14ac:dyDescent="0.25">
      <c r="B16" s="11" t="s">
        <v>5</v>
      </c>
      <c r="C16" s="9"/>
      <c r="D16" s="9"/>
      <c r="E16" s="18">
        <v>11284000000</v>
      </c>
      <c r="F16" s="18">
        <v>11104000000</v>
      </c>
      <c r="G16" s="18">
        <v>11519000000</v>
      </c>
      <c r="H16" s="18">
        <v>11445000000</v>
      </c>
      <c r="I16" s="18"/>
      <c r="J16" s="18"/>
      <c r="K16" s="18"/>
      <c r="L16" s="18"/>
      <c r="M16" s="18"/>
    </row>
    <row r="17" spans="2:15" ht="15.75" outlineLevel="2" x14ac:dyDescent="0.25">
      <c r="B17" s="11" t="s">
        <v>14</v>
      </c>
      <c r="C17" s="9"/>
      <c r="D17" s="9"/>
      <c r="E17" s="18">
        <v>-4911000000</v>
      </c>
      <c r="F17" s="18">
        <v>1200000000</v>
      </c>
      <c r="G17" s="18">
        <v>-6577000000</v>
      </c>
      <c r="H17" s="18">
        <v>3651000000</v>
      </c>
      <c r="I17" s="18"/>
      <c r="J17" s="18"/>
      <c r="K17" s="18"/>
      <c r="L17" s="18"/>
      <c r="M17" s="18"/>
      <c r="O17" s="181">
        <f>1000000</f>
        <v>1000000</v>
      </c>
    </row>
    <row r="18" spans="2:15" ht="15.75" outlineLevel="2" x14ac:dyDescent="0.25">
      <c r="B18" s="11" t="s">
        <v>15</v>
      </c>
      <c r="C18" s="9"/>
      <c r="D18" s="9"/>
      <c r="E18" s="18">
        <v>-11085000000</v>
      </c>
      <c r="F18" s="18">
        <v>-10708000000</v>
      </c>
      <c r="G18" s="18">
        <v>-10959000000</v>
      </c>
      <c r="H18" s="18">
        <v>-9447000000</v>
      </c>
      <c r="I18" s="18"/>
      <c r="J18" s="18"/>
      <c r="K18" s="18"/>
      <c r="L18" s="18"/>
      <c r="M18" s="18"/>
    </row>
    <row r="19" spans="2:15" ht="16.5" outlineLevel="2" thickBot="1" x14ac:dyDescent="0.3">
      <c r="B19" s="106" t="s">
        <v>16</v>
      </c>
      <c r="C19" s="20"/>
      <c r="D19" s="20"/>
      <c r="E19" s="21">
        <f>E15+E16-E17-E18</f>
        <v>109464664000</v>
      </c>
      <c r="F19" s="21">
        <f>F15+F16-F17-F18</f>
        <v>109178544000</v>
      </c>
      <c r="G19" s="21">
        <f>G15+G16-G17-G18</f>
        <v>114208731608</v>
      </c>
      <c r="H19" s="21">
        <f>H15+H16-H17-H18</f>
        <v>99099531744</v>
      </c>
      <c r="I19" s="22">
        <f>112704*O17</f>
        <v>112704000000</v>
      </c>
      <c r="J19" s="22">
        <f>118746.25*O17</f>
        <v>118746250000</v>
      </c>
      <c r="K19" s="22">
        <f>124788.375*O17</f>
        <v>124788375000</v>
      </c>
      <c r="L19" s="22">
        <f>130830.5*O17</f>
        <v>130830500000</v>
      </c>
      <c r="M19" s="38">
        <f>136872.625*O17</f>
        <v>136872625000</v>
      </c>
    </row>
    <row r="20" spans="2:15" ht="16.5" outlineLevel="1" thickBot="1" x14ac:dyDescent="0.3">
      <c r="B20" s="8"/>
      <c r="C20" s="9"/>
      <c r="D20" s="9"/>
      <c r="E20" s="10"/>
      <c r="F20" s="10"/>
      <c r="G20" s="10"/>
      <c r="H20" s="10"/>
    </row>
    <row r="21" spans="2:15" ht="15.75" customHeight="1" outlineLevel="1" x14ac:dyDescent="0.25">
      <c r="B21" s="170" t="s">
        <v>24</v>
      </c>
      <c r="C21" s="171"/>
      <c r="D21" s="171"/>
      <c r="E21" s="171"/>
      <c r="F21" s="171"/>
      <c r="G21" s="171"/>
      <c r="H21" s="172"/>
      <c r="I21" s="9"/>
    </row>
    <row r="22" spans="2:15" ht="15" customHeight="1" outlineLevel="2" x14ac:dyDescent="0.25">
      <c r="B22" s="173"/>
      <c r="C22" s="174"/>
      <c r="D22" s="174"/>
      <c r="E22" s="174"/>
      <c r="F22" s="174"/>
      <c r="G22" s="174"/>
      <c r="H22" s="175"/>
      <c r="I22" s="9"/>
    </row>
    <row r="23" spans="2:15" outlineLevel="3" x14ac:dyDescent="0.25">
      <c r="B23" s="27" t="s">
        <v>17</v>
      </c>
      <c r="C23" s="9"/>
      <c r="D23" s="9"/>
      <c r="E23" s="13">
        <f>E5/E19</f>
        <v>3.3418729536318681</v>
      </c>
      <c r="F23" s="13">
        <f>F5/F19</f>
        <v>3.6117719247107747</v>
      </c>
      <c r="G23" s="13">
        <f>G5/G19</f>
        <v>3.356004349260735</v>
      </c>
      <c r="H23" s="23">
        <f>H5/H19</f>
        <v>3.9458814095120616</v>
      </c>
      <c r="I23" s="9"/>
    </row>
    <row r="24" spans="2:15" outlineLevel="3" x14ac:dyDescent="0.25">
      <c r="B24" s="27" t="s">
        <v>18</v>
      </c>
      <c r="C24" s="9"/>
      <c r="D24" s="9"/>
      <c r="E24" s="13">
        <f>E7/E19</f>
        <v>1.3962131195140743</v>
      </c>
      <c r="F24" s="13">
        <f>F7/F19</f>
        <v>1.5642450773111611</v>
      </c>
      <c r="G24" s="13">
        <f>G7/G19</f>
        <v>1.4810426279889763</v>
      </c>
      <c r="H24" s="23">
        <f>H7/H19</f>
        <v>1.8232477673734264</v>
      </c>
      <c r="I24" s="9"/>
    </row>
    <row r="25" spans="2:15" outlineLevel="3" x14ac:dyDescent="0.25">
      <c r="B25" s="27" t="s">
        <v>19</v>
      </c>
      <c r="C25" s="9"/>
      <c r="D25" s="9"/>
      <c r="E25" s="13">
        <f>E9/E19</f>
        <v>0.99528921954211635</v>
      </c>
      <c r="F25" s="13">
        <f>F9/F19</f>
        <v>1.0939603664251101</v>
      </c>
      <c r="G25" s="13">
        <f>G9/G19</f>
        <v>1.000807892625204</v>
      </c>
      <c r="H25" s="23">
        <f>H9/H19</f>
        <v>1.2433560263261298</v>
      </c>
      <c r="I25" s="9"/>
    </row>
    <row r="26" spans="2:15" outlineLevel="3" x14ac:dyDescent="0.25">
      <c r="B26" s="27" t="s">
        <v>20</v>
      </c>
      <c r="C26" s="9"/>
      <c r="D26" s="9"/>
      <c r="E26" s="13">
        <f>E12/E19</f>
        <v>0.86595981329646254</v>
      </c>
      <c r="F26" s="13">
        <f>F12/F19</f>
        <v>0.96802902958661918</v>
      </c>
      <c r="G26" s="13">
        <f>G12/G19</f>
        <v>0.87428516711594162</v>
      </c>
      <c r="H26" s="23">
        <f>H12/H19</f>
        <v>1.0881787037962374</v>
      </c>
      <c r="I26" s="9"/>
    </row>
    <row r="27" spans="2:15" ht="15.75" outlineLevel="3" thickBot="1" x14ac:dyDescent="0.3">
      <c r="B27" s="28" t="s">
        <v>21</v>
      </c>
      <c r="C27" s="24"/>
      <c r="D27" s="24"/>
      <c r="E27" s="25">
        <f>E15/E19</f>
        <v>0.75078715812803298</v>
      </c>
      <c r="F27" s="25">
        <f>F15/F19</f>
        <v>0.81120832679358679</v>
      </c>
      <c r="G27" s="25">
        <f>G15/G19</f>
        <v>0.7455973847978119</v>
      </c>
      <c r="H27" s="26">
        <f>H15/H19</f>
        <v>0.82602339590727825</v>
      </c>
      <c r="I27" s="9"/>
    </row>
    <row r="28" spans="2:15" outlineLevel="3" x14ac:dyDescent="0.25">
      <c r="B28" s="104"/>
      <c r="C28" s="9"/>
      <c r="D28" s="9"/>
      <c r="E28" s="13"/>
      <c r="F28" s="13"/>
      <c r="G28" s="13"/>
      <c r="H28" s="13"/>
      <c r="I28" s="9"/>
    </row>
    <row r="29" spans="2:15" ht="18.75" x14ac:dyDescent="0.3">
      <c r="B29" s="4" t="s">
        <v>22</v>
      </c>
      <c r="C29" s="169">
        <v>0.15</v>
      </c>
      <c r="D29" s="169"/>
      <c r="E29" s="3"/>
      <c r="F29" s="3"/>
      <c r="G29" s="3"/>
      <c r="H29" s="3"/>
      <c r="I29" s="3"/>
      <c r="J29" s="3"/>
      <c r="K29" s="3"/>
      <c r="L29" s="3"/>
      <c r="M29" s="3"/>
    </row>
    <row r="30" spans="2:15" ht="19.5" outlineLevel="2" thickBot="1" x14ac:dyDescent="0.35">
      <c r="I30" s="9"/>
      <c r="J30" s="9"/>
      <c r="K30" s="9"/>
      <c r="L30" s="9"/>
      <c r="M30" s="3"/>
    </row>
    <row r="31" spans="2:15" ht="18.75" outlineLevel="2" x14ac:dyDescent="0.3">
      <c r="B31" s="105" t="s">
        <v>0</v>
      </c>
      <c r="C31" s="15"/>
      <c r="D31" s="15"/>
      <c r="E31" s="16">
        <f>365817000000</f>
        <v>365817000000</v>
      </c>
      <c r="F31" s="16">
        <f>394328000000</f>
        <v>394328000000</v>
      </c>
      <c r="G31" s="16">
        <f>383285000000</f>
        <v>383285000000</v>
      </c>
      <c r="H31" s="16">
        <f>391035000000</f>
        <v>391035000000</v>
      </c>
      <c r="I31" s="17">
        <f>I45*E49</f>
        <v>433138816771.04492</v>
      </c>
      <c r="J31" s="17">
        <f>J45*F49</f>
        <v>493217027701.88977</v>
      </c>
      <c r="K31" s="17">
        <f>K45*G49</f>
        <v>481608878622.75653</v>
      </c>
      <c r="L31" s="17">
        <f>L45*H49</f>
        <v>593677883409.24292</v>
      </c>
      <c r="M31" s="3"/>
    </row>
    <row r="32" spans="2:15" ht="18.75" outlineLevel="2" x14ac:dyDescent="0.3">
      <c r="B32" s="11" t="s">
        <v>1</v>
      </c>
      <c r="C32" s="9"/>
      <c r="D32" s="9"/>
      <c r="E32" s="18">
        <v>212981000000</v>
      </c>
      <c r="F32" s="18">
        <f>223546000000</f>
        <v>223546000000</v>
      </c>
      <c r="G32" s="18">
        <f>214137000000</f>
        <v>214137000000</v>
      </c>
      <c r="H32" s="18">
        <f>210352000000</f>
        <v>210352000000</v>
      </c>
      <c r="I32" s="18"/>
      <c r="J32" s="18"/>
      <c r="K32" s="18"/>
      <c r="L32" s="18"/>
      <c r="M32" s="3"/>
    </row>
    <row r="33" spans="2:13" ht="18.75" outlineLevel="2" x14ac:dyDescent="0.3">
      <c r="B33" s="49" t="s">
        <v>2</v>
      </c>
      <c r="C33" s="5"/>
      <c r="D33" s="5"/>
      <c r="E33" s="6">
        <f>E31-E32</f>
        <v>152836000000</v>
      </c>
      <c r="F33" s="6">
        <f>F31-F32</f>
        <v>170782000000</v>
      </c>
      <c r="G33" s="6">
        <f>G31-G32</f>
        <v>169148000000</v>
      </c>
      <c r="H33" s="6">
        <f>H31-H32</f>
        <v>180683000000</v>
      </c>
      <c r="I33" s="14">
        <f>I45*E50</f>
        <v>180962623934.97134</v>
      </c>
      <c r="J33" s="14">
        <f>J45*F50</f>
        <v>213610472563.40952</v>
      </c>
      <c r="K33" s="14">
        <f>K45*G50</f>
        <v>212539438280.34497</v>
      </c>
      <c r="L33" s="14">
        <f>L45*H50</f>
        <v>274316879583.75143</v>
      </c>
      <c r="M33" s="3"/>
    </row>
    <row r="34" spans="2:13" ht="18.75" outlineLevel="2" x14ac:dyDescent="0.3">
      <c r="B34" s="11" t="s">
        <v>3</v>
      </c>
      <c r="C34" s="9"/>
      <c r="D34" s="9"/>
      <c r="E34" s="18">
        <v>43887000000</v>
      </c>
      <c r="F34" s="18">
        <v>51345000000</v>
      </c>
      <c r="G34" s="18">
        <v>54847000000</v>
      </c>
      <c r="H34" s="18">
        <v>57467000000</v>
      </c>
      <c r="I34" s="18"/>
      <c r="J34" s="18"/>
      <c r="K34" s="18"/>
      <c r="L34" s="18"/>
      <c r="M34" s="3"/>
    </row>
    <row r="35" spans="2:13" ht="18.75" outlineLevel="2" x14ac:dyDescent="0.3">
      <c r="B35" s="49" t="s">
        <v>4</v>
      </c>
      <c r="C35" s="7"/>
      <c r="D35" s="7"/>
      <c r="E35" s="6">
        <f>E33-E34</f>
        <v>108949000000</v>
      </c>
      <c r="F35" s="6">
        <f>F33-F34</f>
        <v>119437000000</v>
      </c>
      <c r="G35" s="6">
        <f>G33-G34</f>
        <v>114301000000</v>
      </c>
      <c r="H35" s="6">
        <f>H33-H34</f>
        <v>123216000000</v>
      </c>
      <c r="I35" s="14">
        <f>E51*I45</f>
        <v>128999037629.16586</v>
      </c>
      <c r="J35" s="14">
        <f>F51*J45</f>
        <v>149389244835.84888</v>
      </c>
      <c r="K35" s="14">
        <f>G51*K45</f>
        <v>143622569199.05475</v>
      </c>
      <c r="L35" s="14">
        <f>H51*L45</f>
        <v>187069224192.59985</v>
      </c>
      <c r="M35" s="3"/>
    </row>
    <row r="36" spans="2:13" ht="18.75" outlineLevel="2" x14ac:dyDescent="0.3">
      <c r="B36" s="11" t="s">
        <v>5</v>
      </c>
      <c r="C36" s="9"/>
      <c r="D36" s="9"/>
      <c r="E36" s="18">
        <v>11284000000</v>
      </c>
      <c r="F36" s="18">
        <v>11104000000</v>
      </c>
      <c r="G36" s="18">
        <v>11519000000</v>
      </c>
      <c r="H36" s="18">
        <v>11445000000</v>
      </c>
      <c r="I36" s="18"/>
      <c r="J36" s="18"/>
      <c r="K36" s="18"/>
      <c r="L36" s="18"/>
      <c r="M36" s="3"/>
    </row>
    <row r="37" spans="2:13" ht="18.75" outlineLevel="2" x14ac:dyDescent="0.3">
      <c r="B37" s="11" t="s">
        <v>6</v>
      </c>
      <c r="C37" s="9"/>
      <c r="D37" s="9"/>
      <c r="E37" s="18">
        <v>2873000000</v>
      </c>
      <c r="F37" s="18">
        <v>2645000000</v>
      </c>
      <c r="G37" s="18">
        <v>2931000000</v>
      </c>
      <c r="H37" s="18">
        <v>3933000000</v>
      </c>
      <c r="I37" s="18"/>
      <c r="J37" s="18"/>
      <c r="K37" s="18"/>
      <c r="L37" s="18"/>
      <c r="M37" s="3"/>
    </row>
    <row r="38" spans="2:13" ht="18.75" outlineLevel="2" x14ac:dyDescent="0.3">
      <c r="B38" s="49" t="s">
        <v>7</v>
      </c>
      <c r="C38" s="7"/>
      <c r="D38" s="7"/>
      <c r="E38" s="6">
        <f>E35-E36-E37</f>
        <v>94792000000</v>
      </c>
      <c r="F38" s="6">
        <f>F35-F36-F37</f>
        <v>105688000000</v>
      </c>
      <c r="G38" s="6">
        <f>G35-G36-G37</f>
        <v>99851000000</v>
      </c>
      <c r="H38" s="6">
        <f>H35-H36-H37</f>
        <v>107838000000</v>
      </c>
      <c r="I38" s="14">
        <f>E52*I45</f>
        <v>112236705017.42918</v>
      </c>
      <c r="J38" s="14">
        <f>F52*J45</f>
        <v>132192289727.73257</v>
      </c>
      <c r="K38" s="14">
        <f>G52*K45</f>
        <v>125465719084.65205</v>
      </c>
      <c r="L38" s="14">
        <f>H52*L45</f>
        <v>163722008493.06567</v>
      </c>
      <c r="M38" s="3"/>
    </row>
    <row r="39" spans="2:13" ht="18.75" outlineLevel="2" x14ac:dyDescent="0.3">
      <c r="B39" s="11" t="s">
        <v>13</v>
      </c>
      <c r="C39" s="9"/>
      <c r="D39" s="11"/>
      <c r="E39" s="19">
        <v>0.13300000000000001</v>
      </c>
      <c r="F39" s="19">
        <v>0.16200000000000001</v>
      </c>
      <c r="G39" s="19">
        <v>0.14719199999999999</v>
      </c>
      <c r="H39" s="19">
        <v>0.24091199999999999</v>
      </c>
      <c r="I39" s="18"/>
      <c r="J39" s="18"/>
      <c r="K39" s="18"/>
      <c r="L39" s="18"/>
      <c r="M39" s="3"/>
    </row>
    <row r="40" spans="2:13" ht="18.75" outlineLevel="2" x14ac:dyDescent="0.3">
      <c r="B40" s="11" t="s">
        <v>8</v>
      </c>
      <c r="C40" s="9"/>
      <c r="D40" s="11"/>
      <c r="E40" s="18">
        <f>E38*E39</f>
        <v>12607336000</v>
      </c>
      <c r="F40" s="18">
        <f>F38*F39</f>
        <v>17121456000</v>
      </c>
      <c r="G40" s="18">
        <f>G38*G39</f>
        <v>14697268391.999998</v>
      </c>
      <c r="H40" s="18">
        <f>H38*H39</f>
        <v>25979468256</v>
      </c>
      <c r="I40" s="18"/>
      <c r="J40" s="18"/>
      <c r="K40" s="18"/>
      <c r="L40" s="18"/>
      <c r="M40" s="3"/>
    </row>
    <row r="41" spans="2:13" ht="18.75" outlineLevel="2" x14ac:dyDescent="0.3">
      <c r="B41" s="49" t="s">
        <v>9</v>
      </c>
      <c r="C41" s="7"/>
      <c r="D41" s="7"/>
      <c r="E41" s="6">
        <f>E38-E40</f>
        <v>82184664000</v>
      </c>
      <c r="F41" s="6">
        <f>F38-F40</f>
        <v>88566544000</v>
      </c>
      <c r="G41" s="6">
        <f>G38-G40</f>
        <v>85153731608</v>
      </c>
      <c r="H41" s="6">
        <f>H38-H40</f>
        <v>81858531744</v>
      </c>
      <c r="I41" s="14">
        <f>E53*I45</f>
        <v>97309223250.111099</v>
      </c>
      <c r="J41" s="14">
        <f>F53*J45</f>
        <v>110777138791.83989</v>
      </c>
      <c r="K41" s="14">
        <f>G53*K45</f>
        <v>106998168961.14395</v>
      </c>
      <c r="L41" s="14">
        <f>H53*L45</f>
        <v>124279411982.98424</v>
      </c>
      <c r="M41" s="3"/>
    </row>
    <row r="42" spans="2:13" ht="18.75" outlineLevel="2" x14ac:dyDescent="0.3">
      <c r="B42" s="11" t="s">
        <v>5</v>
      </c>
      <c r="C42" s="9"/>
      <c r="D42" s="9"/>
      <c r="E42" s="18">
        <v>11284000000</v>
      </c>
      <c r="F42" s="18">
        <v>11104000000</v>
      </c>
      <c r="G42" s="18">
        <v>11519000000</v>
      </c>
      <c r="H42" s="18">
        <v>11445000000</v>
      </c>
      <c r="I42" s="18"/>
      <c r="J42" s="18"/>
      <c r="K42" s="18"/>
      <c r="L42" s="18"/>
      <c r="M42" s="3"/>
    </row>
    <row r="43" spans="2:13" ht="18.75" outlineLevel="2" x14ac:dyDescent="0.3">
      <c r="B43" s="11" t="s">
        <v>14</v>
      </c>
      <c r="C43" s="9"/>
      <c r="D43" s="9"/>
      <c r="E43" s="18">
        <v>-4911000000</v>
      </c>
      <c r="F43" s="18">
        <v>1200000000</v>
      </c>
      <c r="G43" s="18">
        <v>-6577000000</v>
      </c>
      <c r="H43" s="18">
        <v>3651000000</v>
      </c>
      <c r="I43" s="18"/>
      <c r="J43" s="18"/>
      <c r="K43" s="18"/>
      <c r="L43" s="18"/>
      <c r="M43" s="3"/>
    </row>
    <row r="44" spans="2:13" ht="18.75" outlineLevel="2" x14ac:dyDescent="0.3">
      <c r="B44" s="11" t="s">
        <v>15</v>
      </c>
      <c r="C44" s="9"/>
      <c r="D44" s="9"/>
      <c r="E44" s="18">
        <v>-11085000000</v>
      </c>
      <c r="F44" s="18">
        <v>-10708000000</v>
      </c>
      <c r="G44" s="18">
        <v>-10959000000</v>
      </c>
      <c r="H44" s="18">
        <v>-9447000000</v>
      </c>
      <c r="I44" s="18"/>
      <c r="J44" s="18"/>
      <c r="K44" s="18"/>
      <c r="L44" s="18"/>
      <c r="M44" s="3"/>
    </row>
    <row r="45" spans="2:13" ht="19.5" outlineLevel="2" thickBot="1" x14ac:dyDescent="0.35">
      <c r="B45" s="106" t="s">
        <v>16</v>
      </c>
      <c r="C45" s="20"/>
      <c r="D45" s="20"/>
      <c r="E45" s="21">
        <f>E41+E42-E43-E44</f>
        <v>109464664000</v>
      </c>
      <c r="F45" s="21">
        <f>F41+F42-F43-F44</f>
        <v>109178544000</v>
      </c>
      <c r="G45" s="21">
        <f>G41+G42-G43-G44</f>
        <v>114208731608</v>
      </c>
      <c r="H45" s="21">
        <f>H41+H42-H43-H44</f>
        <v>99099531744</v>
      </c>
      <c r="I45" s="22">
        <f>I19*(1+$C$29)</f>
        <v>129609599999.99998</v>
      </c>
      <c r="J45" s="22">
        <f>J19*(1+$C$29)</f>
        <v>136558187499.99998</v>
      </c>
      <c r="K45" s="22">
        <f>K19*(1+$C$29)</f>
        <v>143506631250</v>
      </c>
      <c r="L45" s="22">
        <f>L19*(1+$C$29)</f>
        <v>150455075000</v>
      </c>
      <c r="M45" s="3"/>
    </row>
    <row r="46" spans="2:13" ht="19.5" outlineLevel="1" thickBot="1" x14ac:dyDescent="0.35">
      <c r="M46" s="3"/>
    </row>
    <row r="47" spans="2:13" ht="15" customHeight="1" outlineLevel="1" x14ac:dyDescent="0.3">
      <c r="B47" s="170" t="s">
        <v>24</v>
      </c>
      <c r="C47" s="171"/>
      <c r="D47" s="171"/>
      <c r="E47" s="171"/>
      <c r="F47" s="171"/>
      <c r="G47" s="171"/>
      <c r="H47" s="172"/>
      <c r="M47" s="3"/>
    </row>
    <row r="48" spans="2:13" ht="15" customHeight="1" outlineLevel="1" x14ac:dyDescent="0.3">
      <c r="B48" s="173"/>
      <c r="C48" s="174"/>
      <c r="D48" s="174"/>
      <c r="E48" s="174"/>
      <c r="F48" s="174"/>
      <c r="G48" s="174"/>
      <c r="H48" s="175"/>
      <c r="M48" s="3"/>
    </row>
    <row r="49" spans="2:13" ht="18.75" outlineLevel="1" x14ac:dyDescent="0.3">
      <c r="B49" s="27" t="s">
        <v>17</v>
      </c>
      <c r="C49" s="9"/>
      <c r="D49" s="9"/>
      <c r="E49" s="13">
        <v>3.3418729536318681</v>
      </c>
      <c r="F49" s="13">
        <v>3.6117719247107747</v>
      </c>
      <c r="G49" s="13">
        <v>3.356004349260735</v>
      </c>
      <c r="H49" s="23">
        <v>3.9458814095120616</v>
      </c>
      <c r="M49" s="3"/>
    </row>
    <row r="50" spans="2:13" ht="18.75" outlineLevel="1" x14ac:dyDescent="0.3">
      <c r="B50" s="27" t="s">
        <v>18</v>
      </c>
      <c r="C50" s="9"/>
      <c r="D50" s="9"/>
      <c r="E50" s="13">
        <v>1.3962131195140743</v>
      </c>
      <c r="F50" s="13">
        <v>1.5642450773111611</v>
      </c>
      <c r="G50" s="13">
        <v>1.4810426279889763</v>
      </c>
      <c r="H50" s="23">
        <v>1.8232477673734264</v>
      </c>
      <c r="M50" s="3"/>
    </row>
    <row r="51" spans="2:13" ht="18.75" outlineLevel="1" x14ac:dyDescent="0.3">
      <c r="B51" s="27" t="s">
        <v>19</v>
      </c>
      <c r="C51" s="9"/>
      <c r="D51" s="9"/>
      <c r="E51" s="13">
        <v>0.99528921954211635</v>
      </c>
      <c r="F51" s="13">
        <v>1.0939603664251101</v>
      </c>
      <c r="G51" s="13">
        <v>1.000807892625204</v>
      </c>
      <c r="H51" s="23">
        <v>1.2433560263261298</v>
      </c>
      <c r="M51" s="3"/>
    </row>
    <row r="52" spans="2:13" ht="18.75" outlineLevel="1" x14ac:dyDescent="0.3">
      <c r="B52" s="27" t="s">
        <v>20</v>
      </c>
      <c r="C52" s="9"/>
      <c r="D52" s="9"/>
      <c r="E52" s="13">
        <v>0.86595981329646254</v>
      </c>
      <c r="F52" s="13">
        <v>0.96802902958661918</v>
      </c>
      <c r="G52" s="13">
        <v>0.87428516711594162</v>
      </c>
      <c r="H52" s="23">
        <v>1.0881787037962374</v>
      </c>
      <c r="M52" s="3"/>
    </row>
    <row r="53" spans="2:13" ht="19.5" outlineLevel="1" thickBot="1" x14ac:dyDescent="0.35">
      <c r="B53" s="28" t="s">
        <v>21</v>
      </c>
      <c r="C53" s="24"/>
      <c r="D53" s="24"/>
      <c r="E53" s="25">
        <v>0.75078715812803298</v>
      </c>
      <c r="F53" s="25">
        <v>0.81120832679358679</v>
      </c>
      <c r="G53" s="25">
        <v>0.7455973847978119</v>
      </c>
      <c r="H53" s="26">
        <v>0.82602339590727825</v>
      </c>
      <c r="M53" s="3"/>
    </row>
    <row r="54" spans="2:13" ht="18.75" outlineLevel="1" x14ac:dyDescent="0.3">
      <c r="B54" s="11"/>
      <c r="C54" s="9"/>
      <c r="D54" s="9"/>
      <c r="E54" s="13"/>
      <c r="F54" s="13"/>
      <c r="G54" s="13"/>
      <c r="H54" s="13"/>
      <c r="M54" s="3"/>
    </row>
    <row r="55" spans="2:13" ht="18.75" x14ac:dyDescent="0.3">
      <c r="B55" s="4" t="s">
        <v>23</v>
      </c>
      <c r="C55" s="169">
        <f>-15%</f>
        <v>-0.15</v>
      </c>
      <c r="D55" s="169"/>
      <c r="E55" s="3"/>
      <c r="F55" s="3"/>
      <c r="G55" s="3"/>
      <c r="H55" s="3"/>
      <c r="I55" s="3"/>
      <c r="J55" s="3"/>
      <c r="K55" s="3"/>
      <c r="L55" s="3"/>
      <c r="M55" s="3"/>
    </row>
    <row r="57" spans="2:13" ht="15.75" outlineLevel="2" x14ac:dyDescent="0.25">
      <c r="B57" s="105" t="s">
        <v>0</v>
      </c>
      <c r="C57" s="15"/>
      <c r="D57" s="15"/>
      <c r="E57" s="16">
        <f>365817000000</f>
        <v>365817000000</v>
      </c>
      <c r="F57" s="16">
        <f>394328000000</f>
        <v>394328000000</v>
      </c>
      <c r="G57" s="16">
        <f>383285000000</f>
        <v>383285000000</v>
      </c>
      <c r="H57" s="16">
        <f>391035000000</f>
        <v>391035000000</v>
      </c>
      <c r="I57" s="17">
        <f>I71*E75</f>
        <v>320146081961.20715</v>
      </c>
      <c r="J57" s="17">
        <f>J71*F75</f>
        <v>364551716127.48383</v>
      </c>
      <c r="K57" s="17">
        <f>K71*G75</f>
        <v>355971779851.60266</v>
      </c>
      <c r="L57" s="17">
        <f>L71*H75</f>
        <v>438805392085.09259</v>
      </c>
    </row>
    <row r="58" spans="2:13" ht="15.75" outlineLevel="2" x14ac:dyDescent="0.25">
      <c r="B58" s="11" t="s">
        <v>1</v>
      </c>
      <c r="C58" s="9"/>
      <c r="D58" s="9"/>
      <c r="E58" s="18">
        <v>212981000000</v>
      </c>
      <c r="F58" s="18">
        <f>223546000000</f>
        <v>223546000000</v>
      </c>
      <c r="G58" s="18">
        <f>214137000000</f>
        <v>214137000000</v>
      </c>
      <c r="H58" s="18">
        <f>210352000000</f>
        <v>210352000000</v>
      </c>
      <c r="I58" s="18"/>
      <c r="J58" s="18"/>
      <c r="K58" s="18"/>
      <c r="L58" s="18"/>
    </row>
    <row r="59" spans="2:13" ht="18.75" outlineLevel="2" x14ac:dyDescent="0.3">
      <c r="B59" s="49" t="s">
        <v>2</v>
      </c>
      <c r="C59" s="5"/>
      <c r="D59" s="5"/>
      <c r="E59" s="6">
        <f>E57-E58</f>
        <v>152836000000</v>
      </c>
      <c r="F59" s="6">
        <f>F57-F58</f>
        <v>170782000000</v>
      </c>
      <c r="G59" s="6">
        <f>G57-G58</f>
        <v>169148000000</v>
      </c>
      <c r="H59" s="6">
        <f>H57-H58</f>
        <v>180683000000</v>
      </c>
      <c r="I59" s="14">
        <f>I71*E76</f>
        <v>133754982908.45709</v>
      </c>
      <c r="J59" s="14">
        <f>J71*F76</f>
        <v>157886001459.91141</v>
      </c>
      <c r="K59" s="14">
        <f>K71*G76</f>
        <v>157094367424.60278</v>
      </c>
      <c r="L59" s="14">
        <f>L71*H76</f>
        <v>202755954474.94672</v>
      </c>
    </row>
    <row r="60" spans="2:13" ht="15.75" outlineLevel="2" x14ac:dyDescent="0.25">
      <c r="B60" s="11" t="s">
        <v>3</v>
      </c>
      <c r="C60" s="9"/>
      <c r="D60" s="9"/>
      <c r="E60" s="18">
        <v>43887000000</v>
      </c>
      <c r="F60" s="18">
        <v>51345000000</v>
      </c>
      <c r="G60" s="18">
        <v>54847000000</v>
      </c>
      <c r="H60" s="18">
        <v>57467000000</v>
      </c>
      <c r="I60" s="18"/>
      <c r="J60" s="18"/>
      <c r="K60" s="18"/>
      <c r="L60" s="18"/>
    </row>
    <row r="61" spans="2:13" ht="15.75" outlineLevel="2" x14ac:dyDescent="0.25">
      <c r="B61" s="49" t="s">
        <v>4</v>
      </c>
      <c r="C61" s="7"/>
      <c r="D61" s="7"/>
      <c r="E61" s="6">
        <f>E59-E60</f>
        <v>108949000000</v>
      </c>
      <c r="F61" s="6">
        <f>F59-F60</f>
        <v>119437000000</v>
      </c>
      <c r="G61" s="6">
        <f>G59-G60</f>
        <v>114301000000</v>
      </c>
      <c r="H61" s="6">
        <f>H59-H60</f>
        <v>123216000000</v>
      </c>
      <c r="I61" s="14">
        <f>I71*E77</f>
        <v>95347114769.383484</v>
      </c>
      <c r="J61" s="14">
        <f>J71*F77</f>
        <v>110418137487.36656</v>
      </c>
      <c r="K61" s="14">
        <f>K71*G77</f>
        <v>106155812016.69264</v>
      </c>
      <c r="L61" s="14">
        <f>L71*H77</f>
        <v>138268557011.92163</v>
      </c>
    </row>
    <row r="62" spans="2:13" ht="15.75" outlineLevel="2" x14ac:dyDescent="0.25">
      <c r="B62" s="11" t="s">
        <v>5</v>
      </c>
      <c r="C62" s="9"/>
      <c r="D62" s="9"/>
      <c r="E62" s="18">
        <v>11284000000</v>
      </c>
      <c r="F62" s="18">
        <v>11104000000</v>
      </c>
      <c r="G62" s="18">
        <v>11519000000</v>
      </c>
      <c r="H62" s="18">
        <v>11445000000</v>
      </c>
      <c r="I62" s="18"/>
      <c r="J62" s="18"/>
      <c r="K62" s="18"/>
      <c r="L62" s="18"/>
    </row>
    <row r="63" spans="2:13" ht="15.75" outlineLevel="2" x14ac:dyDescent="0.25">
      <c r="B63" s="11" t="s">
        <v>6</v>
      </c>
      <c r="C63" s="9"/>
      <c r="D63" s="9"/>
      <c r="E63" s="18">
        <v>2873000000</v>
      </c>
      <c r="F63" s="18">
        <v>2645000000</v>
      </c>
      <c r="G63" s="18">
        <v>2931000000</v>
      </c>
      <c r="H63" s="18">
        <v>3933000000</v>
      </c>
      <c r="I63" s="18"/>
      <c r="J63" s="18"/>
      <c r="K63" s="18"/>
      <c r="L63" s="18"/>
    </row>
    <row r="64" spans="2:13" ht="15.75" outlineLevel="2" x14ac:dyDescent="0.25">
      <c r="B64" s="49" t="s">
        <v>7</v>
      </c>
      <c r="C64" s="7"/>
      <c r="D64" s="7"/>
      <c r="E64" s="6">
        <f>E61-E62-E63</f>
        <v>94792000000</v>
      </c>
      <c r="F64" s="6">
        <f>F61-F62-F63</f>
        <v>105688000000</v>
      </c>
      <c r="G64" s="6">
        <f>G61-G62-G63</f>
        <v>99851000000</v>
      </c>
      <c r="H64" s="6">
        <f>H61-H62-H63</f>
        <v>107838000000</v>
      </c>
      <c r="I64" s="14">
        <f>I71*E78</f>
        <v>82957564578.099838</v>
      </c>
      <c r="J64" s="14">
        <f>J71*F78</f>
        <v>97707344581.367569</v>
      </c>
      <c r="K64" s="14">
        <f>K71*G78</f>
        <v>92735531497.351517</v>
      </c>
      <c r="L64" s="14">
        <f>L71*H78</f>
        <v>121011919320.96159</v>
      </c>
    </row>
    <row r="65" spans="2:12" ht="15.75" outlineLevel="2" x14ac:dyDescent="0.25">
      <c r="B65" s="11" t="s">
        <v>13</v>
      </c>
      <c r="C65" s="9"/>
      <c r="D65" s="11"/>
      <c r="E65" s="19">
        <v>0.13300000000000001</v>
      </c>
      <c r="F65" s="19">
        <v>0.16200000000000001</v>
      </c>
      <c r="G65" s="19">
        <v>0.14719199999999999</v>
      </c>
      <c r="H65" s="19">
        <v>0.24091199999999999</v>
      </c>
      <c r="I65" s="18"/>
      <c r="J65" s="18"/>
      <c r="K65" s="18"/>
      <c r="L65" s="18"/>
    </row>
    <row r="66" spans="2:12" ht="15.75" outlineLevel="2" x14ac:dyDescent="0.25">
      <c r="B66" s="11" t="s">
        <v>8</v>
      </c>
      <c r="C66" s="9"/>
      <c r="D66" s="11"/>
      <c r="E66" s="18">
        <f>E64*E65</f>
        <v>12607336000</v>
      </c>
      <c r="F66" s="18">
        <f>F64*F65</f>
        <v>17121456000</v>
      </c>
      <c r="G66" s="18">
        <f>G64*G65</f>
        <v>14697268391.999998</v>
      </c>
      <c r="H66" s="18">
        <f>H64*H65</f>
        <v>25979468256</v>
      </c>
      <c r="I66" s="18"/>
      <c r="J66" s="18"/>
      <c r="K66" s="18"/>
      <c r="L66" s="18"/>
    </row>
    <row r="67" spans="2:12" ht="15.75" outlineLevel="2" x14ac:dyDescent="0.25">
      <c r="B67" s="49" t="s">
        <v>9</v>
      </c>
      <c r="C67" s="7"/>
      <c r="D67" s="7"/>
      <c r="E67" s="6">
        <f>E64-E66</f>
        <v>82184664000</v>
      </c>
      <c r="F67" s="6">
        <f>F64-F66</f>
        <v>88566544000</v>
      </c>
      <c r="G67" s="6">
        <f>G64-G66</f>
        <v>85153731608</v>
      </c>
      <c r="H67" s="6">
        <f>H64-H66</f>
        <v>81858531744</v>
      </c>
      <c r="I67" s="14">
        <f>I71*E79</f>
        <v>71924208489.212555</v>
      </c>
      <c r="J67" s="14">
        <f>J71*F79</f>
        <v>81878754759.186005</v>
      </c>
      <c r="K67" s="14">
        <f>K71*G79</f>
        <v>79085603145.193359</v>
      </c>
      <c r="L67" s="14">
        <f>L71*H79</f>
        <v>91858695813.510086</v>
      </c>
    </row>
    <row r="68" spans="2:12" ht="15.75" outlineLevel="2" x14ac:dyDescent="0.25">
      <c r="B68" s="11" t="s">
        <v>5</v>
      </c>
      <c r="C68" s="9"/>
      <c r="D68" s="9"/>
      <c r="E68" s="18">
        <v>11284000000</v>
      </c>
      <c r="F68" s="18">
        <v>11104000000</v>
      </c>
      <c r="G68" s="18">
        <v>11519000000</v>
      </c>
      <c r="H68" s="18">
        <v>11445000000</v>
      </c>
      <c r="I68" s="18"/>
      <c r="J68" s="18"/>
      <c r="K68" s="18"/>
      <c r="L68" s="18"/>
    </row>
    <row r="69" spans="2:12" ht="15.75" outlineLevel="2" x14ac:dyDescent="0.25">
      <c r="B69" s="11" t="s">
        <v>14</v>
      </c>
      <c r="C69" s="9"/>
      <c r="D69" s="9"/>
      <c r="E69" s="18">
        <v>-4911000000</v>
      </c>
      <c r="F69" s="18">
        <v>1200000000</v>
      </c>
      <c r="G69" s="18">
        <v>-6577000000</v>
      </c>
      <c r="H69" s="18">
        <v>3651000000</v>
      </c>
      <c r="I69" s="18"/>
      <c r="J69" s="18"/>
      <c r="K69" s="18"/>
      <c r="L69" s="18"/>
    </row>
    <row r="70" spans="2:12" ht="15.75" outlineLevel="2" x14ac:dyDescent="0.25">
      <c r="B70" s="11" t="s">
        <v>15</v>
      </c>
      <c r="C70" s="9"/>
      <c r="D70" s="9"/>
      <c r="E70" s="18">
        <v>-11085000000</v>
      </c>
      <c r="F70" s="18">
        <v>-10708000000</v>
      </c>
      <c r="G70" s="18">
        <v>-10959000000</v>
      </c>
      <c r="H70" s="18">
        <v>-9447000000</v>
      </c>
      <c r="I70" s="18"/>
      <c r="J70" s="18"/>
      <c r="K70" s="18"/>
      <c r="L70" s="18"/>
    </row>
    <row r="71" spans="2:12" ht="16.5" outlineLevel="2" thickBot="1" x14ac:dyDescent="0.3">
      <c r="B71" s="106" t="s">
        <v>16</v>
      </c>
      <c r="C71" s="20"/>
      <c r="D71" s="20"/>
      <c r="E71" s="21">
        <f>E67+E68-E69-E70</f>
        <v>109464664000</v>
      </c>
      <c r="F71" s="21">
        <f>F67+F68-F69-F70</f>
        <v>109178544000</v>
      </c>
      <c r="G71" s="21">
        <f>G67+G68-G69-G70</f>
        <v>114208731608</v>
      </c>
      <c r="H71" s="21">
        <f>H67+H68-H69-H70</f>
        <v>99099531744</v>
      </c>
      <c r="I71" s="22">
        <f>I19*(1+$C$55)</f>
        <v>95798400000</v>
      </c>
      <c r="J71" s="22">
        <f>J19*(1+$C$55)</f>
        <v>100934312500</v>
      </c>
      <c r="K71" s="22">
        <f>K19*(1+$C$55)</f>
        <v>106070118750</v>
      </c>
      <c r="L71" s="22">
        <f>L19*(1+$C$55)</f>
        <v>111205925000</v>
      </c>
    </row>
    <row r="72" spans="2:12" ht="15.75" outlineLevel="1" thickBot="1" x14ac:dyDescent="0.3"/>
    <row r="73" spans="2:12" ht="15" customHeight="1" outlineLevel="2" x14ac:dyDescent="0.25">
      <c r="B73" s="170" t="s">
        <v>24</v>
      </c>
      <c r="C73" s="171"/>
      <c r="D73" s="171"/>
      <c r="E73" s="171"/>
      <c r="F73" s="171"/>
      <c r="G73" s="171"/>
      <c r="H73" s="172"/>
    </row>
    <row r="74" spans="2:12" ht="15.75" customHeight="1" outlineLevel="3" x14ac:dyDescent="0.25">
      <c r="B74" s="173"/>
      <c r="C74" s="174"/>
      <c r="D74" s="174"/>
      <c r="E74" s="174"/>
      <c r="F74" s="174"/>
      <c r="G74" s="174"/>
      <c r="H74" s="175"/>
    </row>
    <row r="75" spans="2:12" ht="15.75" customHeight="1" outlineLevel="3" x14ac:dyDescent="0.25">
      <c r="B75" s="27" t="s">
        <v>17</v>
      </c>
      <c r="C75" s="9"/>
      <c r="D75" s="9"/>
      <c r="E75" s="13">
        <v>3.3418729536318681</v>
      </c>
      <c r="F75" s="13">
        <v>3.6117719247107747</v>
      </c>
      <c r="G75" s="13">
        <v>3.356004349260735</v>
      </c>
      <c r="H75" s="23">
        <v>3.9458814095120616</v>
      </c>
    </row>
    <row r="76" spans="2:12" ht="15.75" customHeight="1" outlineLevel="3" x14ac:dyDescent="0.25">
      <c r="B76" s="27" t="s">
        <v>18</v>
      </c>
      <c r="C76" s="9"/>
      <c r="D76" s="9"/>
      <c r="E76" s="13">
        <v>1.3962131195140743</v>
      </c>
      <c r="F76" s="13">
        <v>1.5642450773111611</v>
      </c>
      <c r="G76" s="13">
        <v>1.4810426279889763</v>
      </c>
      <c r="H76" s="23">
        <v>1.8232477673734264</v>
      </c>
    </row>
    <row r="77" spans="2:12" outlineLevel="3" x14ac:dyDescent="0.25">
      <c r="B77" s="27" t="s">
        <v>19</v>
      </c>
      <c r="C77" s="9"/>
      <c r="D77" s="9"/>
      <c r="E77" s="13">
        <v>0.99528921954211635</v>
      </c>
      <c r="F77" s="13">
        <v>1.0939603664251101</v>
      </c>
      <c r="G77" s="13">
        <v>1.000807892625204</v>
      </c>
      <c r="H77" s="23">
        <v>1.2433560263261298</v>
      </c>
    </row>
    <row r="78" spans="2:12" outlineLevel="3" x14ac:dyDescent="0.25">
      <c r="B78" s="27" t="s">
        <v>20</v>
      </c>
      <c r="C78" s="9"/>
      <c r="D78" s="9"/>
      <c r="E78" s="13">
        <v>0.86595981329646254</v>
      </c>
      <c r="F78" s="13">
        <v>0.96802902958661918</v>
      </c>
      <c r="G78" s="13">
        <v>0.87428516711594162</v>
      </c>
      <c r="H78" s="23">
        <v>1.0881787037962374</v>
      </c>
    </row>
    <row r="79" spans="2:12" ht="15.75" outlineLevel="3" thickBot="1" x14ac:dyDescent="0.3">
      <c r="B79" s="28" t="s">
        <v>21</v>
      </c>
      <c r="C79" s="24"/>
      <c r="D79" s="24"/>
      <c r="E79" s="25">
        <v>0.75078715812803298</v>
      </c>
      <c r="F79" s="25">
        <v>0.81120832679358679</v>
      </c>
      <c r="G79" s="25">
        <v>0.7455973847978119</v>
      </c>
      <c r="H79" s="26">
        <v>0.82602339590727825</v>
      </c>
    </row>
    <row r="81" spans="2:12" x14ac:dyDescent="0.25">
      <c r="B81" s="108"/>
      <c r="C81" s="108"/>
      <c r="D81" s="109"/>
      <c r="E81" s="109"/>
      <c r="F81" s="109"/>
      <c r="G81" s="109"/>
      <c r="H81" s="110"/>
      <c r="I81" s="108"/>
      <c r="J81" s="108"/>
      <c r="K81" s="108"/>
      <c r="L81" s="108"/>
    </row>
    <row r="87" spans="2:12" ht="15" customHeight="1" x14ac:dyDescent="0.25">
      <c r="B87" s="52"/>
    </row>
    <row r="88" spans="2:12" ht="15.75" x14ac:dyDescent="0.25">
      <c r="B88" s="92" t="s">
        <v>65</v>
      </c>
      <c r="C88" s="123" t="s">
        <v>28</v>
      </c>
      <c r="D88" s="123" t="s">
        <v>29</v>
      </c>
      <c r="E88" s="93">
        <v>2021</v>
      </c>
      <c r="F88" s="93">
        <f>E88+1</f>
        <v>2022</v>
      </c>
      <c r="G88" s="93">
        <f>F88+1</f>
        <v>2023</v>
      </c>
      <c r="H88" s="93">
        <f>G88+1</f>
        <v>2024</v>
      </c>
    </row>
    <row r="89" spans="2:12" ht="15.75" x14ac:dyDescent="0.25">
      <c r="B89" s="47" t="s">
        <v>26</v>
      </c>
      <c r="C89" s="95">
        <v>6.6500000000000004E-2</v>
      </c>
      <c r="D89" s="94">
        <f>H89/(SUM(H89:H90))</f>
        <v>0.80419022967485398</v>
      </c>
      <c r="E89" s="45">
        <v>109106000000</v>
      </c>
      <c r="F89" s="45">
        <v>98959000000</v>
      </c>
      <c r="G89" s="45">
        <v>95281000000</v>
      </c>
      <c r="H89" s="45">
        <v>85750000000</v>
      </c>
    </row>
    <row r="90" spans="2:12" ht="15.75" x14ac:dyDescent="0.25">
      <c r="B90" s="47" t="s">
        <v>27</v>
      </c>
      <c r="C90" s="96">
        <v>2.9999999999999997E-4</v>
      </c>
      <c r="D90" s="94">
        <f>H90/(SUM(H89:H90))</f>
        <v>0.19580977032514607</v>
      </c>
      <c r="E90" s="45">
        <v>15613000000</v>
      </c>
      <c r="F90" s="45">
        <v>21110000000</v>
      </c>
      <c r="G90" s="45">
        <v>15807000000</v>
      </c>
      <c r="H90" s="45">
        <v>20879000000</v>
      </c>
    </row>
    <row r="91" spans="2:12" ht="15.75" x14ac:dyDescent="0.25">
      <c r="B91" s="91" t="s">
        <v>63</v>
      </c>
      <c r="C91" s="94">
        <f>(C89*D89)+(C90*D90)</f>
        <v>5.3537393204475342E-2</v>
      </c>
      <c r="D91" s="29"/>
      <c r="E91" s="29"/>
      <c r="F91" s="29"/>
      <c r="G91" s="29"/>
    </row>
    <row r="92" spans="2:12" ht="15.75" x14ac:dyDescent="0.25">
      <c r="B92" s="51"/>
    </row>
    <row r="93" spans="2:12" ht="15.75" x14ac:dyDescent="0.25">
      <c r="B93" s="51"/>
    </row>
    <row r="94" spans="2:12" ht="15.75" x14ac:dyDescent="0.25">
      <c r="B94" s="89" t="s">
        <v>62</v>
      </c>
      <c r="C94" s="84"/>
      <c r="E94" s="84"/>
      <c r="F94" s="84"/>
      <c r="G94" s="90" t="s">
        <v>64</v>
      </c>
    </row>
    <row r="95" spans="2:12" ht="15.75" x14ac:dyDescent="0.25">
      <c r="B95" s="75" t="s">
        <v>31</v>
      </c>
      <c r="C95" s="7">
        <v>1.24</v>
      </c>
      <c r="E95" s="31" t="s">
        <v>30</v>
      </c>
      <c r="F95" s="30">
        <f>H89+H90</f>
        <v>106629000000</v>
      </c>
      <c r="G95" s="37">
        <f>F95/($F$97)</f>
        <v>0.65185017636738207</v>
      </c>
    </row>
    <row r="96" spans="2:12" ht="15.75" x14ac:dyDescent="0.25">
      <c r="B96" s="103" t="s">
        <v>32</v>
      </c>
      <c r="C96" s="40">
        <v>4.4010000000000001E-2</v>
      </c>
      <c r="E96" s="34" t="s">
        <v>44</v>
      </c>
      <c r="F96" s="18">
        <v>56950000000</v>
      </c>
      <c r="G96" s="40">
        <f>F96/($F$97)</f>
        <v>0.34814982363261787</v>
      </c>
    </row>
    <row r="97" spans="2:9" ht="15.75" x14ac:dyDescent="0.25">
      <c r="B97" s="103" t="s">
        <v>42</v>
      </c>
      <c r="C97" s="41">
        <v>0.1551733477753523</v>
      </c>
      <c r="E97" s="31" t="s">
        <v>12</v>
      </c>
      <c r="F97" s="30">
        <f>SUM(F95:F96)</f>
        <v>163579000000</v>
      </c>
      <c r="G97" s="13">
        <f>SUM(G95:G96)</f>
        <v>1</v>
      </c>
    </row>
    <row r="98" spans="2:9" ht="15.75" x14ac:dyDescent="0.25">
      <c r="B98" s="91" t="s">
        <v>61</v>
      </c>
      <c r="C98" s="12">
        <f>C96+ (C95*(C97-C96))</f>
        <v>0.18185255124143684</v>
      </c>
    </row>
    <row r="99" spans="2:9" x14ac:dyDescent="0.25">
      <c r="F99" s="35"/>
    </row>
    <row r="100" spans="2:9" x14ac:dyDescent="0.25">
      <c r="D100" s="36"/>
      <c r="H100" s="35"/>
    </row>
    <row r="101" spans="2:9" x14ac:dyDescent="0.25">
      <c r="B101" s="165" t="s">
        <v>43</v>
      </c>
      <c r="C101" s="167">
        <f>(C91*G95)+((C98*G96)*(1-H13))</f>
        <v>8.2957688286910122E-2</v>
      </c>
    </row>
    <row r="102" spans="2:9" x14ac:dyDescent="0.25">
      <c r="B102" s="166"/>
      <c r="C102" s="168"/>
    </row>
    <row r="103" spans="2:9" x14ac:dyDescent="0.25">
      <c r="C103" s="53"/>
      <c r="E103" s="36"/>
    </row>
    <row r="104" spans="2:9" ht="15.75" x14ac:dyDescent="0.25">
      <c r="B104" s="76" t="s">
        <v>55</v>
      </c>
      <c r="C104" s="37">
        <f>0.04</f>
        <v>0.04</v>
      </c>
    </row>
    <row r="105" spans="2:9" ht="15.75" x14ac:dyDescent="0.25">
      <c r="B105" s="74"/>
      <c r="C105" s="40"/>
    </row>
    <row r="106" spans="2:9" ht="15.75" x14ac:dyDescent="0.25">
      <c r="B106" s="74"/>
      <c r="C106" s="40"/>
    </row>
    <row r="107" spans="2:9" x14ac:dyDescent="0.25">
      <c r="B107" s="9"/>
      <c r="C107" s="9"/>
      <c r="D107" s="9"/>
      <c r="E107" s="9"/>
      <c r="F107" s="9"/>
    </row>
    <row r="108" spans="2:9" x14ac:dyDescent="0.25">
      <c r="B108" s="82"/>
      <c r="C108" s="83">
        <v>1</v>
      </c>
      <c r="D108" s="83">
        <v>2</v>
      </c>
      <c r="E108" s="83">
        <v>3</v>
      </c>
      <c r="F108" s="83">
        <v>4</v>
      </c>
    </row>
    <row r="109" spans="2:9" x14ac:dyDescent="0.25">
      <c r="B109" s="9"/>
      <c r="C109" s="80">
        <v>2025</v>
      </c>
      <c r="D109" s="80">
        <f>C109+1</f>
        <v>2026</v>
      </c>
      <c r="E109" s="80">
        <f>D109+1</f>
        <v>2027</v>
      </c>
      <c r="F109" s="80">
        <f>E109+1</f>
        <v>2028</v>
      </c>
      <c r="H109" s="163" t="s">
        <v>53</v>
      </c>
      <c r="I109" s="163" t="s">
        <v>54</v>
      </c>
    </row>
    <row r="110" spans="2:9" ht="15.75" x14ac:dyDescent="0.25">
      <c r="B110" s="50" t="s">
        <v>47</v>
      </c>
      <c r="C110" s="18">
        <f>I19</f>
        <v>112704000000</v>
      </c>
      <c r="D110" s="18">
        <f>J19</f>
        <v>118746250000</v>
      </c>
      <c r="E110" s="18">
        <f>K19</f>
        <v>124788375000</v>
      </c>
      <c r="F110" s="18">
        <f>L19</f>
        <v>130830500000</v>
      </c>
      <c r="G110" s="9"/>
      <c r="H110" s="164"/>
      <c r="I110" s="164"/>
    </row>
    <row r="111" spans="2:9" ht="15.75" x14ac:dyDescent="0.25">
      <c r="B111" s="75" t="s">
        <v>48</v>
      </c>
      <c r="C111" s="30">
        <f>(C110)/((1+$C$101)^C108)</f>
        <v>104070547925.36005</v>
      </c>
      <c r="D111" s="30">
        <f>(D110)/((1+$C$101)^D108)</f>
        <v>101250441546.65805</v>
      </c>
      <c r="E111" s="30">
        <f>(E110)/((1+$C$101)^E108)</f>
        <v>98251607088.727539</v>
      </c>
      <c r="F111" s="30">
        <f>(F110)/((1+$C$101)^F108)</f>
        <v>95118073536.307541</v>
      </c>
      <c r="G111" s="9"/>
      <c r="H111" s="159">
        <f>SUM(C111:F111)</f>
        <v>398690670097.05316</v>
      </c>
      <c r="I111" s="159">
        <f>(F112)/((1+C101)^F108)</f>
        <v>2316486314035.4351</v>
      </c>
    </row>
    <row r="112" spans="2:9" ht="15.75" x14ac:dyDescent="0.25">
      <c r="B112" s="100" t="s">
        <v>51</v>
      </c>
      <c r="C112" s="73" t="s">
        <v>10</v>
      </c>
      <c r="D112" s="73" t="s">
        <v>10</v>
      </c>
      <c r="E112" s="73" t="s">
        <v>10</v>
      </c>
      <c r="F112" s="81">
        <f>($M$19)/($C$101-$C$104)</f>
        <v>3186219521074.8159</v>
      </c>
      <c r="G112" s="9"/>
      <c r="H112" s="160"/>
      <c r="I112" s="160"/>
    </row>
    <row r="113" spans="2:10" x14ac:dyDescent="0.25">
      <c r="B113" s="101"/>
      <c r="C113" s="79"/>
      <c r="D113" s="79"/>
      <c r="E113" s="79"/>
      <c r="F113" s="79"/>
      <c r="G113" s="9"/>
      <c r="H113" s="39"/>
      <c r="I113" s="1"/>
    </row>
    <row r="114" spans="2:10" ht="15.75" x14ac:dyDescent="0.25">
      <c r="B114" s="102" t="s">
        <v>47</v>
      </c>
      <c r="C114" s="30">
        <f>I45</f>
        <v>129609599999.99998</v>
      </c>
      <c r="D114" s="30">
        <f>J45</f>
        <v>136558187499.99998</v>
      </c>
      <c r="E114" s="30">
        <f>K45</f>
        <v>143506631250</v>
      </c>
      <c r="F114" s="30">
        <f>L45</f>
        <v>150455075000</v>
      </c>
      <c r="G114" s="9"/>
      <c r="H114" s="42"/>
      <c r="I114" s="1"/>
    </row>
    <row r="115" spans="2:10" ht="15.75" x14ac:dyDescent="0.25">
      <c r="B115" s="75" t="s">
        <v>49</v>
      </c>
      <c r="C115" s="30">
        <f>(C114)/((1+$C$101)^C108)</f>
        <v>119681130114.16403</v>
      </c>
      <c r="D115" s="30">
        <f>(D114)/((1+$C$101)^D108)</f>
        <v>116438007778.65675</v>
      </c>
      <c r="E115" s="30">
        <f>(E114)/((1+$C$101)^E108)</f>
        <v>112989348152.03668</v>
      </c>
      <c r="F115" s="30">
        <f>(F114)/((1+$C$101)^F108)</f>
        <v>109385784566.75368</v>
      </c>
      <c r="G115" s="9"/>
      <c r="H115" s="159">
        <f>SUM(C115:F115)</f>
        <v>458494270611.61115</v>
      </c>
      <c r="I115" s="159">
        <f>(F116)/((1+$C$101)^$F$108)</f>
        <v>2316486314035.4351</v>
      </c>
    </row>
    <row r="116" spans="2:10" ht="15.75" x14ac:dyDescent="0.25">
      <c r="B116" s="100" t="s">
        <v>51</v>
      </c>
      <c r="C116" s="73" t="s">
        <v>10</v>
      </c>
      <c r="D116" s="73" t="s">
        <v>10</v>
      </c>
      <c r="E116" s="73" t="s">
        <v>10</v>
      </c>
      <c r="F116" s="81">
        <f>($M$19)/($C$101-$C$104)</f>
        <v>3186219521074.8159</v>
      </c>
      <c r="G116" s="9"/>
      <c r="H116" s="160"/>
      <c r="I116" s="160"/>
    </row>
    <row r="117" spans="2:10" x14ac:dyDescent="0.25">
      <c r="B117" s="101"/>
      <c r="C117" s="79"/>
      <c r="D117" s="79"/>
      <c r="E117" s="79"/>
      <c r="F117" s="79"/>
      <c r="G117" s="9"/>
      <c r="H117" s="39"/>
      <c r="I117" s="32"/>
    </row>
    <row r="118" spans="2:10" ht="15.75" x14ac:dyDescent="0.25">
      <c r="B118" s="102" t="s">
        <v>47</v>
      </c>
      <c r="C118" s="30">
        <f>I71</f>
        <v>95798400000</v>
      </c>
      <c r="D118" s="30">
        <f>J71</f>
        <v>100934312500</v>
      </c>
      <c r="E118" s="30">
        <f>K71</f>
        <v>106070118750</v>
      </c>
      <c r="F118" s="30">
        <f>L71</f>
        <v>111205925000</v>
      </c>
      <c r="G118" s="9"/>
      <c r="H118" s="42"/>
      <c r="I118" s="1"/>
    </row>
    <row r="119" spans="2:10" ht="15.75" x14ac:dyDescent="0.25">
      <c r="B119" s="75" t="s">
        <v>50</v>
      </c>
      <c r="C119" s="7">
        <f>(C118)/((1+$C$101)^C108)</f>
        <v>88459965736.556046</v>
      </c>
      <c r="D119" s="7">
        <f>(D118)/((1+$C$101)^D108)</f>
        <v>86062875314.659348</v>
      </c>
      <c r="E119" s="7">
        <f>(E118)/((1+$C$101)^E108)</f>
        <v>83513866025.418411</v>
      </c>
      <c r="F119" s="7">
        <f>(F118)/((1+$C$101)^F108)</f>
        <v>80850362505.86142</v>
      </c>
      <c r="G119" s="9"/>
      <c r="H119" s="159">
        <f>SUM(C119:F119)</f>
        <v>338887069582.49524</v>
      </c>
      <c r="I119" s="159">
        <f>(F120)/((1+$C$101)^$F$108)</f>
        <v>2316486314035.4351</v>
      </c>
    </row>
    <row r="120" spans="2:10" ht="15.75" x14ac:dyDescent="0.25">
      <c r="B120" s="100" t="s">
        <v>51</v>
      </c>
      <c r="C120" s="73" t="s">
        <v>10</v>
      </c>
      <c r="D120" s="73" t="s">
        <v>10</v>
      </c>
      <c r="E120" s="73" t="s">
        <v>10</v>
      </c>
      <c r="F120" s="81">
        <f>($M$19)/($C$101-$C$104)</f>
        <v>3186219521074.8159</v>
      </c>
      <c r="G120" s="9"/>
      <c r="H120" s="160"/>
      <c r="I120" s="160"/>
    </row>
    <row r="125" spans="2:10" ht="15.75" x14ac:dyDescent="0.25">
      <c r="B125" s="84"/>
      <c r="C125" s="85" t="s">
        <v>57</v>
      </c>
      <c r="D125" s="85" t="s">
        <v>45</v>
      </c>
      <c r="E125" s="85" t="s">
        <v>46</v>
      </c>
      <c r="G125" s="33"/>
      <c r="H125" s="87" t="s">
        <v>58</v>
      </c>
      <c r="I125" s="88" t="s">
        <v>66</v>
      </c>
      <c r="J125" s="43"/>
    </row>
    <row r="126" spans="2:10" ht="15.75" x14ac:dyDescent="0.25">
      <c r="B126" s="77" t="s">
        <v>56</v>
      </c>
      <c r="C126" s="30">
        <f>H111+I111</f>
        <v>2715176984132.4883</v>
      </c>
      <c r="D126" s="30">
        <f>H115+I115</f>
        <v>2774980584647.0464</v>
      </c>
      <c r="E126" s="30">
        <f>H119+I119</f>
        <v>2655373383617.9302</v>
      </c>
      <c r="H126" s="44">
        <v>76686000000</v>
      </c>
      <c r="I126" s="44">
        <v>15115823000</v>
      </c>
    </row>
    <row r="127" spans="2:10" ht="15.75" x14ac:dyDescent="0.25">
      <c r="B127" s="86" t="s">
        <v>59</v>
      </c>
      <c r="C127" s="18">
        <f>C126-$H$126</f>
        <v>2638490984132.4883</v>
      </c>
      <c r="D127" s="18">
        <f>D126-$H$126</f>
        <v>2698294584647.0464</v>
      </c>
      <c r="E127" s="18">
        <f>E126-$H$126</f>
        <v>2578687383617.9302</v>
      </c>
    </row>
    <row r="128" spans="2:10" ht="18.75" x14ac:dyDescent="0.3">
      <c r="B128" s="78" t="s">
        <v>60</v>
      </c>
      <c r="C128" s="72">
        <f>C127/$I$126</f>
        <v>174.55159299844198</v>
      </c>
      <c r="D128" s="72">
        <f>D127/$I$126</f>
        <v>178.50795055267889</v>
      </c>
      <c r="E128" s="72">
        <f>E127/$I$126</f>
        <v>170.59523544420506</v>
      </c>
    </row>
  </sheetData>
  <mergeCells count="26">
    <mergeCell ref="C3:D3"/>
    <mergeCell ref="B1:D2"/>
    <mergeCell ref="H1:H2"/>
    <mergeCell ref="G1:G2"/>
    <mergeCell ref="F1:F2"/>
    <mergeCell ref="E1:E2"/>
    <mergeCell ref="B101:B102"/>
    <mergeCell ref="C101:C102"/>
    <mergeCell ref="C29:D29"/>
    <mergeCell ref="C55:D55"/>
    <mergeCell ref="B21:H22"/>
    <mergeCell ref="B47:H48"/>
    <mergeCell ref="B73:H74"/>
    <mergeCell ref="H115:H116"/>
    <mergeCell ref="I115:I116"/>
    <mergeCell ref="H119:H120"/>
    <mergeCell ref="I119:I120"/>
    <mergeCell ref="M1:M2"/>
    <mergeCell ref="H111:H112"/>
    <mergeCell ref="H109:H110"/>
    <mergeCell ref="I109:I110"/>
    <mergeCell ref="I111:I112"/>
    <mergeCell ref="L1:L2"/>
    <mergeCell ref="K1:K2"/>
    <mergeCell ref="J1:J2"/>
    <mergeCell ref="I1:I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1649-317B-42B9-9377-74F4FAEECB20}">
  <dimension ref="B3:L67"/>
  <sheetViews>
    <sheetView showGridLines="0" workbookViewId="0">
      <selection activeCell="G71" sqref="G71"/>
    </sheetView>
  </sheetViews>
  <sheetFormatPr defaultRowHeight="15" outlineLevelRow="1" x14ac:dyDescent="0.25"/>
  <cols>
    <col min="1" max="1" width="5.7109375" customWidth="1"/>
    <col min="2" max="2" width="18.28515625" style="97" bestFit="1" customWidth="1"/>
    <col min="3" max="6" width="12" hidden="1" customWidth="1"/>
    <col min="7" max="7" width="12" bestFit="1" customWidth="1"/>
    <col min="8" max="8" width="13.5703125" customWidth="1"/>
    <col min="9" max="9" width="12" hidden="1" customWidth="1"/>
    <col min="11" max="11" width="17.42578125" bestFit="1" customWidth="1"/>
    <col min="12" max="12" width="27.140625" bestFit="1" customWidth="1"/>
  </cols>
  <sheetData>
    <row r="3" spans="2:12" ht="15.75" thickBot="1" x14ac:dyDescent="0.3"/>
    <row r="4" spans="2:12" x14ac:dyDescent="0.25">
      <c r="K4" s="113" t="s">
        <v>40</v>
      </c>
      <c r="L4" s="114">
        <f>SUM(H9:H67)</f>
        <v>0.71351113844536052</v>
      </c>
    </row>
    <row r="5" spans="2:12" x14ac:dyDescent="0.25">
      <c r="K5" s="115" t="s">
        <v>41</v>
      </c>
      <c r="L5" s="116">
        <f>AVERAGE(H9:H67)</f>
        <v>1.2093409126192551E-2</v>
      </c>
    </row>
    <row r="6" spans="2:12" ht="15.75" thickBot="1" x14ac:dyDescent="0.3">
      <c r="K6" s="117" t="s">
        <v>67</v>
      </c>
      <c r="L6" s="118">
        <f>((1+L5)^12)-1</f>
        <v>0.1551733477753523</v>
      </c>
    </row>
    <row r="7" spans="2:12" x14ac:dyDescent="0.25">
      <c r="B7" s="122" t="s">
        <v>11</v>
      </c>
      <c r="C7" s="99" t="s">
        <v>33</v>
      </c>
      <c r="D7" s="99" t="s">
        <v>34</v>
      </c>
      <c r="E7" s="99" t="s">
        <v>35</v>
      </c>
      <c r="F7" s="99" t="s">
        <v>36</v>
      </c>
      <c r="G7" s="99" t="s">
        <v>37</v>
      </c>
      <c r="H7" s="99" t="s">
        <v>39</v>
      </c>
      <c r="I7" s="111" t="s">
        <v>38</v>
      </c>
    </row>
    <row r="8" spans="2:12" outlineLevel="1" x14ac:dyDescent="0.25">
      <c r="B8" s="98">
        <v>43831</v>
      </c>
      <c r="C8" s="9">
        <v>3244.669921875</v>
      </c>
      <c r="D8" s="9">
        <v>3337.77001953125</v>
      </c>
      <c r="E8" s="9">
        <v>3214.639892578125</v>
      </c>
      <c r="F8" s="9">
        <v>3225.52001953125</v>
      </c>
      <c r="G8" s="9">
        <v>3225.52001953125</v>
      </c>
      <c r="H8" s="46" t="s">
        <v>10</v>
      </c>
      <c r="I8" s="9">
        <v>77287980000</v>
      </c>
    </row>
    <row r="9" spans="2:12" outlineLevel="1" x14ac:dyDescent="0.25">
      <c r="B9" s="98">
        <v>43862</v>
      </c>
      <c r="C9" s="9">
        <v>3235.659912109375</v>
      </c>
      <c r="D9" s="9">
        <v>3393.52001953125</v>
      </c>
      <c r="E9" s="9">
        <v>2855.840087890625</v>
      </c>
      <c r="F9" s="9">
        <v>2954.219970703125</v>
      </c>
      <c r="G9" s="9">
        <v>2954.219970703125</v>
      </c>
      <c r="H9" s="9">
        <f>G9/G8-1</f>
        <v>-8.4110483638403122E-2</v>
      </c>
      <c r="I9" s="9">
        <v>84436590000</v>
      </c>
    </row>
    <row r="10" spans="2:12" outlineLevel="1" x14ac:dyDescent="0.25">
      <c r="B10" s="98">
        <v>43891</v>
      </c>
      <c r="C10" s="9">
        <v>2974.280029296875</v>
      </c>
      <c r="D10" s="9">
        <v>3136.719970703125</v>
      </c>
      <c r="E10" s="9">
        <v>2191.860107421875</v>
      </c>
      <c r="F10" s="9">
        <v>2584.590087890625</v>
      </c>
      <c r="G10" s="9">
        <v>2584.590087890625</v>
      </c>
      <c r="H10" s="9">
        <f t="shared" ref="H10:H67" si="0">G10/G9-1</f>
        <v>-0.12511928240892822</v>
      </c>
      <c r="I10" s="9">
        <v>162185380000</v>
      </c>
    </row>
    <row r="11" spans="2:12" outlineLevel="1" x14ac:dyDescent="0.25">
      <c r="B11" s="98">
        <v>43922</v>
      </c>
      <c r="C11" s="9">
        <v>2498.080078125</v>
      </c>
      <c r="D11" s="9">
        <v>2954.860107421875</v>
      </c>
      <c r="E11" s="9">
        <v>2447.489990234375</v>
      </c>
      <c r="F11" s="9">
        <v>2912.429931640625</v>
      </c>
      <c r="G11" s="9">
        <v>2912.429931640625</v>
      </c>
      <c r="H11" s="9">
        <f t="shared" si="0"/>
        <v>0.12684403816527889</v>
      </c>
      <c r="I11" s="9">
        <v>123608160000</v>
      </c>
    </row>
    <row r="12" spans="2:12" outlineLevel="1" x14ac:dyDescent="0.25">
      <c r="B12" s="98">
        <v>43952</v>
      </c>
      <c r="C12" s="9">
        <v>2869.090087890625</v>
      </c>
      <c r="D12" s="9">
        <v>3068.669921875</v>
      </c>
      <c r="E12" s="9">
        <v>2766.639892578125</v>
      </c>
      <c r="F12" s="9">
        <v>3044.31005859375</v>
      </c>
      <c r="G12" s="9">
        <v>3044.31005859375</v>
      </c>
      <c r="H12" s="9">
        <f t="shared" si="0"/>
        <v>4.5281819665558221E-2</v>
      </c>
      <c r="I12" s="9">
        <v>107135190000</v>
      </c>
    </row>
    <row r="13" spans="2:12" outlineLevel="1" x14ac:dyDescent="0.25">
      <c r="B13" s="98">
        <v>43983</v>
      </c>
      <c r="C13" s="9">
        <v>3038.780029296875</v>
      </c>
      <c r="D13" s="9">
        <v>3233.1298828125</v>
      </c>
      <c r="E13" s="9">
        <v>2965.659912109375</v>
      </c>
      <c r="F13" s="9">
        <v>3100.2900390625</v>
      </c>
      <c r="G13" s="9">
        <v>3100.2900390625</v>
      </c>
      <c r="H13" s="9">
        <f t="shared" si="0"/>
        <v>1.838839651392421E-2</v>
      </c>
      <c r="I13" s="9">
        <v>131458880000</v>
      </c>
    </row>
    <row r="14" spans="2:12" outlineLevel="1" x14ac:dyDescent="0.25">
      <c r="B14" s="98">
        <v>44013</v>
      </c>
      <c r="C14" s="9">
        <v>3105.919921875</v>
      </c>
      <c r="D14" s="9">
        <v>3279.989990234375</v>
      </c>
      <c r="E14" s="9">
        <v>3101.169921875</v>
      </c>
      <c r="F14" s="9">
        <v>3271.1201171875</v>
      </c>
      <c r="G14" s="9">
        <v>3271.1201171875</v>
      </c>
      <c r="H14" s="9">
        <f t="shared" si="0"/>
        <v>5.5101321480443666E-2</v>
      </c>
      <c r="I14" s="9">
        <v>96928130000</v>
      </c>
    </row>
    <row r="15" spans="2:12" outlineLevel="1" x14ac:dyDescent="0.25">
      <c r="B15" s="98">
        <v>44044</v>
      </c>
      <c r="C15" s="9">
        <v>3288.260009765625</v>
      </c>
      <c r="D15" s="9">
        <v>3514.77001953125</v>
      </c>
      <c r="E15" s="9">
        <v>3284.530029296875</v>
      </c>
      <c r="F15" s="9">
        <v>3500.31005859375</v>
      </c>
      <c r="G15" s="9">
        <v>3500.31005859375</v>
      </c>
      <c r="H15" s="9">
        <f t="shared" si="0"/>
        <v>7.0064666901717754E-2</v>
      </c>
      <c r="I15" s="9">
        <v>82466520000</v>
      </c>
    </row>
    <row r="16" spans="2:12" outlineLevel="1" x14ac:dyDescent="0.25">
      <c r="B16" s="98">
        <v>44075</v>
      </c>
      <c r="C16" s="9">
        <v>3507.43994140625</v>
      </c>
      <c r="D16" s="9">
        <v>3588.110107421875</v>
      </c>
      <c r="E16" s="9">
        <v>3209.449951171875</v>
      </c>
      <c r="F16" s="9">
        <v>3363</v>
      </c>
      <c r="G16" s="9">
        <v>3363</v>
      </c>
      <c r="H16" s="9">
        <f t="shared" si="0"/>
        <v>-3.9227970178423055E-2</v>
      </c>
      <c r="I16" s="9">
        <v>92310780000</v>
      </c>
    </row>
    <row r="17" spans="2:9" outlineLevel="1" x14ac:dyDescent="0.25">
      <c r="B17" s="98">
        <v>44105</v>
      </c>
      <c r="C17" s="9">
        <v>3385.8701171875</v>
      </c>
      <c r="D17" s="9">
        <v>3549.85009765625</v>
      </c>
      <c r="E17" s="9">
        <v>3233.93994140625</v>
      </c>
      <c r="F17" s="9">
        <v>3269.9599609375</v>
      </c>
      <c r="G17" s="9">
        <v>3269.9599609375</v>
      </c>
      <c r="H17" s="9">
        <f t="shared" si="0"/>
        <v>-2.7665786221379718E-2</v>
      </c>
      <c r="I17" s="9">
        <v>89938980000</v>
      </c>
    </row>
    <row r="18" spans="2:9" outlineLevel="1" x14ac:dyDescent="0.25">
      <c r="B18" s="98">
        <v>44136</v>
      </c>
      <c r="C18" s="9">
        <v>3296.199951171875</v>
      </c>
      <c r="D18" s="9">
        <v>3645.989990234375</v>
      </c>
      <c r="E18" s="9">
        <v>3279.739990234375</v>
      </c>
      <c r="F18" s="9">
        <v>3621.6298828125</v>
      </c>
      <c r="G18" s="9">
        <v>3621.6298828125</v>
      </c>
      <c r="H18" s="9">
        <f t="shared" si="0"/>
        <v>0.10754563544385909</v>
      </c>
      <c r="I18" s="9">
        <v>101247180000</v>
      </c>
    </row>
    <row r="19" spans="2:9" outlineLevel="1" x14ac:dyDescent="0.25">
      <c r="B19" s="98">
        <v>44166</v>
      </c>
      <c r="C19" s="9">
        <v>3645.8701171875</v>
      </c>
      <c r="D19" s="9">
        <v>3760.199951171875</v>
      </c>
      <c r="E19" s="9">
        <v>3633.39990234375</v>
      </c>
      <c r="F19" s="9">
        <v>3756.070068359375</v>
      </c>
      <c r="G19" s="9">
        <v>3756.070068359375</v>
      </c>
      <c r="H19" s="9">
        <f t="shared" si="0"/>
        <v>3.7121459093570008E-2</v>
      </c>
      <c r="I19" s="9">
        <v>96375680000</v>
      </c>
    </row>
    <row r="20" spans="2:9" outlineLevel="1" x14ac:dyDescent="0.25">
      <c r="B20" s="98">
        <v>44197</v>
      </c>
      <c r="C20" s="9">
        <v>3764.610107421875</v>
      </c>
      <c r="D20" s="9">
        <v>3870.89990234375</v>
      </c>
      <c r="E20" s="9">
        <v>3662.7099609375</v>
      </c>
      <c r="F20" s="9">
        <v>3714.239990234375</v>
      </c>
      <c r="G20" s="9">
        <v>3714.239990234375</v>
      </c>
      <c r="H20" s="9">
        <f t="shared" si="0"/>
        <v>-1.1136660755445171E-2</v>
      </c>
      <c r="I20" s="9">
        <v>106117800000</v>
      </c>
    </row>
    <row r="21" spans="2:9" outlineLevel="1" x14ac:dyDescent="0.25">
      <c r="B21" s="98">
        <v>44228</v>
      </c>
      <c r="C21" s="9">
        <v>3731.169921875</v>
      </c>
      <c r="D21" s="9">
        <v>3950.429931640625</v>
      </c>
      <c r="E21" s="9">
        <v>3725.6201171875</v>
      </c>
      <c r="F21" s="9">
        <v>3811.14990234375</v>
      </c>
      <c r="G21" s="9">
        <v>3811.14990234375</v>
      </c>
      <c r="H21" s="9">
        <f t="shared" si="0"/>
        <v>2.6091451377448394E-2</v>
      </c>
      <c r="I21" s="9">
        <v>99082320000</v>
      </c>
    </row>
    <row r="22" spans="2:9" outlineLevel="1" x14ac:dyDescent="0.25">
      <c r="B22" s="98">
        <v>44256</v>
      </c>
      <c r="C22" s="9">
        <v>3842.510009765625</v>
      </c>
      <c r="D22" s="9">
        <v>3994.409912109375</v>
      </c>
      <c r="E22" s="9">
        <v>3723.340087890625</v>
      </c>
      <c r="F22" s="9">
        <v>3972.889892578125</v>
      </c>
      <c r="G22" s="9">
        <v>3972.889892578125</v>
      </c>
      <c r="H22" s="9">
        <f t="shared" si="0"/>
        <v>4.2438632533165155E-2</v>
      </c>
      <c r="I22" s="9">
        <v>122371150000</v>
      </c>
    </row>
    <row r="23" spans="2:9" outlineLevel="1" x14ac:dyDescent="0.25">
      <c r="B23" s="98">
        <v>44287</v>
      </c>
      <c r="C23" s="9">
        <v>3992.780029296875</v>
      </c>
      <c r="D23" s="9">
        <v>4218.77978515625</v>
      </c>
      <c r="E23" s="9">
        <v>3992.780029296875</v>
      </c>
      <c r="F23" s="9">
        <v>4181.169921875</v>
      </c>
      <c r="G23" s="9">
        <v>4181.169921875</v>
      </c>
      <c r="H23" s="9">
        <f t="shared" si="0"/>
        <v>5.2425321347558507E-2</v>
      </c>
      <c r="I23" s="9">
        <v>83124090000</v>
      </c>
    </row>
    <row r="24" spans="2:9" outlineLevel="1" x14ac:dyDescent="0.25">
      <c r="B24" s="98">
        <v>44317</v>
      </c>
      <c r="C24" s="9">
        <v>4191.97998046875</v>
      </c>
      <c r="D24" s="9">
        <v>4238.0400390625</v>
      </c>
      <c r="E24" s="9">
        <v>4056.8798828125</v>
      </c>
      <c r="F24" s="9">
        <v>4204.10986328125</v>
      </c>
      <c r="G24" s="9">
        <v>4204.10986328125</v>
      </c>
      <c r="H24" s="9">
        <f t="shared" si="0"/>
        <v>5.4864886706069704E-3</v>
      </c>
      <c r="I24" s="9">
        <v>88321860000</v>
      </c>
    </row>
    <row r="25" spans="2:9" outlineLevel="1" x14ac:dyDescent="0.25">
      <c r="B25" s="98">
        <v>44348</v>
      </c>
      <c r="C25" s="9">
        <v>4216.52001953125</v>
      </c>
      <c r="D25" s="9">
        <v>4302.43017578125</v>
      </c>
      <c r="E25" s="9">
        <v>4164.39990234375</v>
      </c>
      <c r="F25" s="9">
        <v>4297.5</v>
      </c>
      <c r="G25" s="9">
        <v>4297.5</v>
      </c>
      <c r="H25" s="9">
        <f t="shared" si="0"/>
        <v>2.2214009565834747E-2</v>
      </c>
      <c r="I25" s="9">
        <v>102544180000</v>
      </c>
    </row>
    <row r="26" spans="2:9" outlineLevel="1" x14ac:dyDescent="0.25">
      <c r="B26" s="98">
        <v>44378</v>
      </c>
      <c r="C26" s="9">
        <v>4300.72998046875</v>
      </c>
      <c r="D26" s="9">
        <v>4429.97021484375</v>
      </c>
      <c r="E26" s="9">
        <v>4233.1298828125</v>
      </c>
      <c r="F26" s="9">
        <v>4395.259765625</v>
      </c>
      <c r="G26" s="9">
        <v>4395.259765625</v>
      </c>
      <c r="H26" s="9">
        <f t="shared" si="0"/>
        <v>2.2748054828388709E-2</v>
      </c>
      <c r="I26" s="9">
        <v>84255620000</v>
      </c>
    </row>
    <row r="27" spans="2:9" outlineLevel="1" x14ac:dyDescent="0.25">
      <c r="B27" s="98">
        <v>44409</v>
      </c>
      <c r="C27" s="9">
        <v>4406.85986328125</v>
      </c>
      <c r="D27" s="9">
        <v>4537.35986328125</v>
      </c>
      <c r="E27" s="9">
        <v>4367.72998046875</v>
      </c>
      <c r="F27" s="9">
        <v>4522.68017578125</v>
      </c>
      <c r="G27" s="9">
        <v>4522.68017578125</v>
      </c>
      <c r="H27" s="9">
        <f t="shared" si="0"/>
        <v>2.8990416255438634E-2</v>
      </c>
      <c r="I27" s="9">
        <v>80500760000</v>
      </c>
    </row>
    <row r="28" spans="2:9" outlineLevel="1" x14ac:dyDescent="0.25">
      <c r="B28" s="98">
        <v>44440</v>
      </c>
      <c r="C28" s="9">
        <v>4528.7998046875</v>
      </c>
      <c r="D28" s="9">
        <v>4545.85009765625</v>
      </c>
      <c r="E28" s="9">
        <v>4305.91015625</v>
      </c>
      <c r="F28" s="9">
        <v>4307.5400390625</v>
      </c>
      <c r="G28" s="9">
        <v>4307.5400390625</v>
      </c>
      <c r="H28" s="9">
        <f t="shared" si="0"/>
        <v>-4.7569168801901096E-2</v>
      </c>
      <c r="I28" s="9">
        <v>85528860000</v>
      </c>
    </row>
    <row r="29" spans="2:9" outlineLevel="1" x14ac:dyDescent="0.25">
      <c r="B29" s="98">
        <v>44470</v>
      </c>
      <c r="C29" s="9">
        <v>4317.16015625</v>
      </c>
      <c r="D29" s="9">
        <v>4608.080078125</v>
      </c>
      <c r="E29" s="9">
        <v>4278.93994140625</v>
      </c>
      <c r="F29" s="9">
        <v>4605.3798828125</v>
      </c>
      <c r="G29" s="9">
        <v>4605.3798828125</v>
      </c>
      <c r="H29" s="9">
        <f t="shared" si="0"/>
        <v>6.9143836400606506E-2</v>
      </c>
      <c r="I29" s="9">
        <v>80253600000</v>
      </c>
    </row>
    <row r="30" spans="2:9" outlineLevel="1" x14ac:dyDescent="0.25">
      <c r="B30" s="98">
        <v>44501</v>
      </c>
      <c r="C30" s="9">
        <v>4610.6201171875</v>
      </c>
      <c r="D30" s="9">
        <v>4743.830078125</v>
      </c>
      <c r="E30" s="9">
        <v>4560</v>
      </c>
      <c r="F30" s="9">
        <v>4567</v>
      </c>
      <c r="G30" s="9">
        <v>4567</v>
      </c>
      <c r="H30" s="9">
        <f t="shared" si="0"/>
        <v>-8.3337061847461591E-3</v>
      </c>
      <c r="I30" s="9">
        <v>88268840000</v>
      </c>
    </row>
    <row r="31" spans="2:9" outlineLevel="1" x14ac:dyDescent="0.25">
      <c r="B31" s="98">
        <v>44531</v>
      </c>
      <c r="C31" s="9">
        <v>4602.81982421875</v>
      </c>
      <c r="D31" s="9">
        <v>4808.93017578125</v>
      </c>
      <c r="E31" s="9">
        <v>4495.1201171875</v>
      </c>
      <c r="F31" s="9">
        <v>4766.18017578125</v>
      </c>
      <c r="G31" s="9">
        <v>4766.18017578125</v>
      </c>
      <c r="H31" s="9">
        <f t="shared" si="0"/>
        <v>4.3612913462064862E-2</v>
      </c>
      <c r="I31" s="9">
        <v>92750180000</v>
      </c>
    </row>
    <row r="32" spans="2:9" outlineLevel="1" x14ac:dyDescent="0.25">
      <c r="B32" s="98">
        <v>44562</v>
      </c>
      <c r="C32" s="9">
        <v>4778.14013671875</v>
      </c>
      <c r="D32" s="9">
        <v>4818.6201171875</v>
      </c>
      <c r="E32" s="9">
        <v>4222.6201171875</v>
      </c>
      <c r="F32" s="9">
        <v>4515.5498046875</v>
      </c>
      <c r="G32" s="9">
        <v>4515.5498046875</v>
      </c>
      <c r="H32" s="9">
        <f t="shared" si="0"/>
        <v>-5.2585165027393854E-2</v>
      </c>
      <c r="I32" s="9">
        <v>95562890000</v>
      </c>
    </row>
    <row r="33" spans="2:9" outlineLevel="1" x14ac:dyDescent="0.25">
      <c r="B33" s="98">
        <v>44593</v>
      </c>
      <c r="C33" s="9">
        <v>4519.56982421875</v>
      </c>
      <c r="D33" s="9">
        <v>4595.31005859375</v>
      </c>
      <c r="E33" s="9">
        <v>4114.64990234375</v>
      </c>
      <c r="F33" s="9">
        <v>4373.93994140625</v>
      </c>
      <c r="G33" s="9">
        <v>4373.93994140625</v>
      </c>
      <c r="H33" s="9">
        <f t="shared" si="0"/>
        <v>-3.1360491945908286E-2</v>
      </c>
      <c r="I33" s="9">
        <v>92667710000</v>
      </c>
    </row>
    <row r="34" spans="2:9" outlineLevel="1" x14ac:dyDescent="0.25">
      <c r="B34" s="98">
        <v>44621</v>
      </c>
      <c r="C34" s="9">
        <v>4363.14013671875</v>
      </c>
      <c r="D34" s="9">
        <v>4637.2998046875</v>
      </c>
      <c r="E34" s="9">
        <v>4157.8701171875</v>
      </c>
      <c r="F34" s="9">
        <v>4530.41015625</v>
      </c>
      <c r="G34" s="9">
        <v>4530.41015625</v>
      </c>
      <c r="H34" s="9">
        <f t="shared" si="0"/>
        <v>3.5773288371546252E-2</v>
      </c>
      <c r="I34" s="9">
        <v>123546260000</v>
      </c>
    </row>
    <row r="35" spans="2:9" outlineLevel="1" x14ac:dyDescent="0.25">
      <c r="B35" s="98">
        <v>44652</v>
      </c>
      <c r="C35" s="9">
        <v>4540.31982421875</v>
      </c>
      <c r="D35" s="9">
        <v>4593.4501953125</v>
      </c>
      <c r="E35" s="9">
        <v>4124.27978515625</v>
      </c>
      <c r="F35" s="9">
        <v>4131.93017578125</v>
      </c>
      <c r="G35" s="9">
        <v>4131.93017578125</v>
      </c>
      <c r="H35" s="9">
        <f t="shared" si="0"/>
        <v>-8.7956711804343057E-2</v>
      </c>
      <c r="I35" s="9">
        <v>90367840000</v>
      </c>
    </row>
    <row r="36" spans="2:9" outlineLevel="1" x14ac:dyDescent="0.25">
      <c r="B36" s="98">
        <v>44682</v>
      </c>
      <c r="C36" s="9">
        <v>4130.60986328125</v>
      </c>
      <c r="D36" s="9">
        <v>4307.66015625</v>
      </c>
      <c r="E36" s="9">
        <v>3810.320068359375</v>
      </c>
      <c r="F36" s="9">
        <v>4132.14990234375</v>
      </c>
      <c r="G36" s="9">
        <v>4132.14990234375</v>
      </c>
      <c r="H36" s="9">
        <f t="shared" si="0"/>
        <v>5.3177704644635782E-5</v>
      </c>
      <c r="I36" s="9">
        <v>108860390000</v>
      </c>
    </row>
    <row r="37" spans="2:9" outlineLevel="1" x14ac:dyDescent="0.25">
      <c r="B37" s="98">
        <v>44713</v>
      </c>
      <c r="C37" s="9">
        <v>4149.77978515625</v>
      </c>
      <c r="D37" s="9">
        <v>4177.509765625</v>
      </c>
      <c r="E37" s="9">
        <v>3636.8701171875</v>
      </c>
      <c r="F37" s="9">
        <v>3785.3798828125</v>
      </c>
      <c r="G37" s="9">
        <v>3785.3798828125</v>
      </c>
      <c r="H37" s="9">
        <f t="shared" si="0"/>
        <v>-8.3919999933826817E-2</v>
      </c>
      <c r="I37" s="9">
        <v>106116710000</v>
      </c>
    </row>
    <row r="38" spans="2:9" outlineLevel="1" x14ac:dyDescent="0.25">
      <c r="B38" s="98">
        <v>44743</v>
      </c>
      <c r="C38" s="9">
        <v>3781</v>
      </c>
      <c r="D38" s="9">
        <v>4140.14990234375</v>
      </c>
      <c r="E38" s="9">
        <v>3721.56005859375</v>
      </c>
      <c r="F38" s="9">
        <v>4130.2900390625</v>
      </c>
      <c r="G38" s="9">
        <v>4130.2900390625</v>
      </c>
      <c r="H38" s="9">
        <f t="shared" si="0"/>
        <v>9.1116391730210022E-2</v>
      </c>
      <c r="I38" s="9">
        <v>81688320000</v>
      </c>
    </row>
    <row r="39" spans="2:9" outlineLevel="1" x14ac:dyDescent="0.25">
      <c r="B39" s="98">
        <v>44774</v>
      </c>
      <c r="C39" s="9">
        <v>4112.3798828125</v>
      </c>
      <c r="D39" s="9">
        <v>4325.27978515625</v>
      </c>
      <c r="E39" s="9">
        <v>3954.530029296875</v>
      </c>
      <c r="F39" s="9">
        <v>3955</v>
      </c>
      <c r="G39" s="9">
        <v>3955</v>
      </c>
      <c r="H39" s="9">
        <f t="shared" si="0"/>
        <v>-4.2440128272998368E-2</v>
      </c>
      <c r="I39" s="9">
        <v>92252350000</v>
      </c>
    </row>
    <row r="40" spans="2:9" outlineLevel="1" x14ac:dyDescent="0.25">
      <c r="B40" s="98">
        <v>44805</v>
      </c>
      <c r="C40" s="9">
        <v>3936.72998046875</v>
      </c>
      <c r="D40" s="9">
        <v>4119.27978515625</v>
      </c>
      <c r="E40" s="9">
        <v>3584.1298828125</v>
      </c>
      <c r="F40" s="9">
        <v>3585.6201171875</v>
      </c>
      <c r="G40" s="9">
        <v>3585.6201171875</v>
      </c>
      <c r="H40" s="9">
        <f t="shared" si="0"/>
        <v>-9.3395672013274367E-2</v>
      </c>
      <c r="I40" s="9">
        <v>94241020000</v>
      </c>
    </row>
    <row r="41" spans="2:9" outlineLevel="1" x14ac:dyDescent="0.25">
      <c r="B41" s="98">
        <v>44835</v>
      </c>
      <c r="C41" s="9">
        <v>3609.780029296875</v>
      </c>
      <c r="D41" s="9">
        <v>3905.419921875</v>
      </c>
      <c r="E41" s="9">
        <v>3491.580078125</v>
      </c>
      <c r="F41" s="9">
        <v>3871.97998046875</v>
      </c>
      <c r="G41" s="9">
        <v>3871.97998046875</v>
      </c>
      <c r="H41" s="9">
        <f t="shared" si="0"/>
        <v>7.9863413837008901E-2</v>
      </c>
      <c r="I41" s="9">
        <v>95823760000</v>
      </c>
    </row>
    <row r="42" spans="2:9" outlineLevel="1" x14ac:dyDescent="0.25">
      <c r="B42" s="98">
        <v>44866</v>
      </c>
      <c r="C42" s="9">
        <v>3901.7900390625</v>
      </c>
      <c r="D42" s="9">
        <v>4080.110107421875</v>
      </c>
      <c r="E42" s="9">
        <v>3698.14990234375</v>
      </c>
      <c r="F42" s="9">
        <v>4080.110107421875</v>
      </c>
      <c r="G42" s="9">
        <v>4080.110107421875</v>
      </c>
      <c r="H42" s="9">
        <f t="shared" si="0"/>
        <v>5.3752893352493114E-2</v>
      </c>
      <c r="I42" s="9">
        <v>92671910000</v>
      </c>
    </row>
    <row r="43" spans="2:9" outlineLevel="1" x14ac:dyDescent="0.25">
      <c r="B43" s="98">
        <v>44896</v>
      </c>
      <c r="C43" s="9">
        <v>4087.139892578125</v>
      </c>
      <c r="D43" s="9">
        <v>4100.9599609375</v>
      </c>
      <c r="E43" s="9">
        <v>3764.489990234375</v>
      </c>
      <c r="F43" s="9">
        <v>3839.5</v>
      </c>
      <c r="G43" s="9">
        <v>3839.5</v>
      </c>
      <c r="H43" s="9">
        <f t="shared" si="0"/>
        <v>-5.8971474074730468E-2</v>
      </c>
      <c r="I43" s="9">
        <v>85249330000</v>
      </c>
    </row>
    <row r="44" spans="2:9" outlineLevel="1" x14ac:dyDescent="0.25">
      <c r="B44" s="98">
        <v>44927</v>
      </c>
      <c r="C44" s="9">
        <v>3853.2900390625</v>
      </c>
      <c r="D44" s="9">
        <v>4094.2099609375</v>
      </c>
      <c r="E44" s="9">
        <v>3794.330078125</v>
      </c>
      <c r="F44" s="9">
        <v>4076.60009765625</v>
      </c>
      <c r="G44" s="9">
        <v>4076.60009765625</v>
      </c>
      <c r="H44" s="9">
        <f t="shared" si="0"/>
        <v>6.1752857834679098E-2</v>
      </c>
      <c r="I44" s="9">
        <v>80763810000</v>
      </c>
    </row>
    <row r="45" spans="2:9" outlineLevel="1" x14ac:dyDescent="0.25">
      <c r="B45" s="98">
        <v>44958</v>
      </c>
      <c r="C45" s="9">
        <v>4070.070068359375</v>
      </c>
      <c r="D45" s="9">
        <v>4195.43994140625</v>
      </c>
      <c r="E45" s="9">
        <v>3943.080078125</v>
      </c>
      <c r="F45" s="9">
        <v>3970.14990234375</v>
      </c>
      <c r="G45" s="9">
        <v>3970.14990234375</v>
      </c>
      <c r="H45" s="9">
        <f t="shared" si="0"/>
        <v>-2.6112493931818581E-2</v>
      </c>
      <c r="I45" s="9">
        <v>80392280000</v>
      </c>
    </row>
    <row r="46" spans="2:9" outlineLevel="1" x14ac:dyDescent="0.25">
      <c r="B46" s="98">
        <v>44986</v>
      </c>
      <c r="C46" s="9">
        <v>3963.340087890625</v>
      </c>
      <c r="D46" s="9">
        <v>4110.75</v>
      </c>
      <c r="E46" s="9">
        <v>3808.860107421875</v>
      </c>
      <c r="F46" s="9">
        <v>4109.31005859375</v>
      </c>
      <c r="G46" s="9">
        <v>4109.31005859375</v>
      </c>
      <c r="H46" s="9">
        <f t="shared" si="0"/>
        <v>3.5051612577108981E-2</v>
      </c>
      <c r="I46" s="9">
        <v>113094800000</v>
      </c>
    </row>
    <row r="47" spans="2:9" outlineLevel="1" x14ac:dyDescent="0.25">
      <c r="B47" s="98">
        <v>45017</v>
      </c>
      <c r="C47" s="9">
        <v>4102.2001953125</v>
      </c>
      <c r="D47" s="9">
        <v>4170.06005859375</v>
      </c>
      <c r="E47" s="9">
        <v>4049.35009765625</v>
      </c>
      <c r="F47" s="9">
        <v>4169.47998046875</v>
      </c>
      <c r="G47" s="9">
        <v>4169.47998046875</v>
      </c>
      <c r="H47" s="9">
        <f t="shared" si="0"/>
        <v>1.4642341662481018E-2</v>
      </c>
      <c r="I47" s="9">
        <v>70861260000</v>
      </c>
    </row>
    <row r="48" spans="2:9" outlineLevel="1" x14ac:dyDescent="0.25">
      <c r="B48" s="98">
        <v>45047</v>
      </c>
      <c r="C48" s="9">
        <v>4166.7900390625</v>
      </c>
      <c r="D48" s="9">
        <v>4231.10009765625</v>
      </c>
      <c r="E48" s="9">
        <v>4048.280029296875</v>
      </c>
      <c r="F48" s="9">
        <v>4179.830078125</v>
      </c>
      <c r="G48" s="9">
        <v>4179.830078125</v>
      </c>
      <c r="H48" s="9">
        <f t="shared" si="0"/>
        <v>2.482347368192972E-3</v>
      </c>
      <c r="I48" s="9">
        <v>88929200000</v>
      </c>
    </row>
    <row r="49" spans="2:9" outlineLevel="1" x14ac:dyDescent="0.25">
      <c r="B49" s="98">
        <v>45078</v>
      </c>
      <c r="C49" s="9">
        <v>4183.02978515625</v>
      </c>
      <c r="D49" s="9">
        <v>4458.47998046875</v>
      </c>
      <c r="E49" s="9">
        <v>4171.64013671875</v>
      </c>
      <c r="F49" s="9">
        <v>4450.3798828125</v>
      </c>
      <c r="G49" s="9">
        <v>4450.3798828125</v>
      </c>
      <c r="H49" s="9">
        <f t="shared" si="0"/>
        <v>6.4727464904234644E-2</v>
      </c>
      <c r="I49" s="9">
        <v>87983140000</v>
      </c>
    </row>
    <row r="50" spans="2:9" outlineLevel="1" x14ac:dyDescent="0.25">
      <c r="B50" s="98">
        <v>45108</v>
      </c>
      <c r="C50" s="9">
        <v>4450.47998046875</v>
      </c>
      <c r="D50" s="9">
        <v>4607.06982421875</v>
      </c>
      <c r="E50" s="9">
        <v>4385.0498046875</v>
      </c>
      <c r="F50" s="9">
        <v>4588.9599609375</v>
      </c>
      <c r="G50" s="9">
        <v>4588.9599609375</v>
      </c>
      <c r="H50" s="9">
        <f t="shared" si="0"/>
        <v>3.1138932355010862E-2</v>
      </c>
      <c r="I50" s="9">
        <v>75063200000</v>
      </c>
    </row>
    <row r="51" spans="2:9" outlineLevel="1" x14ac:dyDescent="0.25">
      <c r="B51" s="98">
        <v>45139</v>
      </c>
      <c r="C51" s="9">
        <v>4578.830078125</v>
      </c>
      <c r="D51" s="9">
        <v>4584.6201171875</v>
      </c>
      <c r="E51" s="9">
        <v>4335.31005859375</v>
      </c>
      <c r="F51" s="9">
        <v>4507.66015625</v>
      </c>
      <c r="G51" s="9">
        <v>4507.66015625</v>
      </c>
      <c r="H51" s="9">
        <f t="shared" si="0"/>
        <v>-1.7716390070854016E-2</v>
      </c>
      <c r="I51" s="9">
        <v>86840820000</v>
      </c>
    </row>
    <row r="52" spans="2:9" outlineLevel="1" x14ac:dyDescent="0.25">
      <c r="B52" s="98">
        <v>45170</v>
      </c>
      <c r="C52" s="9">
        <v>4530.60009765625</v>
      </c>
      <c r="D52" s="9">
        <v>4541.25</v>
      </c>
      <c r="E52" s="9">
        <v>4238.6298828125</v>
      </c>
      <c r="F52" s="9">
        <v>4288.0498046875</v>
      </c>
      <c r="G52" s="9">
        <v>4288.0498046875</v>
      </c>
      <c r="H52" s="9">
        <f t="shared" si="0"/>
        <v>-4.8719367465624885E-2</v>
      </c>
      <c r="I52" s="9">
        <v>73482980000</v>
      </c>
    </row>
    <row r="53" spans="2:9" outlineLevel="1" x14ac:dyDescent="0.25">
      <c r="B53" s="98">
        <v>45200</v>
      </c>
      <c r="C53" s="9">
        <v>4284.52001953125</v>
      </c>
      <c r="D53" s="9">
        <v>4393.56982421875</v>
      </c>
      <c r="E53" s="9">
        <v>4103.77978515625</v>
      </c>
      <c r="F53" s="9">
        <v>4193.7998046875</v>
      </c>
      <c r="G53" s="9">
        <v>4193.7998046875</v>
      </c>
      <c r="H53" s="9">
        <f t="shared" si="0"/>
        <v>-2.197968873798295E-2</v>
      </c>
      <c r="I53" s="9">
        <v>83519460000</v>
      </c>
    </row>
    <row r="54" spans="2:9" outlineLevel="1" x14ac:dyDescent="0.25">
      <c r="B54" s="98">
        <v>45231</v>
      </c>
      <c r="C54" s="9">
        <v>4201.27001953125</v>
      </c>
      <c r="D54" s="9">
        <v>4587.64013671875</v>
      </c>
      <c r="E54" s="9">
        <v>4197.740234375</v>
      </c>
      <c r="F54" s="9">
        <v>4567.7998046875</v>
      </c>
      <c r="G54" s="9">
        <v>4567.7998046875</v>
      </c>
      <c r="H54" s="9">
        <f t="shared" si="0"/>
        <v>8.9179268781970134E-2</v>
      </c>
      <c r="I54" s="9">
        <v>80970570000</v>
      </c>
    </row>
    <row r="55" spans="2:9" outlineLevel="1" x14ac:dyDescent="0.25">
      <c r="B55" s="98">
        <v>45261</v>
      </c>
      <c r="C55" s="9">
        <v>4559.43017578125</v>
      </c>
      <c r="D55" s="9">
        <v>4793.2998046875</v>
      </c>
      <c r="E55" s="9">
        <v>4546.5</v>
      </c>
      <c r="F55" s="9">
        <v>4769.830078125</v>
      </c>
      <c r="G55" s="9">
        <v>4769.830078125</v>
      </c>
      <c r="H55" s="9">
        <f t="shared" si="0"/>
        <v>4.4229231156360127E-2</v>
      </c>
      <c r="I55" s="9">
        <v>81530670000</v>
      </c>
    </row>
    <row r="56" spans="2:9" outlineLevel="1" x14ac:dyDescent="0.25">
      <c r="B56" s="98">
        <v>45292</v>
      </c>
      <c r="C56" s="9">
        <v>4745.2001953125</v>
      </c>
      <c r="D56" s="9">
        <v>4931.08984375</v>
      </c>
      <c r="E56" s="9">
        <v>4682.10986328125</v>
      </c>
      <c r="F56" s="9">
        <v>4845.64990234375</v>
      </c>
      <c r="G56" s="9">
        <v>4845.64990234375</v>
      </c>
      <c r="H56" s="9">
        <f t="shared" si="0"/>
        <v>1.5895707598991615E-2</v>
      </c>
      <c r="I56" s="9">
        <v>81737880000</v>
      </c>
    </row>
    <row r="57" spans="2:9" outlineLevel="1" x14ac:dyDescent="0.25">
      <c r="B57" s="98">
        <v>45323</v>
      </c>
      <c r="C57" s="9">
        <v>4861.10986328125</v>
      </c>
      <c r="D57" s="9">
        <v>5111.06005859375</v>
      </c>
      <c r="E57" s="9">
        <v>4853.52001953125</v>
      </c>
      <c r="F57" s="9">
        <v>5096.27001953125</v>
      </c>
      <c r="G57" s="9">
        <v>5096.27001953125</v>
      </c>
      <c r="H57" s="9">
        <f t="shared" si="0"/>
        <v>5.1720640623723169E-2</v>
      </c>
      <c r="I57" s="9">
        <v>82066930000</v>
      </c>
    </row>
    <row r="58" spans="2:9" outlineLevel="1" x14ac:dyDescent="0.25">
      <c r="B58" s="98">
        <v>45352</v>
      </c>
      <c r="C58" s="9">
        <v>5098.509765625</v>
      </c>
      <c r="D58" s="9">
        <v>5264.85009765625</v>
      </c>
      <c r="E58" s="9">
        <v>5056.81982421875</v>
      </c>
      <c r="F58" s="9">
        <v>5254.35009765625</v>
      </c>
      <c r="G58" s="9">
        <v>5254.35009765625</v>
      </c>
      <c r="H58" s="9">
        <f t="shared" si="0"/>
        <v>3.1018779915342964E-2</v>
      </c>
      <c r="I58" s="9">
        <v>86299510000</v>
      </c>
    </row>
    <row r="59" spans="2:9" outlineLevel="1" x14ac:dyDescent="0.25">
      <c r="B59" s="98">
        <v>45383</v>
      </c>
      <c r="C59" s="9">
        <v>5257.97021484375</v>
      </c>
      <c r="D59" s="9">
        <v>5263.9501953125</v>
      </c>
      <c r="E59" s="9">
        <v>4953.56005859375</v>
      </c>
      <c r="F59" s="9">
        <v>5035.68994140625</v>
      </c>
      <c r="G59" s="9">
        <v>5035.68994140625</v>
      </c>
      <c r="H59" s="9">
        <f t="shared" si="0"/>
        <v>-4.161507173789869E-2</v>
      </c>
      <c r="I59" s="9">
        <v>81747170000</v>
      </c>
    </row>
    <row r="60" spans="2:9" outlineLevel="1" x14ac:dyDescent="0.25">
      <c r="B60" s="98">
        <v>45413</v>
      </c>
      <c r="C60" s="9">
        <v>5029.02978515625</v>
      </c>
      <c r="D60" s="9">
        <v>5341.8798828125</v>
      </c>
      <c r="E60" s="9">
        <v>5011.0498046875</v>
      </c>
      <c r="F60" s="9">
        <v>5277.509765625</v>
      </c>
      <c r="G60" s="9">
        <v>5277.509765625</v>
      </c>
      <c r="H60" s="9">
        <f t="shared" si="0"/>
        <v>4.80211901511991E-2</v>
      </c>
      <c r="I60" s="9">
        <v>86849720000</v>
      </c>
    </row>
    <row r="61" spans="2:9" outlineLevel="1" x14ac:dyDescent="0.25">
      <c r="B61" s="98">
        <v>45444</v>
      </c>
      <c r="C61" s="9">
        <v>5297.14990234375</v>
      </c>
      <c r="D61" s="9">
        <v>5523.64013671875</v>
      </c>
      <c r="E61" s="9">
        <v>5234.31982421875</v>
      </c>
      <c r="F61" s="9">
        <v>5460.47998046875</v>
      </c>
      <c r="G61" s="9">
        <v>5460.47998046875</v>
      </c>
      <c r="H61" s="9">
        <f t="shared" si="0"/>
        <v>3.4669801283083279E-2</v>
      </c>
      <c r="I61" s="9">
        <v>76025620000</v>
      </c>
    </row>
    <row r="62" spans="2:9" outlineLevel="1" x14ac:dyDescent="0.25">
      <c r="B62" s="98">
        <v>45474</v>
      </c>
      <c r="C62" s="9">
        <v>5471.080078125</v>
      </c>
      <c r="D62" s="9">
        <v>5669.669921875</v>
      </c>
      <c r="E62" s="9">
        <v>5390.9501953125</v>
      </c>
      <c r="F62" s="9">
        <v>5522.2998046875</v>
      </c>
      <c r="G62" s="9">
        <v>5522.2998046875</v>
      </c>
      <c r="H62" s="9">
        <f t="shared" si="0"/>
        <v>1.1321316887868749E-2</v>
      </c>
      <c r="I62" s="9">
        <v>80160390000</v>
      </c>
    </row>
    <row r="63" spans="2:9" outlineLevel="1" x14ac:dyDescent="0.25">
      <c r="B63" s="98">
        <v>45505</v>
      </c>
      <c r="C63" s="9">
        <v>5537.83984375</v>
      </c>
      <c r="D63" s="9">
        <v>5651.6201171875</v>
      </c>
      <c r="E63" s="9">
        <v>5119.259765625</v>
      </c>
      <c r="F63" s="9">
        <v>5648.39990234375</v>
      </c>
      <c r="G63" s="9">
        <v>5648.39990234375</v>
      </c>
      <c r="H63" s="9">
        <f t="shared" si="0"/>
        <v>2.2834706936630367E-2</v>
      </c>
      <c r="I63" s="9">
        <v>81097300000</v>
      </c>
    </row>
    <row r="64" spans="2:9" outlineLevel="1" x14ac:dyDescent="0.25">
      <c r="B64" s="98">
        <v>45536</v>
      </c>
      <c r="C64" s="9">
        <v>5623.89013671875</v>
      </c>
      <c r="D64" s="9">
        <v>5767.3701171875</v>
      </c>
      <c r="E64" s="9">
        <v>5402.6201171875</v>
      </c>
      <c r="F64" s="9">
        <v>5762.47998046875</v>
      </c>
      <c r="G64" s="9">
        <v>5762.47998046875</v>
      </c>
      <c r="H64" s="9">
        <f t="shared" si="0"/>
        <v>2.0196884090601275E-2</v>
      </c>
      <c r="I64" s="9">
        <v>79564830000</v>
      </c>
    </row>
    <row r="65" spans="2:9" outlineLevel="1" x14ac:dyDescent="0.25">
      <c r="B65" s="98">
        <v>45566</v>
      </c>
      <c r="C65" s="9">
        <v>5757.72998046875</v>
      </c>
      <c r="D65" s="9">
        <v>5878.4599609375</v>
      </c>
      <c r="E65" s="9">
        <v>5674</v>
      </c>
      <c r="F65" s="9">
        <v>5705.4501953125</v>
      </c>
      <c r="G65" s="9">
        <v>5705.4501953125</v>
      </c>
      <c r="H65" s="9">
        <f t="shared" si="0"/>
        <v>-9.8967433031517116E-3</v>
      </c>
      <c r="I65" s="9">
        <v>82412430000</v>
      </c>
    </row>
    <row r="66" spans="2:9" outlineLevel="1" x14ac:dyDescent="0.25">
      <c r="B66" s="98">
        <v>45597</v>
      </c>
      <c r="C66" s="9">
        <v>5723.22021484375</v>
      </c>
      <c r="D66" s="9">
        <v>6044.169921875</v>
      </c>
      <c r="E66" s="9">
        <v>5696.509765625</v>
      </c>
      <c r="F66" s="9">
        <v>6032.3798828125</v>
      </c>
      <c r="G66" s="9">
        <v>6032.3798828125</v>
      </c>
      <c r="H66" s="9">
        <f t="shared" si="0"/>
        <v>5.7301295482098835E-2</v>
      </c>
      <c r="I66" s="9">
        <v>84101980000</v>
      </c>
    </row>
    <row r="67" spans="2:9" outlineLevel="1" x14ac:dyDescent="0.25">
      <c r="B67" s="112">
        <v>45627</v>
      </c>
      <c r="C67" s="9">
        <v>6040.10986328125</v>
      </c>
      <c r="D67" s="9">
        <v>6099.97021484375</v>
      </c>
      <c r="E67" s="9">
        <v>6029.89013671875</v>
      </c>
      <c r="F67" s="9">
        <v>6051.08984375</v>
      </c>
      <c r="G67" s="9">
        <v>6051.08984375</v>
      </c>
      <c r="H67" s="9">
        <f t="shared" si="0"/>
        <v>3.1015886434486717E-3</v>
      </c>
      <c r="I67" s="9">
        <v>43296835068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 Assumptions</vt:lpstr>
      <vt:lpstr>Financials</vt:lpstr>
      <vt:lpstr>DCF</vt:lpstr>
      <vt:lpstr>CAPM (Rm)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Bel</dc:creator>
  <cp:lastModifiedBy>Ayoub Bel</cp:lastModifiedBy>
  <cp:lastPrinted>2024-12-10T21:04:33Z</cp:lastPrinted>
  <dcterms:created xsi:type="dcterms:W3CDTF">2024-12-10T20:54:53Z</dcterms:created>
  <dcterms:modified xsi:type="dcterms:W3CDTF">2025-01-14T23:05:50Z</dcterms:modified>
</cp:coreProperties>
</file>