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процент" sheetId="2" r:id="rId5"/>
    <sheet state="visible" name="колво глаголов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<sst xmlns="http://schemas.openxmlformats.org/spreadsheetml/2006/main" count="8950" uniqueCount="3366">
  <si>
    <t>Reversed left context</t>
  </si>
  <si>
    <t>Reversed center</t>
  </si>
  <si>
    <t>Left context</t>
  </si>
  <si>
    <t>Center</t>
  </si>
  <si>
    <t>Punct</t>
  </si>
  <si>
    <t>Right context</t>
  </si>
  <si>
    <t>VERB</t>
  </si>
  <si>
    <t>NOUN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</si>
  <si>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</si>
  <si>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</si>
  <si>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</si>
  <si>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</si>
  <si>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</si>
  <si>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</si>
  <si>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</si>
  <si>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</si>
  <si>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</si>
  <si>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</si>
  <si>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</si>
  <si>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</si>
  <si>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</si>
  <si>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</si>
  <si>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</si>
  <si>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</si>
  <si>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</si>
  <si>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</si>
  <si>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</si>
  <si>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героям</t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</si>
  <si>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</si>
  <si>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</si>
  <si>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</si>
  <si>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</si>
  <si>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</si>
  <si>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</si>
  <si>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</si>
  <si>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</si>
  <si>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</si>
  <si>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</si>
  <si>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</si>
  <si>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</si>
  <si>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</si>
  <si>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</si>
  <si>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</si>
  <si>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</si>
  <si>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</si>
  <si>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</si>
  <si>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</si>
  <si>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</si>
  <si>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</si>
  <si>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</si>
  <si>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</si>
  <si>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</si>
  <si>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</si>
  <si>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</si>
  <si>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</si>
  <si>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</si>
  <si>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</si>
  <si>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</si>
  <si>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</si>
  <si>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</si>
  <si>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</si>
  <si>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</si>
  <si>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</si>
  <si>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сторонам</t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</si>
  <si>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</si>
  <si>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</si>
  <si>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</si>
  <si>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</si>
  <si>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</si>
  <si>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</si>
  <si>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</si>
  <si>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</si>
  <si>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</si>
  <si>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</si>
  <si>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</si>
  <si>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</si>
  <si>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</si>
  <si>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отсутствию</t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</si>
  <si>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</si>
  <si>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</si>
  <si>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</si>
  <si>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</si>
  <si>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</si>
  <si>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</si>
  <si>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</si>
  <si>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</si>
  <si>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жизни</t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</si>
  <si>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</si>
  <si>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</si>
  <si>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</si>
  <si>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</si>
  <si>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</si>
  <si>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</si>
  <si>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</si>
  <si>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</si>
  <si>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</si>
  <si>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</si>
  <si>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</si>
  <si>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</si>
  <si>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девке</t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</si>
  <si>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</si>
  <si>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</si>
  <si>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</si>
  <si>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</si>
  <si>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</si>
  <si>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</si>
  <si>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</si>
  <si>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</si>
  <si>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</si>
  <si>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НТВ</t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</si>
  <si>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</si>
  <si>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</si>
  <si>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</si>
  <si>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</si>
  <si>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</si>
  <si>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</si>
  <si>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</si>
  <si>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</si>
  <si>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</si>
  <si>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</si>
  <si>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</si>
  <si>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</si>
  <si>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развязности</t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</si>
  <si>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</si>
  <si>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</si>
  <si>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</si>
  <si>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</si>
  <si>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</si>
  <si>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</si>
  <si>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</si>
  <si>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</si>
  <si>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</si>
  <si>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</si>
  <si>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</si>
  <si>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</si>
  <si>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гостям</t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</si>
  <si>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</si>
  <si>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</si>
  <si>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</si>
  <si>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</si>
  <si>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</si>
  <si>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</si>
  <si>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</si>
  <si>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</si>
  <si>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</si>
  <si>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</si>
  <si>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</si>
  <si>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</si>
  <si>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делу</t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</si>
  <si>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</si>
  <si>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</si>
  <si>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</si>
  <si>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</si>
  <si>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</si>
  <si>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</si>
  <si>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</si>
  <si>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</si>
  <si>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</si>
  <si>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</si>
  <si>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</si>
  <si>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росту</t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</si>
  <si>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</si>
  <si>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</si>
  <si>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</si>
  <si>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</si>
  <si>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</si>
  <si>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</si>
  <si>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</si>
  <si>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</si>
  <si>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</si>
  <si>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</si>
  <si>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</si>
  <si>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</si>
  <si>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судам</t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</si>
  <si>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</si>
  <si>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</si>
  <si>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</si>
  <si>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</si>
  <si>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</si>
  <si>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</si>
  <si>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</si>
  <si>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</si>
  <si>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</si>
  <si>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</si>
  <si>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</si>
  <si>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мудрости</t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</si>
  <si>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</si>
  <si>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</si>
  <si>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</si>
  <si>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</si>
  <si>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</si>
  <si>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</si>
  <si>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</si>
  <si>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</si>
  <si>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</si>
  <si>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</si>
  <si>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</si>
  <si>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</si>
  <si>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</si>
  <si>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СПС</t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</si>
  <si>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</si>
  <si>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</si>
  <si>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</si>
  <si>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</si>
  <si>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</si>
  <si>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</si>
  <si>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</si>
  <si>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</si>
  <si>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</si>
  <si>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</si>
  <si>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</si>
  <si>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</si>
  <si>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муравью</t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</si>
  <si>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</si>
  <si>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</si>
  <si>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</si>
  <si>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</si>
  <si>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</si>
  <si>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</si>
  <si>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</si>
  <si>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</si>
  <si>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</si>
  <si>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</si>
  <si>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</si>
  <si>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</si>
  <si>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</si>
  <si>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</si>
  <si>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</si>
  <si>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исполнению</t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</si>
  <si>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</si>
  <si>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</si>
  <si>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</si>
  <si>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</si>
  <si>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</si>
  <si>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</si>
  <si>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</si>
  <si>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</si>
  <si>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</si>
  <si>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</si>
  <si>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</si>
  <si>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</si>
  <si>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</si>
  <si>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ажиотажу</t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</si>
  <si>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</si>
  <si>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</si>
  <si>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</si>
  <si>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</si>
  <si>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</si>
  <si>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</si>
  <si>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</si>
  <si>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</si>
  <si>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</si>
  <si>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</si>
  <si>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</si>
  <si>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</si>
  <si>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</si>
  <si>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</si>
  <si>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</si>
  <si>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</si>
  <si>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</si>
  <si>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</si>
  <si>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</si>
  <si>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</si>
  <si>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</si>
  <si>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</si>
  <si>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Галине</t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</si>
  <si>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</si>
  <si>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</si>
  <si>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</si>
  <si>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</si>
  <si>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</si>
  <si>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</si>
  <si>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</si>
  <si>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</si>
  <si>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</si>
  <si>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</si>
  <si>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</si>
  <si>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</si>
  <si>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</si>
  <si>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слову</t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</si>
  <si>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</si>
  <si>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</si>
  <si>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</si>
  <si>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</si>
  <si>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</si>
  <si>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</si>
  <si>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</si>
  <si>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</si>
  <si>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</si>
  <si>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</si>
  <si>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</si>
  <si>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</si>
  <si>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встрече</t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</si>
  <si>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</si>
  <si>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</si>
  <si>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</si>
  <si>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</si>
  <si>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</si>
  <si>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</si>
  <si>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</si>
  <si>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</si>
  <si>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</si>
  <si>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</si>
  <si>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</si>
  <si>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</si>
  <si>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</si>
  <si>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красоте</t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</si>
  <si>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</si>
  <si>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</si>
  <si>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</si>
  <si>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</si>
  <si>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</si>
  <si>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</si>
  <si>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</si>
  <si>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</si>
  <si>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</si>
  <si>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девчаткам</t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</si>
  <si>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</si>
  <si>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</si>
  <si>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</si>
  <si>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</si>
  <si>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</si>
  <si>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</si>
  <si>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</si>
  <si>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</si>
  <si>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</si>
  <si>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</si>
  <si>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</si>
  <si>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</si>
  <si>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китам</t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</si>
  <si>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</si>
  <si>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</si>
  <si>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</si>
  <si>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</si>
  <si>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</si>
  <si>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</si>
  <si>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</si>
  <si>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</si>
  <si>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терактам</t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</si>
  <si>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</si>
  <si>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</si>
  <si>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</si>
  <si>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</si>
  <si>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</si>
  <si>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</si>
  <si>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</si>
  <si>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</si>
  <si>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</si>
  <si>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</si>
  <si>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предложению</t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</si>
  <si>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</si>
  <si>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</si>
  <si>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</si>
  <si>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</si>
  <si>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</si>
  <si>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</si>
  <si>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</si>
  <si>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</si>
  <si>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</si>
  <si>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</si>
  <si>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мощи</t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</si>
  <si>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</si>
  <si>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</si>
  <si>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</si>
  <si>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</si>
  <si>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</si>
  <si>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</si>
  <si>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</si>
  <si>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</si>
  <si>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</si>
  <si>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</si>
  <si>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</si>
  <si>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</si>
  <si>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t>матери</t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</si>
  <si>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</si>
  <si>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</si>
  <si>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</si>
  <si>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</si>
  <si>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t>одеждам</t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</si>
  <si>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</si>
  <si>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</si>
  <si>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</si>
  <si>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</si>
  <si>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</si>
  <si>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</si>
  <si>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t>метаморфозе</t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</si>
  <si>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</si>
  <si>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</si>
  <si>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</si>
  <si>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</si>
  <si>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полноте</t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</si>
  <si>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</si>
  <si>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</si>
  <si>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</si>
  <si>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</si>
  <si>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</si>
  <si>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</si>
  <si>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</si>
  <si>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</si>
  <si>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</si>
  <si>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</si>
  <si>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t>возможности</t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</si>
  <si>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</si>
  <si>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</si>
  <si>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</si>
  <si>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</si>
  <si>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узнаванию</t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</si>
  <si>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</si>
  <si>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</si>
  <si>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</si>
  <si>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</si>
  <si>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</si>
  <si>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</si>
  <si>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</si>
  <si>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</si>
  <si>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</si>
  <si>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</si>
  <si>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приключению</t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</si>
  <si>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</si>
  <si>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</si>
  <si>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</si>
  <si>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</si>
  <si>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t>лёгкости</t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</si>
  <si>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</si>
  <si>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</si>
  <si>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</si>
  <si>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</si>
  <si>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t>богатству</t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</si>
  <si>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</si>
  <si>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</si>
  <si>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</si>
  <si>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</si>
  <si>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t>Тане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</si>
  <si>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</si>
  <si>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</si>
  <si>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</si>
  <si>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</si>
  <si>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</si>
  <si>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</si>
  <si>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t>состоянию</t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</si>
  <si>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</si>
  <si>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</si>
  <si>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</si>
  <si>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</si>
  <si>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</si>
  <si>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</si>
  <si>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>Жене</t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</si>
  <si>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</si>
  <si>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</si>
  <si>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</si>
  <si>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</si>
  <si>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удаче</t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</si>
  <si>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</si>
  <si>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</si>
  <si>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</si>
  <si>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</si>
  <si>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</si>
  <si>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</si>
  <si>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</si>
  <si>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</si>
  <si>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</si>
  <si>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</si>
  <si>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</si>
  <si>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</si>
  <si>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</si>
  <si>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женщине</t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</si>
  <si>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</si>
  <si>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</si>
  <si>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</si>
  <si>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</si>
  <si>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</si>
  <si>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</si>
  <si>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t>отцу</t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</si>
  <si>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</si>
  <si>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</si>
  <si>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</si>
  <si>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</si>
  <si>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каникулам</t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</si>
  <si>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</si>
  <si>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</si>
  <si>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</si>
  <si>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</si>
  <si>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</si>
  <si>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</si>
  <si>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</si>
  <si>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</si>
  <si>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</si>
  <si>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обустройству</t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</si>
  <si>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</si>
  <si>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</si>
  <si>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</si>
  <si>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</si>
  <si>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</si>
  <si>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</si>
  <si>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</si>
  <si>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</si>
  <si>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</si>
  <si>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лопате</t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</si>
  <si>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</si>
  <si>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</si>
  <si>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</si>
  <si>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</si>
  <si>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</si>
  <si>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</si>
  <si>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</si>
  <si>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</si>
  <si>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</si>
  <si>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t>приобретению</t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</si>
  <si>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</si>
  <si>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</si>
  <si>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</si>
  <si>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</si>
  <si>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</si>
  <si>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</si>
  <si>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искусству</t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</si>
  <si>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</si>
  <si>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</si>
  <si>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</si>
  <si>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</si>
  <si>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</si>
  <si>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</si>
  <si>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</si>
  <si>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успехам</t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</si>
  <si>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</si>
  <si>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</si>
  <si>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</si>
  <si>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</si>
  <si>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</si>
  <si>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</si>
  <si>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</si>
  <si>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</si>
  <si>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вопросу</t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</si>
  <si>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</si>
  <si>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</si>
  <si>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</si>
  <si>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</si>
  <si>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</si>
  <si>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</si>
  <si>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</si>
  <si>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</si>
  <si>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</si>
  <si>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</si>
  <si>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t>приходу</t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</si>
  <si>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</si>
  <si>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</si>
  <si>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</si>
  <si>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</si>
  <si>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</si>
  <si>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</si>
  <si>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офицерам</t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</si>
  <si>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</si>
  <si>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</si>
  <si>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</si>
  <si>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</si>
  <si>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</si>
  <si>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</si>
  <si>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</si>
  <si>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</si>
  <si>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</si>
  <si>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</si>
  <si>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t>сыну</t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</si>
  <si>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</si>
  <si>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</si>
  <si>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</si>
  <si>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</si>
  <si>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ходу</t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</si>
  <si>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</si>
  <si>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</si>
  <si>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</si>
  <si>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</si>
  <si>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</si>
  <si>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</si>
  <si>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</si>
  <si>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</si>
  <si>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>случаю</t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</si>
  <si>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</si>
  <si>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</si>
  <si>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</si>
  <si>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</si>
  <si>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</si>
  <si>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</si>
  <si>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</si>
  <si>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</si>
  <si>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</si>
  <si>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</si>
  <si>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</si>
  <si>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</si>
  <si>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</si>
  <si>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</si>
  <si>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</si>
  <si>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</si>
  <si>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освобождению</t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</si>
  <si>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</si>
  <si>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</si>
  <si>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</si>
  <si>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</si>
  <si>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</si>
  <si>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</si>
  <si>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</si>
  <si>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</si>
  <si>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</si>
  <si>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оплошке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</si>
  <si>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</si>
  <si>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</si>
  <si>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</si>
  <si>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</si>
  <si>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</si>
  <si>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</si>
  <si>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</si>
  <si>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</si>
  <si>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</si>
  <si>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</si>
  <si>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</si>
  <si>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</si>
  <si>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больным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</si>
  <si>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</si>
  <si>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</si>
  <si>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</si>
  <si>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</si>
  <si>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</si>
  <si>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</si>
  <si>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</si>
  <si>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</si>
  <si>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</si>
  <si>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</si>
  <si>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</si>
  <si>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</si>
  <si>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</si>
  <si>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t>психиатру</t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</si>
  <si>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</si>
  <si>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</si>
  <si>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</si>
  <si>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</si>
  <si>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</si>
  <si>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</si>
  <si>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>супругам</t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</si>
  <si>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</si>
  <si>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</si>
  <si>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</si>
  <si>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</si>
  <si>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</si>
  <si>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</si>
  <si>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</si>
  <si>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</si>
  <si>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</si>
  <si>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</si>
  <si>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</si>
  <si>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</si>
  <si>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</si>
  <si>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</si>
  <si>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</si>
  <si>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t>чудесам</t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</si>
  <si>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</si>
  <si>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</si>
  <si>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</si>
  <si>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</si>
  <si>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</si>
  <si>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</si>
  <si>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t>окружающим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</si>
  <si>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</si>
  <si>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</si>
  <si>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</si>
  <si>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</si>
  <si>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</si>
  <si>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</si>
  <si>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возмездию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</si>
  <si>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</si>
  <si>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</si>
  <si>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</si>
  <si>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</si>
  <si>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крепости</t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</si>
  <si>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</si>
  <si>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</si>
  <si>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</si>
  <si>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</si>
  <si>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</si>
  <si>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</si>
  <si>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</si>
  <si>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</si>
  <si>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</si>
  <si>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</si>
  <si>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t>жителям</t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</si>
  <si>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</si>
  <si>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</si>
  <si>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</si>
  <si>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</si>
  <si>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</si>
  <si>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</si>
  <si>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отпору</t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</si>
  <si>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</si>
  <si>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</si>
  <si>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</si>
  <si>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</si>
  <si>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</si>
  <si>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</si>
  <si>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</si>
  <si>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</si>
  <si>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</si>
  <si>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</si>
  <si>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</si>
  <si>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</si>
  <si>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</si>
  <si>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>движению</t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</si>
  <si>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</si>
  <si>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</si>
  <si>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</si>
  <si>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</si>
  <si>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</si>
  <si>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</si>
  <si>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</si>
  <si>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пробуждению</t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</si>
  <si>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</si>
  <si>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</si>
  <si>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</si>
  <si>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</si>
  <si>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</si>
  <si>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</si>
  <si>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</si>
  <si>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</si>
  <si>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</si>
  <si>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</si>
  <si>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</si>
  <si>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</si>
  <si>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t>Аркадию</t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</si>
  <si>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</si>
  <si>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</si>
  <si>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</si>
  <si>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</si>
  <si>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признакам</t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</si>
  <si>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</si>
  <si>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</si>
  <si>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</si>
  <si>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</si>
  <si>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</si>
  <si>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</si>
  <si>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</si>
  <si>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</si>
  <si>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</si>
  <si>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</si>
  <si>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убийцам</t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</si>
  <si>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</si>
  <si>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</si>
  <si>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</si>
  <si>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</si>
  <si>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</si>
  <si>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</si>
  <si>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</si>
  <si>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</si>
  <si>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</si>
  <si>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</si>
  <si>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</si>
  <si>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приказу</t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</si>
  <si>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</si>
  <si>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</si>
  <si>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</si>
  <si>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</si>
  <si>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</si>
  <si>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</si>
  <si>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</si>
  <si>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</si>
  <si>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папе</t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</si>
  <si>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</si>
  <si>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</si>
  <si>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</si>
  <si>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</si>
  <si>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</si>
  <si>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</si>
  <si>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</si>
  <si>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</si>
  <si>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</si>
  <si>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</si>
  <si>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</si>
  <si>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</si>
  <si>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t>партизанам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</si>
  <si>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</si>
  <si>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</si>
  <si>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</si>
  <si>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</si>
  <si>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</si>
  <si>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</si>
  <si>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слонёнку</t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</si>
  <si>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</si>
  <si>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</si>
  <si>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</si>
  <si>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</si>
  <si>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</si>
  <si>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</si>
  <si>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</si>
  <si>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</si>
  <si>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</si>
  <si>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подлецам</t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</si>
  <si>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</si>
  <si>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</si>
  <si>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</si>
  <si>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</si>
  <si>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</si>
  <si>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</si>
  <si>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</si>
  <si>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</si>
  <si>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</si>
  <si>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</si>
  <si>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t>девчонке</t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</si>
  <si>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</si>
  <si>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</si>
  <si>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</si>
  <si>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</si>
  <si>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Егору</t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</si>
  <si>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</si>
  <si>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</si>
  <si>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</si>
  <si>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</si>
  <si>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</si>
  <si>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</si>
  <si>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</si>
  <si>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</si>
  <si>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</si>
  <si>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</si>
  <si>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</si>
  <si>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</si>
  <si>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домохозяйкам</t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</si>
  <si>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</si>
  <si>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</si>
  <si>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</si>
  <si>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</si>
  <si>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</si>
  <si>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</si>
  <si>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</si>
  <si>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</si>
  <si>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</si>
  <si>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</si>
  <si>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</si>
  <si>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</si>
  <si>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</si>
  <si>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</si>
  <si>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</si>
  <si>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воле</t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</si>
  <si>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</si>
  <si>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</si>
  <si>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</si>
  <si>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</si>
  <si>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</si>
  <si>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</si>
  <si>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</si>
  <si>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</si>
  <si>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</si>
  <si>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злости</t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</si>
  <si>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</si>
  <si>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</si>
  <si>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</si>
  <si>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</si>
  <si>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</si>
  <si>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</si>
  <si>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</si>
  <si>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</si>
  <si>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</si>
  <si>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Дмитриеву</t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</si>
  <si>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</si>
  <si>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</si>
  <si>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</si>
  <si>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</si>
  <si>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</si>
  <si>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</si>
  <si>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</si>
  <si>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солнцу</t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</si>
  <si>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</si>
  <si>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</si>
  <si>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</si>
  <si>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</si>
  <si>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</si>
  <si>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</si>
  <si>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</si>
  <si>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</si>
  <si>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</si>
  <si>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</si>
  <si>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Осколупову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</si>
  <si>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</si>
  <si>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</si>
  <si>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</si>
  <si>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</si>
  <si>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</si>
  <si>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</si>
  <si>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</si>
  <si>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</si>
  <si>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</si>
  <si>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одинаковости</t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</si>
  <si>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</si>
  <si>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</si>
  <si>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</si>
  <si>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</si>
  <si>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</si>
  <si>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</si>
  <si>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</si>
  <si>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</si>
  <si>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</si>
  <si>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</si>
  <si>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</si>
  <si>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</si>
  <si>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</si>
  <si>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</si>
  <si>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</si>
  <si>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прокурору</t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</si>
  <si>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</si>
  <si>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</si>
  <si>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</si>
  <si>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</si>
  <si>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</si>
  <si>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</si>
  <si>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</si>
  <si>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чувству</t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</si>
  <si>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</si>
  <si>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</si>
  <si>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</si>
  <si>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</si>
  <si>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</si>
  <si>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</si>
  <si>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</si>
  <si>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</si>
  <si>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</si>
  <si>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t>покою</t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</si>
  <si>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</si>
  <si>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</si>
  <si>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</si>
  <si>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</si>
  <si>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</si>
  <si>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</si>
  <si>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t>детям</t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</si>
  <si>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</si>
  <si>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</si>
  <si>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</si>
  <si>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</si>
  <si>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Шухову</t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</si>
  <si>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</si>
  <si>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</si>
  <si>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</si>
  <si>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</si>
  <si>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</si>
  <si>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</si>
  <si>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</si>
  <si>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</si>
  <si>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</si>
  <si>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</si>
  <si>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</si>
  <si>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</si>
  <si>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занятию</t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</si>
  <si>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</si>
  <si>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</si>
  <si>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</si>
  <si>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</si>
  <si>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</si>
  <si>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</si>
  <si>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</si>
  <si>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</si>
  <si>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t>молодёжи</t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</si>
  <si>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</si>
  <si>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</si>
  <si>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</si>
  <si>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</si>
  <si>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малому</t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</si>
  <si>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</si>
  <si>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</si>
  <si>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</si>
  <si>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</si>
  <si>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</si>
  <si>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</si>
  <si>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</si>
  <si>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</si>
  <si>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</si>
  <si>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</si>
  <si>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>прочности</t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</si>
  <si>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</si>
  <si>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</si>
  <si>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</si>
  <si>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</si>
  <si>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>телу</t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</si>
  <si>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</si>
  <si>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</si>
  <si>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</si>
  <si>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</si>
  <si>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</si>
  <si>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</si>
  <si>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</si>
  <si>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</si>
  <si>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</si>
  <si>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</si>
  <si>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</si>
  <si>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</si>
  <si>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>Крымову</t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</si>
  <si>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</si>
  <si>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</si>
  <si>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</si>
  <si>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</si>
  <si>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t>успеху</t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</si>
  <si>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</si>
  <si>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</si>
  <si>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</si>
  <si>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</si>
  <si>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</si>
  <si>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</si>
  <si>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подаркам</t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</si>
  <si>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</si>
  <si>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</si>
  <si>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</si>
  <si>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</si>
  <si>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</si>
  <si>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</si>
  <si>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</si>
  <si>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</si>
  <si>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t>теплу</t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</si>
  <si>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</si>
  <si>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</si>
  <si>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</si>
  <si>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</si>
  <si>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избавлению</t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</si>
  <si>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</si>
  <si>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</si>
  <si>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</si>
  <si>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</si>
  <si>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</si>
  <si>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</si>
  <si>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t>торжеству</t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</si>
  <si>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</si>
  <si>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</si>
  <si>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</si>
  <si>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t>победе</t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</si>
  <si>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</si>
  <si>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</si>
  <si>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</si>
  <si>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</si>
  <si>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</si>
  <si>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</si>
  <si>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</si>
  <si>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</si>
  <si>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</si>
  <si>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</si>
  <si>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предлогу</t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</si>
  <si>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</si>
  <si>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</si>
  <si>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</si>
  <si>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</si>
  <si>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</si>
  <si>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</si>
  <si>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</si>
  <si>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</si>
  <si>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t>Ланэ</t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</si>
  <si>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</si>
  <si>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</si>
  <si>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</si>
  <si>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</si>
  <si>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</si>
  <si>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</si>
  <si>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</si>
  <si>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</si>
  <si>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предмету</t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</si>
  <si>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</si>
  <si>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</si>
  <si>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</si>
  <si>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</si>
  <si>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</si>
  <si>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</si>
  <si>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</si>
  <si>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</si>
  <si>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</si>
  <si>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недоумению</t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</si>
  <si>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</si>
  <si>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</si>
  <si>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</si>
  <si>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</si>
  <si>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</si>
  <si>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</si>
  <si>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</si>
  <si>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</si>
  <si>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</si>
  <si>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</si>
  <si>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</si>
  <si>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товарищу</t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</si>
  <si>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</si>
  <si>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</si>
  <si>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</si>
  <si>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</si>
  <si>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</si>
  <si>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</si>
  <si>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</si>
  <si>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</si>
  <si>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</si>
  <si>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</si>
  <si>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</si>
  <si>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</si>
  <si>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t>осведомлённости</t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</si>
  <si>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</si>
  <si>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</si>
  <si>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</si>
  <si>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</si>
  <si>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</si>
  <si>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</si>
  <si>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>контрамарке</t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</si>
  <si>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</si>
  <si>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</si>
  <si>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</si>
  <si>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</si>
  <si>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>перемене</t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</si>
  <si>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</si>
  <si>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</si>
  <si>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</si>
  <si>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</si>
  <si>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>гостю</t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</si>
  <si>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</si>
  <si>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</si>
  <si>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</si>
  <si>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</si>
  <si>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солнышку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</si>
  <si>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</si>
  <si>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</si>
  <si>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</si>
  <si>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</si>
  <si>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</si>
  <si>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</si>
  <si>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</si>
  <si>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</si>
  <si>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</si>
  <si>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</si>
  <si>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мысли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</si>
  <si>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</si>
  <si>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</si>
  <si>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</si>
  <si>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</si>
  <si>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</si>
  <si>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</si>
  <si>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</si>
  <si>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</si>
  <si>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</si>
  <si>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</si>
  <si>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</si>
  <si>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</si>
  <si>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крестьянам</t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</si>
  <si>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</si>
  <si>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</si>
  <si>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</si>
  <si>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</si>
  <si>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</si>
  <si>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</si>
  <si>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</si>
  <si>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</si>
  <si>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</si>
  <si>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</si>
  <si>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затее</t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</si>
  <si>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</si>
  <si>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</si>
  <si>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</si>
  <si>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</si>
  <si>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</si>
  <si>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</si>
  <si>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</si>
  <si>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</si>
  <si>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живучести</t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</si>
  <si>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</si>
  <si>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</si>
  <si>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</si>
  <si>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</si>
  <si>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</si>
  <si>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</si>
  <si>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</si>
  <si>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</si>
  <si>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подарку</t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</si>
  <si>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</si>
  <si>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</si>
  <si>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</si>
  <si>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</si>
  <si>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</si>
  <si>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</si>
  <si>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</si>
  <si>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</si>
  <si>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</si>
  <si>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</si>
  <si>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блузочкам</t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</si>
  <si>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</si>
  <si>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</si>
  <si>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</si>
  <si>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</si>
  <si>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</si>
  <si>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</si>
  <si>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</si>
  <si>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</si>
  <si>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</si>
  <si>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</si>
  <si>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смерти</t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</si>
  <si>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</si>
  <si>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</si>
  <si>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</si>
  <si>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</si>
  <si>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</si>
  <si>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</si>
  <si>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</si>
  <si>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</si>
  <si>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</si>
  <si>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</si>
  <si>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</si>
  <si>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</si>
  <si>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</si>
  <si>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</si>
  <si>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</si>
  <si>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</si>
  <si>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</si>
  <si>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</si>
  <si>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</si>
  <si>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</si>
  <si>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</si>
  <si>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прислуге</t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</si>
  <si>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</si>
  <si>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</si>
  <si>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</si>
  <si>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</si>
  <si>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</si>
  <si>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</si>
  <si>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</si>
  <si>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</si>
  <si>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Льву</t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</si>
  <si>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</si>
  <si>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</si>
  <si>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</si>
  <si>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</si>
  <si>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</si>
  <si>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</si>
  <si>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</si>
  <si>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</si>
  <si>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</si>
  <si>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</si>
  <si>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водке</t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</si>
  <si>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</si>
  <si>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</si>
  <si>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</si>
  <si>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</si>
  <si>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</si>
  <si>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</si>
  <si>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</si>
  <si>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</si>
  <si>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</si>
  <si>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</si>
  <si>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</si>
  <si>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</si>
  <si>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</si>
  <si>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</si>
  <si>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</si>
  <si>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</si>
  <si>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</si>
  <si>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</si>
  <si>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</si>
  <si>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</si>
  <si>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</si>
  <si>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</si>
  <si>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</si>
  <si>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</si>
  <si>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</si>
  <si>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</si>
  <si>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</si>
  <si>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</si>
  <si>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</si>
  <si>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</si>
  <si>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</si>
  <si>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</si>
  <si>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</si>
  <si>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</si>
  <si>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</si>
  <si>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</si>
  <si>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</si>
  <si>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</si>
  <si>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</si>
  <si>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</si>
  <si>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</si>
  <si>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t>полиции</t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</si>
  <si>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</si>
  <si>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</si>
  <si>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</si>
  <si>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</si>
  <si>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</si>
  <si>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</si>
  <si>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внукам</t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</si>
  <si>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</si>
  <si>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</si>
  <si>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</si>
  <si>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</si>
  <si>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</si>
  <si>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</si>
  <si>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</si>
  <si>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</si>
  <si>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</si>
  <si>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</si>
  <si>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</si>
  <si>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</si>
  <si>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</si>
  <si>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</si>
  <si>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</si>
  <si>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</si>
  <si>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</si>
  <si>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</si>
  <si>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</si>
  <si>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</si>
  <si>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</si>
  <si>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</si>
  <si>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</si>
  <si>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</si>
  <si>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</si>
  <si>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</si>
  <si>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t>премудрости</t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</si>
  <si>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</si>
  <si>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</si>
  <si>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</si>
  <si>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</si>
  <si>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</si>
  <si>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</si>
  <si>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>красоте-то</t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</si>
  <si>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</si>
  <si>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</si>
  <si>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</si>
  <si>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</si>
  <si>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</si>
  <si>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</si>
  <si>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смышлёности</t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</si>
  <si>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</si>
  <si>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</si>
  <si>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</si>
  <si>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</si>
  <si>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</si>
  <si>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</si>
  <si>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</si>
  <si>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</si>
  <si>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</si>
  <si>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</si>
  <si>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</si>
  <si>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</si>
  <si>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появлению</t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</si>
  <si>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</si>
  <si>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</si>
  <si>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</si>
  <si>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</si>
  <si>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</si>
  <si>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</si>
  <si>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</si>
  <si>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</si>
  <si>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</si>
  <si>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</si>
  <si>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</si>
  <si>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чертам</t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</si>
  <si>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</si>
  <si>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</si>
  <si>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</si>
  <si>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</si>
  <si>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</si>
  <si>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</si>
  <si>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</si>
  <si>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</si>
  <si>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</si>
  <si>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</si>
  <si>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опыту</t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</si>
  <si>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</si>
  <si>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</si>
  <si>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</si>
  <si>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</si>
  <si>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</si>
  <si>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</si>
  <si>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</si>
  <si>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</si>
  <si>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</si>
  <si>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</si>
  <si>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</si>
  <si>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</si>
  <si>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</si>
  <si>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людям</t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</si>
  <si>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</si>
  <si>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</si>
  <si>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</si>
  <si>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</si>
  <si>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</si>
  <si>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</si>
  <si>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</si>
  <si>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</si>
  <si>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</si>
  <si>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</si>
  <si>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</si>
  <si>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</si>
  <si>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</si>
  <si>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</si>
  <si>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</si>
  <si>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</si>
  <si>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</si>
  <si>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</si>
  <si>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</si>
  <si>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</si>
  <si>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</si>
  <si>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</si>
  <si>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</si>
  <si>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</si>
  <si>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</si>
  <si>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</si>
  <si>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исступлению</t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</si>
  <si>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</si>
  <si>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</si>
  <si>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</si>
  <si>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</si>
  <si>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</si>
  <si>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</si>
  <si>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</si>
  <si>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господину</t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</si>
  <si>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</si>
  <si>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</si>
  <si>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</si>
  <si>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</si>
  <si>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</si>
  <si>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</si>
  <si>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</si>
  <si>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</si>
  <si>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</si>
  <si>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</si>
  <si>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сновидению</t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</si>
  <si>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</si>
  <si>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</si>
  <si>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</si>
  <si>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</si>
  <si>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</si>
  <si>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</si>
  <si>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</si>
  <si>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</si>
  <si>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</si>
  <si>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</si>
  <si>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</si>
  <si>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</si>
  <si>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великости</t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</si>
  <si>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</si>
  <si>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</si>
  <si>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</si>
  <si>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</si>
  <si>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</si>
  <si>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</si>
  <si>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</si>
  <si>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</si>
  <si>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</si>
  <si>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</si>
  <si>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веселью</t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</si>
  <si>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</si>
  <si>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</si>
  <si>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</si>
  <si>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</si>
  <si>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</si>
  <si>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</si>
  <si>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</si>
  <si>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</si>
  <si>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</si>
  <si>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</si>
  <si>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</si>
  <si>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</si>
  <si>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словам</t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</si>
  <si>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</si>
  <si>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</si>
  <si>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</si>
  <si>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</si>
  <si>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</si>
  <si>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</si>
  <si>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</si>
  <si>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</si>
  <si>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</si>
  <si>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</si>
  <si>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команде</t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</si>
  <si>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</si>
  <si>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</si>
  <si>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</si>
  <si>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</si>
  <si>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</si>
  <si>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</si>
  <si>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</si>
  <si>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</si>
  <si>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</si>
  <si>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</si>
  <si>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</si>
  <si>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t>песни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</si>
  <si>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</si>
  <si>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</si>
  <si>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</si>
  <si>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</si>
  <si>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справедливости</t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</si>
  <si>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</si>
  <si>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</si>
  <si>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</si>
  <si>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</si>
  <si>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</si>
  <si>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</si>
  <si>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</si>
  <si>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</si>
  <si>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человеку</t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</si>
  <si>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</si>
  <si>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</si>
  <si>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</si>
  <si>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</si>
  <si>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</si>
  <si>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</si>
  <si>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</si>
  <si>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</si>
  <si>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t>страданиям</t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</si>
  <si>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</si>
  <si>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</si>
  <si>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</si>
  <si>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</si>
  <si>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</si>
  <si>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</si>
  <si>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</si>
  <si>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</si>
  <si>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</si>
  <si>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</si>
  <si>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</si>
  <si>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</si>
  <si>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</si>
  <si>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</si>
  <si>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Германию</t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</si>
  <si>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</si>
  <si>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</si>
  <si>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</si>
  <si>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</si>
  <si>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</si>
  <si>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</si>
  <si>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</si>
  <si>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тому</t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</si>
  <si>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</si>
  <si>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</si>
  <si>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</si>
  <si>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</si>
  <si>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</si>
  <si>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</si>
  <si>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</si>
  <si>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</si>
  <si>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</si>
  <si>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</si>
  <si>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</si>
  <si>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</si>
  <si>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реакции</t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</si>
  <si>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</si>
  <si>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</si>
  <si>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</si>
  <si>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</si>
  <si>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</si>
  <si>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</si>
  <si>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</si>
  <si>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</si>
  <si>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</si>
  <si>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</si>
  <si>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станции</t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</si>
  <si>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</si>
  <si>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</si>
  <si>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</si>
  <si>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</si>
  <si>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</si>
  <si>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</si>
  <si>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</si>
  <si>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</si>
  <si>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</si>
  <si>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</si>
  <si>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</si>
  <si>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</si>
  <si>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</si>
  <si>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</si>
  <si>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</si>
  <si>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</si>
  <si>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</si>
  <si>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</si>
  <si>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банальности</t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</si>
  <si>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</si>
  <si>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</si>
  <si>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</si>
  <si>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</si>
  <si>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</si>
  <si>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</si>
  <si>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</si>
  <si>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</si>
  <si>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</si>
  <si>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>тишину</t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</si>
  <si>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</si>
  <si>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</si>
  <si>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</si>
  <si>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</si>
  <si>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</si>
  <si>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</si>
  <si>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улыбчивости</t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</si>
  <si>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</si>
  <si>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</si>
  <si>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</si>
  <si>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</si>
  <si>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</si>
  <si>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</si>
  <si>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</si>
  <si>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</si>
  <si>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</si>
  <si>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</si>
  <si>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</si>
  <si>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</si>
  <si>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</si>
  <si>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</si>
  <si>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t>Ангелину</t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</si>
  <si>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</si>
  <si>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</si>
  <si>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</si>
  <si>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</si>
  <si>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</si>
  <si>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</si>
  <si>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t>чумовым</t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</si>
  <si>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</si>
  <si>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</si>
  <si>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</si>
  <si>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</si>
  <si>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экспедиции</t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</si>
  <si>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</si>
  <si>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</si>
  <si>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</si>
  <si>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</si>
  <si>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</si>
  <si>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</si>
  <si>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</si>
  <si>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</si>
  <si>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</si>
  <si>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</si>
  <si>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</si>
  <si>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молодой</t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</si>
  <si>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</si>
  <si>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</si>
  <si>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</si>
  <si>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</si>
  <si>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</si>
  <si>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</si>
  <si>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</si>
  <si>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</si>
  <si>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</si>
  <si>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t>мамаше</t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</si>
  <si>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</si>
  <si>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</si>
  <si>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</si>
  <si>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</si>
  <si>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</si>
  <si>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</si>
  <si>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теории</t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</si>
  <si>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</si>
  <si>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</si>
  <si>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</si>
  <si>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</si>
  <si>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</si>
  <si>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</si>
  <si>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</si>
  <si>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</si>
  <si>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</si>
  <si>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</si>
  <si>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</si>
  <si>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русским</t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</si>
  <si>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</si>
  <si>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</si>
  <si>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</si>
  <si>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</si>
  <si>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</si>
  <si>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</si>
  <si>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</si>
  <si>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проекту</t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</si>
  <si>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</si>
  <si>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</si>
  <si>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</si>
  <si>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</si>
  <si>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</si>
  <si>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</si>
  <si>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</si>
  <si>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</si>
  <si>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</si>
  <si>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</si>
  <si>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</si>
  <si>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были</t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</si>
  <si>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</si>
  <si>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</si>
  <si>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</si>
  <si>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</si>
  <si>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</si>
  <si>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</si>
  <si>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</si>
  <si>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</si>
  <si>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t>крови</t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</si>
  <si>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</si>
  <si>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</si>
  <si>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</si>
  <si>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</si>
  <si>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спортсмену</t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</si>
  <si>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</si>
  <si>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</si>
  <si>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</si>
  <si>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</si>
  <si>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</si>
  <si>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</si>
  <si>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</si>
  <si>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</si>
  <si>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</si>
  <si>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</si>
  <si>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Валеру</t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</si>
  <si>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</si>
  <si>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</si>
  <si>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</si>
  <si>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</si>
  <si>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</si>
  <si>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</si>
  <si>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</si>
  <si>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</si>
  <si>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</si>
  <si>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</si>
  <si>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</si>
  <si>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профессии</t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</si>
  <si>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</si>
  <si>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</si>
  <si>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</si>
  <si>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</si>
  <si>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</si>
  <si>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</si>
  <si>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</si>
  <si>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</si>
  <si>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</si>
  <si>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</si>
  <si>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</si>
  <si>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настоящим</t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</si>
  <si>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</si>
  <si>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</si>
  <si>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</si>
  <si>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</si>
  <si>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</si>
  <si>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</si>
  <si>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</si>
  <si>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</si>
  <si>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</si>
  <si>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</si>
  <si>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</si>
  <si>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</si>
  <si>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Русским</t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</si>
  <si>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</si>
  <si>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</si>
  <si>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</si>
  <si>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</si>
  <si>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</si>
  <si>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</si>
  <si>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</si>
  <si>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</si>
  <si>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</si>
  <si>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</si>
  <si>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</si>
  <si>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оперу</t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</si>
  <si>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</si>
  <si>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</si>
  <si>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</si>
  <si>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</si>
  <si>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</si>
  <si>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</si>
  <si>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</si>
  <si>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</si>
  <si>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</si>
  <si>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</si>
  <si>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Вирджинии</t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</si>
  <si>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</si>
  <si>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</si>
  <si>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</si>
  <si>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</si>
  <si>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</si>
  <si>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</si>
  <si>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</si>
  <si>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</si>
  <si>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</si>
  <si>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</si>
  <si>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</si>
  <si>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</si>
  <si>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</si>
  <si>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</si>
  <si>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</si>
  <si>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</si>
  <si>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</si>
  <si>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цитатам</t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</si>
  <si>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</si>
  <si>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</si>
  <si>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</si>
  <si>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</si>
  <si>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</si>
  <si>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</si>
  <si>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</si>
  <si>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</si>
  <si>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</si>
  <si>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экстраполяции</t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</si>
  <si>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</si>
  <si>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</si>
  <si>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</si>
  <si>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</si>
  <si>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</si>
  <si>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</si>
  <si>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</si>
  <si>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</si>
  <si>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</si>
  <si>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Юрку</t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</si>
  <si>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</si>
  <si>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</si>
  <si>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</si>
  <si>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</si>
  <si>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</si>
  <si>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</si>
  <si>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</si>
  <si>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</si>
  <si>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</si>
  <si>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</si>
  <si>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</si>
  <si>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</si>
  <si>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Таратуту</t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</si>
  <si>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</si>
  <si>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</si>
  <si>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</si>
  <si>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</si>
  <si>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</si>
  <si>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</si>
  <si>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</si>
  <si>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</si>
  <si>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t>Юлию</t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</si>
  <si>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</si>
  <si>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</si>
  <si>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</si>
  <si>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</si>
  <si>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</si>
  <si>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</si>
  <si>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t>коррупции</t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</si>
  <si>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</si>
  <si>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</si>
  <si>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</si>
  <si>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</si>
  <si>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установке</t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</si>
  <si>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</si>
  <si>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</si>
  <si>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</si>
  <si>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</si>
  <si>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</si>
  <si>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</si>
  <si>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</si>
  <si>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</si>
  <si>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</si>
  <si>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</si>
  <si>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</si>
  <si>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</si>
  <si>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</si>
  <si>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</si>
  <si>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</si>
  <si>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</si>
  <si>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</si>
  <si>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</si>
  <si>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</si>
  <si>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</si>
  <si>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</si>
  <si>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</si>
  <si>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</si>
  <si>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</si>
  <si>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</si>
  <si>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</si>
  <si>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святому</t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</si>
  <si>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</si>
  <si>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</si>
  <si>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</si>
  <si>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</si>
  <si>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</si>
  <si>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</si>
  <si>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</si>
  <si>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</si>
  <si>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чаще</t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</si>
  <si>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</si>
  <si>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</si>
  <si>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</si>
  <si>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</si>
  <si>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</si>
  <si>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</si>
  <si>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</si>
  <si>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</si>
  <si>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</si>
  <si>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</si>
  <si>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</si>
  <si>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</si>
  <si>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</si>
  <si>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</si>
  <si>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</si>
  <si>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</si>
  <si>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</si>
  <si>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</si>
  <si>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</si>
  <si>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</si>
  <si>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</si>
  <si>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</si>
  <si>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</si>
  <si>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</si>
  <si>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</si>
  <si>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</si>
  <si>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баню</t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</si>
  <si>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</si>
  <si>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</si>
  <si>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</si>
  <si>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</si>
  <si>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</si>
  <si>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</si>
  <si>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</si>
  <si>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</si>
  <si>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популярности</t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</si>
  <si>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</si>
  <si>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</si>
  <si>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</si>
  <si>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</si>
  <si>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</si>
  <si>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</si>
  <si>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</si>
  <si>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</si>
  <si>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промахам</t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</si>
  <si>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</si>
  <si>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</si>
  <si>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</si>
  <si>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</si>
  <si>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</si>
  <si>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</si>
  <si>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</si>
  <si>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</si>
  <si>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</si>
  <si>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</si>
  <si>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</si>
  <si>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</si>
  <si>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</si>
  <si>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</si>
  <si>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</si>
  <si>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пару</t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</si>
  <si>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</si>
  <si>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</si>
  <si>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</si>
  <si>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</si>
  <si>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</si>
  <si>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</si>
  <si>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</si>
  <si>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</si>
  <si>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многообразию</t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</si>
  <si>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</si>
  <si>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</si>
  <si>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</si>
  <si>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</si>
  <si>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</si>
  <si>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</si>
  <si>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</si>
  <si>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</si>
  <si>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</si>
  <si>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t>одинокой</t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</si>
  <si>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</si>
  <si>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</si>
  <si>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</si>
  <si>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</si>
  <si>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>цветам</t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</si>
  <si>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</si>
  <si>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</si>
  <si>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</si>
  <si>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</si>
  <si>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t>случайности</t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</si>
  <si>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</si>
  <si>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</si>
  <si>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</si>
  <si>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</si>
  <si>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</si>
  <si>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</si>
  <si>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</si>
  <si>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</si>
  <si>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</si>
  <si>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</si>
  <si>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</si>
  <si>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</si>
  <si>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</si>
  <si>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</si>
  <si>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</si>
  <si>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инвалиду</t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</si>
  <si>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</si>
  <si>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</si>
  <si>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</si>
  <si>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</si>
  <si>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</si>
  <si>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</si>
  <si>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</si>
  <si>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</si>
  <si>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тени</t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</si>
  <si>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</si>
  <si>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</si>
  <si>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</si>
  <si>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</si>
  <si>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</si>
  <si>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</si>
  <si>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</si>
  <si>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</si>
  <si>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</si>
  <si>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t>зренью</t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</si>
  <si>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</si>
  <si>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</si>
  <si>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</si>
  <si>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</si>
  <si>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</si>
  <si>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</si>
  <si>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откровенности</t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</si>
  <si>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</si>
  <si>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</si>
  <si>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</si>
  <si>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</si>
  <si>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</si>
  <si>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</si>
  <si>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</si>
  <si>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</si>
  <si>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</si>
  <si>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</si>
  <si>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</si>
  <si>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русской</t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</si>
  <si>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</si>
  <si>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</si>
  <si>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</si>
  <si>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</si>
  <si>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</si>
  <si>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</si>
  <si>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</si>
  <si>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</si>
  <si>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</si>
  <si>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душе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</si>
  <si>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</si>
  <si>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</si>
  <si>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</si>
  <si>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</si>
  <si>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</si>
  <si>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</si>
  <si>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</si>
  <si>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Боженьке</t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</si>
  <si>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</si>
  <si>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</si>
  <si>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</si>
  <si>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</si>
  <si>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</si>
  <si>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</si>
  <si>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</si>
  <si>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России</t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</si>
  <si>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</si>
  <si>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</si>
  <si>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</si>
  <si>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</si>
  <si>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</si>
  <si>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</si>
  <si>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</si>
  <si>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</si>
  <si>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</si>
  <si>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</si>
  <si>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</si>
  <si>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</si>
  <si>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</si>
  <si>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</si>
  <si>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</si>
  <si>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</si>
  <si>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декабристам</t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</si>
  <si>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</si>
  <si>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</si>
  <si>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</si>
  <si>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</si>
  <si>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</si>
  <si>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</si>
  <si>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</si>
  <si>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</si>
  <si>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</si>
  <si>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организациям</t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</si>
  <si>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</si>
  <si>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</si>
  <si>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</si>
  <si>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</si>
  <si>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</si>
  <si>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</si>
  <si>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</si>
  <si>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</si>
  <si>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</si>
  <si>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</si>
  <si>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</si>
  <si>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невостребованности</t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</si>
  <si>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</si>
  <si>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</si>
  <si>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</si>
  <si>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</si>
  <si>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</si>
  <si>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</si>
  <si>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</si>
  <si>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</si>
  <si>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</si>
  <si>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</si>
  <si>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холодной</t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</si>
  <si>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</si>
  <si>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</si>
  <si>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</si>
  <si>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</si>
  <si>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</si>
  <si>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</si>
  <si>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</si>
  <si>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</si>
  <si>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</si>
  <si>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</si>
  <si>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</si>
  <si>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</si>
  <si>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</si>
  <si>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</si>
  <si>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</si>
  <si>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</si>
  <si>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</si>
  <si>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</si>
  <si>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</si>
  <si>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t>Петрову</t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</si>
  <si>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</si>
  <si>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</si>
  <si>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</si>
  <si>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</si>
  <si>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</si>
  <si>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</si>
  <si>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</si>
  <si>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</si>
  <si>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</si>
  <si>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</si>
  <si>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t>стали</t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</si>
  <si>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</si>
  <si>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</si>
  <si>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</si>
  <si>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</si>
  <si>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</si>
  <si>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</si>
  <si>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</si>
  <si>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</si>
  <si>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</si>
  <si>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</si>
  <si>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</si>
  <si>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</si>
  <si>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</si>
  <si>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</si>
  <si>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</si>
  <si>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</si>
  <si>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</si>
  <si>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</si>
  <si>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</si>
  <si>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</si>
  <si>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</si>
  <si>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</si>
  <si>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</si>
  <si>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</si>
  <si>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t>провинциалам</t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</si>
  <si>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</si>
  <si>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</si>
  <si>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</si>
  <si>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</si>
  <si>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</si>
  <si>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</si>
  <si>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</si>
  <si>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</si>
  <si>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</si>
  <si>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</si>
  <si>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</si>
  <si>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</si>
  <si>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</si>
  <si>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t>взгляду</t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</si>
  <si>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</si>
  <si>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</si>
  <si>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</si>
  <si>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</si>
  <si>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</si>
  <si>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</si>
  <si>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</si>
  <si>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</si>
  <si>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</si>
  <si>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</si>
  <si>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</si>
  <si>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</si>
  <si>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</si>
  <si>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</si>
  <si>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</si>
  <si>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зверьку</t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</si>
  <si>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</si>
  <si>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</si>
  <si>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</si>
  <si>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</si>
  <si>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</si>
  <si>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</si>
  <si>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</si>
  <si>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</si>
  <si>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</si>
  <si>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</si>
  <si>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политической</t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</si>
  <si>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</si>
  <si>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</si>
  <si>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</si>
  <si>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</si>
  <si>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</si>
  <si>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</si>
  <si>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</si>
  <si>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</si>
  <si>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</si>
  <si>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</si>
  <si>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</si>
  <si>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</si>
  <si>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мелочам</t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</si>
  <si>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</si>
  <si>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</si>
  <si>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</si>
  <si>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</si>
  <si>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</si>
  <si>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</si>
  <si>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</si>
  <si>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</si>
  <si>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</si>
  <si>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</si>
  <si>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t>Савушкину</t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</si>
  <si>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</si>
  <si>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</si>
  <si>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</si>
  <si>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</si>
  <si>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</si>
  <si>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</si>
  <si>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</si>
  <si>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</si>
  <si>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>времени</t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</si>
  <si>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</si>
  <si>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</si>
  <si>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</si>
  <si>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</si>
  <si>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</si>
  <si>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</si>
  <si>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малышам</t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</si>
  <si>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</si>
  <si>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</si>
  <si>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</si>
  <si>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</si>
  <si>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</si>
  <si>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</si>
  <si>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</si>
  <si>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логику</t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</si>
  <si>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</si>
  <si>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</si>
  <si>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</si>
  <si>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</si>
  <si>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</si>
  <si>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</si>
  <si>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</si>
  <si>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</si>
  <si>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</si>
  <si>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>чёрным</t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</si>
  <si>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</si>
  <si>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</si>
  <si>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</si>
  <si>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</si>
  <si>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t>Мише</t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</si>
  <si>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</si>
  <si>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</si>
  <si>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</si>
  <si>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</si>
  <si>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</si>
  <si>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</si>
  <si>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</si>
  <si>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</si>
  <si>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t>белку</t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</si>
  <si>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</si>
  <si>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</si>
  <si>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</si>
  <si>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</si>
  <si>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</si>
  <si>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</si>
  <si>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t>газу</t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</si>
  <si>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</si>
  <si>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</si>
  <si>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мелочи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</si>
  <si>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</si>
  <si>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</si>
  <si>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</si>
  <si>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</si>
  <si>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</si>
  <si>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</si>
  <si>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</si>
  <si>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</si>
  <si>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</si>
  <si>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</si>
  <si>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будущему</t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</si>
  <si>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</si>
  <si>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</si>
  <si>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</si>
  <si>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</si>
  <si>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</si>
  <si>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</si>
  <si>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</si>
  <si>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</si>
  <si>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</si>
  <si>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</si>
  <si>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духовной</t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</si>
  <si>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</si>
  <si>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</si>
  <si>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</si>
  <si>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</si>
  <si>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</si>
  <si>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</si>
  <si>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</si>
  <si>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</si>
  <si>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</si>
  <si>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</si>
  <si>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</si>
  <si>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</si>
  <si>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</si>
  <si>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</si>
  <si>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</si>
  <si>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</si>
  <si>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</si>
  <si>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</si>
  <si>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воскресенью</t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</si>
  <si>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</si>
  <si>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</si>
  <si>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</si>
  <si>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</si>
  <si>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</si>
  <si>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</si>
  <si>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Толстой</t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</si>
  <si>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</si>
  <si>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</si>
  <si>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</si>
  <si>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</si>
  <si>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</si>
  <si>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</si>
  <si>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</si>
  <si>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</si>
  <si>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</si>
  <si>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</si>
  <si>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чужому</t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</si>
  <si>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</si>
  <si>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</si>
  <si>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</si>
  <si>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</si>
  <si>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</si>
  <si>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</si>
  <si>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</si>
  <si>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</si>
  <si>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</si>
  <si>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</si>
  <si>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</si>
  <si>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Рафаэлевой</t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</si>
  <si>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</si>
  <si>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</si>
  <si>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</si>
  <si>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</si>
  <si>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</si>
  <si>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</si>
  <si>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</si>
  <si>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</si>
  <si>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</si>
  <si>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моменту</t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</si>
  <si>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</si>
  <si>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</si>
  <si>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</si>
  <si>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</si>
  <si>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</si>
  <si>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</si>
  <si>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</si>
  <si>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</si>
  <si>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</si>
  <si>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</si>
  <si>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</si>
  <si>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</si>
  <si>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 xml:space="preserve">литургии	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</si>
  <si>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</si>
  <si>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</si>
  <si>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</si>
  <si>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</si>
  <si>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</si>
  <si>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</si>
  <si>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</si>
  <si>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</si>
  <si>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</si>
  <si>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компаниям</t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</si>
  <si>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</si>
  <si>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</si>
  <si>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</si>
  <si>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</si>
  <si>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</si>
  <si>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</si>
  <si>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</si>
  <si>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</si>
  <si>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</si>
  <si>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Обаме</t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</si>
  <si>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</si>
  <si>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</si>
  <si>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</si>
  <si>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</si>
  <si>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</si>
  <si>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</si>
  <si>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водопроводу</t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</si>
  <si>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</si>
  <si>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</si>
  <si>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</si>
  <si>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</si>
  <si>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</si>
  <si>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</si>
  <si>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</si>
  <si>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</si>
  <si>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</si>
  <si>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</si>
  <si>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</si>
  <si>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t>вызову</t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</si>
  <si>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</si>
  <si>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</si>
  <si>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</si>
  <si>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</si>
  <si>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</si>
  <si>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</si>
  <si>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t>просьбе</t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</si>
  <si>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</si>
  <si>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</si>
  <si>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</si>
  <si>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</si>
  <si>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</si>
  <si>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</si>
  <si>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Ваську</t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</si>
  <si>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</si>
  <si>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</si>
  <si>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</si>
  <si>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</si>
  <si>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</si>
  <si>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</si>
  <si>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</si>
  <si>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>переменам</t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</si>
  <si>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</si>
  <si>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</si>
  <si>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</si>
  <si>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</si>
  <si>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герою</t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</si>
  <si>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</si>
  <si>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</si>
  <si>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</si>
  <si>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</si>
  <si>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</si>
  <si>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</si>
  <si>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</si>
  <si>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побегу</t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</si>
  <si>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</si>
  <si>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</si>
  <si>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</si>
  <si>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</si>
  <si>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</si>
  <si>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</si>
  <si>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</si>
  <si>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</si>
  <si>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</si>
  <si>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Свету</t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</si>
  <si>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</si>
  <si>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</si>
  <si>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</si>
  <si>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</si>
  <si>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</si>
  <si>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соли</t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</si>
  <si>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</si>
  <si>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</si>
  <si>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</si>
  <si>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</si>
  <si>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</si>
  <si>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</si>
  <si>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</si>
  <si>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псу</t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</si>
  <si>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</si>
  <si>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</si>
  <si>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</si>
  <si>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</si>
  <si>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</si>
  <si>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</si>
  <si>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</si>
  <si>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>технологии</t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</si>
  <si>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</si>
  <si>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</si>
  <si>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</si>
  <si>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</si>
  <si>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</si>
  <si>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</si>
  <si>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</si>
  <si>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</si>
  <si>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</si>
  <si>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</si>
  <si>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</si>
  <si>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</si>
  <si>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</si>
  <si>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</si>
  <si>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</si>
  <si>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</si>
  <si>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</si>
  <si>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</si>
  <si>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</si>
  <si>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</si>
  <si>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</si>
  <si>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</si>
  <si>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Женьку</t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</si>
  <si>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</si>
  <si>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</si>
  <si>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</si>
  <si>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</si>
  <si>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</si>
  <si>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</si>
  <si>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</si>
  <si>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</si>
  <si>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t>любви</t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</si>
  <si>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</si>
  <si>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</si>
  <si>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</si>
  <si>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</si>
  <si>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</si>
  <si>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</si>
  <si>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страм</t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</si>
  <si>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</si>
  <si>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</si>
  <si>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</si>
  <si>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</si>
  <si>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</si>
  <si>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</si>
  <si>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</si>
  <si>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</si>
  <si>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</si>
  <si>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</si>
  <si>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</si>
  <si>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</si>
  <si>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</si>
  <si>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</si>
  <si>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</si>
  <si>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</si>
  <si>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</si>
  <si>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t>искренности</t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</si>
  <si>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</si>
  <si>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</si>
  <si>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</si>
  <si>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</si>
  <si>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</si>
  <si>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</si>
  <si>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>учительнице</t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</si>
  <si>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</si>
  <si>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</si>
  <si>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</si>
  <si>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</si>
  <si>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t>ученикам</t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</si>
  <si>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</si>
  <si>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</si>
  <si>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</si>
  <si>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</si>
  <si>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>Марину</t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</si>
  <si>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</si>
  <si>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</si>
  <si>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</si>
  <si>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</si>
  <si>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</si>
  <si>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</si>
  <si>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t>знакомой</t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</si>
  <si>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</si>
  <si>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</si>
  <si>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</si>
  <si>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</si>
  <si>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</si>
  <si>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</si>
  <si>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>молодым</t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</si>
  <si>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</si>
  <si>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</si>
  <si>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</si>
  <si>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</si>
  <si>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</si>
  <si>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>Андрею</t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</si>
  <si>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</si>
  <si>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</si>
  <si>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</si>
  <si>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</si>
  <si>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</si>
  <si>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</si>
  <si>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t>тишине</t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</si>
  <si>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</si>
  <si>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</si>
  <si>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</si>
  <si>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</si>
  <si>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t>Инге</t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</si>
  <si>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</si>
  <si>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</si>
  <si>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</si>
  <si>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</si>
  <si>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триатлону</t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</si>
  <si>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</si>
  <si>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</si>
  <si>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</si>
  <si>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</si>
  <si>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</si>
  <si>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</si>
  <si>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</si>
  <si>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</si>
  <si>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жене</t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</si>
  <si>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</si>
  <si>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</si>
  <si>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</si>
  <si>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</si>
  <si>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</si>
  <si>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</si>
  <si>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</si>
  <si>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</si>
  <si>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душу</t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</si>
  <si>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</si>
  <si>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</si>
  <si>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</si>
  <si>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</si>
  <si>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</si>
  <si>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</si>
  <si>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</si>
  <si>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</si>
  <si>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государству</t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</si>
  <si>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</si>
  <si>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</si>
  <si>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</si>
  <si>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</si>
  <si>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</si>
  <si>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</si>
  <si>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</si>
  <si>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</si>
  <si>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</si>
  <si>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</si>
  <si>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басовой</t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</si>
  <si>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</si>
  <si>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</si>
  <si>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</si>
  <si>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</si>
  <si>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</si>
  <si>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</si>
  <si>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</si>
  <si>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</si>
  <si>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</si>
  <si>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</si>
  <si>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</si>
  <si>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</si>
  <si>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</si>
  <si>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</si>
  <si>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</si>
  <si>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</si>
  <si>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</si>
  <si>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</si>
  <si>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</si>
  <si>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</si>
  <si>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</si>
  <si>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</si>
  <si>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</si>
  <si>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</si>
  <si>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милиции</t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</si>
  <si>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</si>
  <si>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</si>
  <si>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</si>
  <si>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</si>
  <si>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</si>
  <si>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</si>
  <si>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</si>
  <si>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t>опасности</t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</si>
  <si>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</si>
  <si>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</si>
  <si>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</si>
  <si>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</si>
  <si>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</si>
  <si>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</si>
  <si>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новым</t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</si>
  <si>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</si>
  <si>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</si>
  <si>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</si>
  <si>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</si>
  <si>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</si>
  <si>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</si>
  <si>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</si>
  <si>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</si>
  <si>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</si>
  <si>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</si>
  <si>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</si>
  <si>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</si>
  <si>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</si>
  <si>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</si>
  <si>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</si>
  <si>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</si>
  <si>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t>воспоминаниям</t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</si>
  <si>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</si>
  <si>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</si>
  <si>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t>Крецу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</si>
  <si>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</si>
  <si>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</si>
  <si>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</si>
  <si>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</si>
  <si>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>покупке</t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</si>
  <si>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</si>
  <si>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</si>
  <si>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</si>
  <si>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</si>
  <si>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</si>
  <si>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</si>
  <si>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>ясности</t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</si>
  <si>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</si>
  <si>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</si>
  <si>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</si>
  <si>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</si>
  <si>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</si>
  <si>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</si>
  <si>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Чеховым</t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</si>
  <si>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</si>
  <si>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</si>
  <si>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</si>
  <si>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</si>
  <si>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</si>
  <si>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</si>
  <si>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</si>
  <si>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</si>
  <si>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</si>
  <si>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</si>
  <si>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</si>
  <si>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</si>
  <si>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</si>
  <si>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</si>
  <si>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</si>
  <si>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</si>
  <si>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</si>
  <si>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</si>
  <si>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</si>
  <si>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</si>
  <si>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</si>
  <si>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части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</si>
  <si>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</si>
  <si>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</si>
  <si>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</si>
  <si>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</si>
  <si>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</si>
  <si>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</si>
  <si>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</si>
  <si>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</si>
  <si>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</si>
  <si>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</si>
  <si>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</si>
  <si>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комиссарам</t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</si>
  <si>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</si>
  <si>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</si>
  <si>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</si>
  <si>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</si>
  <si>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</si>
  <si>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</si>
  <si>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</si>
  <si>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</si>
  <si>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</si>
  <si>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</si>
  <si>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фамильярности</t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</si>
  <si>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</si>
  <si>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</si>
  <si>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</si>
  <si>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</si>
  <si>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</si>
  <si>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</si>
  <si>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</si>
  <si>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Чудиным</t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</si>
  <si>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</si>
  <si>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</si>
  <si>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</si>
  <si>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</si>
  <si>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</si>
  <si>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</si>
  <si>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</si>
  <si>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</si>
  <si>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лошади</t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</si>
  <si>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</si>
  <si>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</si>
  <si>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</si>
  <si>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</si>
  <si>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</si>
  <si>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</si>
  <si>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</si>
  <si>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</si>
  <si>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</si>
  <si>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</si>
  <si>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</si>
  <si>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пропылесосю</t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</si>
  <si>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</si>
  <si>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</si>
  <si>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</si>
  <si>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</si>
  <si>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</si>
  <si>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</si>
  <si>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</si>
  <si>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</si>
  <si>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</si>
  <si>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</si>
  <si>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t>Лидии</t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</si>
  <si>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</si>
  <si>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</si>
  <si>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</si>
  <si>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</si>
  <si>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t>математику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</si>
  <si>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</si>
  <si>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</si>
  <si>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</si>
  <si>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</si>
  <si>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t>Демидову</t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</si>
  <si>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</si>
  <si>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</si>
  <si>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</si>
  <si>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</si>
  <si>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</si>
  <si>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</si>
  <si>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</si>
  <si>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</si>
  <si>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</si>
  <si>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</si>
  <si>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</si>
  <si>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</si>
  <si>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</si>
  <si>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</si>
  <si>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t>Козелкиным</t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</si>
  <si>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</si>
  <si>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</si>
  <si>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</si>
  <si>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</si>
  <si>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>Вике</t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</si>
  <si>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</si>
  <si>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</si>
  <si>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</si>
  <si>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</si>
  <si>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</si>
  <si>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</si>
  <si>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</si>
  <si>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</si>
  <si>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</si>
  <si>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</si>
  <si>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t>спину</t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</si>
  <si>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</si>
  <si>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</si>
  <si>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</si>
  <si>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</si>
  <si>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</si>
  <si>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</si>
  <si>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</si>
  <si>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</si>
  <si>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</si>
  <si>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</si>
  <si>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Борису</t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</si>
  <si>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</si>
  <si>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</si>
  <si>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</si>
  <si>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</si>
  <si>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</si>
  <si>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</si>
  <si>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</si>
  <si>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</si>
  <si>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</si>
  <si>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</si>
  <si>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</si>
  <si>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</si>
  <si>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</si>
  <si>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</si>
  <si>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</si>
  <si>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детали</t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</si>
  <si>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</si>
  <si>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</si>
  <si>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</si>
  <si>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</si>
  <si>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</si>
  <si>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</si>
  <si>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</si>
  <si>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</si>
  <si>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</si>
  <si>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</si>
  <si>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</si>
  <si>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</si>
  <si>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</si>
  <si>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</si>
  <si>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</si>
  <si>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</si>
  <si>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имени</t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</si>
  <si>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</si>
  <si>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</si>
  <si>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</si>
  <si>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</si>
  <si>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</si>
  <si>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</si>
  <si>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</si>
  <si>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</si>
  <si>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Молодой</t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</si>
  <si>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</si>
  <si>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</si>
  <si>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</si>
  <si>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</si>
  <si>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</si>
  <si>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</si>
  <si>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</si>
  <si>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</si>
  <si>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</si>
  <si>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</si>
  <si>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</si>
  <si>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</si>
  <si>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</si>
  <si>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</si>
  <si>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</si>
  <si>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</si>
  <si>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</si>
  <si>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</si>
  <si>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</si>
  <si>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</si>
  <si>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</si>
  <si>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</si>
  <si>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</si>
  <si>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</si>
  <si>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</si>
  <si>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</si>
  <si>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</si>
  <si>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</si>
  <si>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</si>
  <si>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</si>
  <si>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</si>
  <si>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</si>
  <si>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</si>
  <si>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</si>
  <si>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</si>
  <si>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</si>
  <si>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</si>
  <si>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</si>
  <si>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</si>
  <si>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</si>
  <si>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>Игоревым</t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</si>
  <si>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</si>
  <si>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</si>
  <si>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</si>
  <si>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</si>
  <si>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Миру</t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</si>
  <si>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</si>
  <si>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</si>
  <si>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</si>
  <si>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</si>
  <si>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</si>
  <si>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</si>
  <si>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</si>
  <si>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</si>
  <si>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</si>
  <si>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</si>
  <si>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</si>
  <si>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</si>
  <si>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</si>
  <si>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</si>
  <si>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</si>
  <si>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море</t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</si>
  <si>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</si>
  <si>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</si>
  <si>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</si>
  <si>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</si>
  <si>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</si>
  <si>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</si>
  <si>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</si>
  <si>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</si>
  <si>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</si>
  <si>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</si>
  <si>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</si>
  <si>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</si>
  <si>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</si>
  <si>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</si>
  <si>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</si>
  <si>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</si>
  <si>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</si>
  <si>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истории</t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</si>
  <si>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</si>
  <si>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</si>
  <si>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</si>
  <si>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</si>
  <si>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</si>
  <si>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</si>
  <si>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</si>
  <si>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</si>
  <si>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маме</t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</si>
  <si>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</si>
  <si>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</si>
  <si>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</si>
  <si>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</si>
  <si>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</si>
  <si>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</si>
  <si>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</si>
  <si>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</si>
  <si>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t>очереди</t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</si>
  <si>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</si>
  <si>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</si>
  <si>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</si>
  <si>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</si>
  <si>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</si>
  <si>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</si>
  <si>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t>чаю</t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</si>
  <si>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</si>
  <si>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</si>
  <si>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</si>
  <si>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</si>
  <si>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стерильности</t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</si>
  <si>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</si>
  <si>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</si>
  <si>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</si>
  <si>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</si>
  <si>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</si>
  <si>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</si>
  <si>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</si>
  <si>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</si>
  <si>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</si>
  <si>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</si>
  <si>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</si>
  <si>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</si>
  <si>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</si>
  <si>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Алёне</t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</si>
  <si>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</si>
  <si>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</si>
  <si>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</si>
  <si>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</si>
  <si>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</si>
  <si>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</si>
  <si>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</si>
  <si>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</si>
  <si>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</si>
  <si>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</si>
  <si>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</si>
  <si>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</si>
  <si>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</si>
  <si>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</si>
  <si>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</si>
  <si>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t>решительности</t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</si>
  <si>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</si>
  <si>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</si>
  <si>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</si>
  <si>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</si>
  <si>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</si>
  <si>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</si>
  <si>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t>паузе</t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</si>
  <si>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</si>
  <si>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</si>
  <si>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</si>
  <si>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</si>
  <si>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Руслану</t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</si>
  <si>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</si>
  <si>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</si>
  <si>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</si>
  <si>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</si>
  <si>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</si>
  <si>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</si>
  <si>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>Алёну</t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</si>
  <si>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</si>
  <si>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</si>
  <si>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</si>
  <si>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</si>
  <si>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t>Алину</t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</si>
  <si>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</si>
  <si>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</si>
  <si>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t>Игорю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</si>
  <si>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</si>
  <si>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</si>
  <si>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</si>
  <si>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</si>
  <si>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</si>
  <si>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</si>
  <si>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брови</t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</si>
  <si>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</si>
  <si>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</si>
  <si>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</si>
  <si>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</si>
  <si>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</si>
  <si>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</si>
  <si>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</si>
  <si>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грязи</t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</si>
  <si>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</si>
  <si>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</si>
  <si>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</si>
  <si>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</si>
  <si>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</si>
  <si>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</si>
  <si>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</si>
  <si>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</si>
  <si>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</si>
  <si>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</si>
  <si>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</si>
  <si>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</si>
  <si>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</si>
  <si>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</si>
  <si>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</si>
  <si>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</si>
  <si>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</si>
  <si>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учителю</t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</si>
  <si>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</si>
  <si>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</si>
  <si>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</si>
  <si>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</si>
  <si>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</si>
  <si>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</si>
  <si>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>учителям</t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</si>
  <si>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</si>
  <si>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</si>
  <si>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</si>
  <si>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</si>
  <si>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t>лицам</t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</si>
  <si>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</si>
  <si>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</si>
  <si>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</si>
  <si>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</si>
  <si>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t>Эвальду</t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</si>
  <si>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</si>
  <si>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</si>
  <si>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</si>
  <si>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</si>
  <si>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>машину</t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</si>
  <si>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</si>
  <si>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</si>
  <si>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</si>
  <si>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</si>
  <si>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t>живому</t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</si>
  <si>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</si>
  <si>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</si>
  <si>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</si>
  <si>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</si>
  <si>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</si>
  <si>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</si>
  <si>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</si>
  <si>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</si>
  <si>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</si>
  <si>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</si>
  <si>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</si>
  <si>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</si>
  <si>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</si>
  <si>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</si>
  <si>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</si>
  <si>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</si>
  <si>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</si>
  <si>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</si>
  <si>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</si>
  <si>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</si>
  <si>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</si>
  <si>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</si>
  <si>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</si>
  <si>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</si>
  <si>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t>Ахматову</t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</si>
  <si>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</si>
  <si>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</si>
  <si>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</si>
  <si>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</si>
  <si>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</si>
  <si>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</si>
  <si>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</si>
  <si>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</si>
  <si>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</si>
  <si>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</si>
  <si>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</si>
  <si>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</si>
  <si>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</si>
  <si>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</si>
  <si>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власти</t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</si>
  <si>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</si>
  <si>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</si>
  <si>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</si>
  <si>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</si>
  <si>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</si>
  <si>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</si>
  <si>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</si>
  <si>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</si>
  <si>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</si>
  <si>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</si>
  <si>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</si>
  <si>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</si>
  <si>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девушке</t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</si>
  <si>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</si>
  <si>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</si>
  <si>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</si>
  <si>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</si>
  <si>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</si>
  <si>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</si>
  <si>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</si>
  <si>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</si>
  <si>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</si>
  <si>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t>церкви</t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</si>
  <si>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</si>
  <si>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</si>
  <si>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</si>
  <si>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</si>
  <si>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</si>
  <si>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</si>
  <si>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t>золотым</t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</si>
  <si>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</si>
  <si>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</si>
  <si>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t>Леньку</t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</si>
  <si>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</si>
  <si>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</si>
  <si>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</si>
  <si>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</si>
  <si>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</si>
  <si>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</si>
  <si>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>неприязни</t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</si>
  <si>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</si>
  <si>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</si>
  <si>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</si>
  <si>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</si>
  <si>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>разнообразию</t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</si>
  <si>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</si>
  <si>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</si>
  <si>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</si>
  <si>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</si>
  <si>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</si>
  <si>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</si>
  <si>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</si>
  <si>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</si>
  <si>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суши</t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</si>
  <si>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</si>
  <si>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</si>
  <si>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</si>
  <si>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</si>
  <si>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</si>
  <si>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</si>
  <si>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</si>
  <si>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</si>
  <si>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</si>
  <si>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</si>
  <si>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</si>
  <si>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</si>
  <si>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</si>
  <si>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</si>
  <si>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</si>
  <si>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</si>
  <si>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</si>
  <si>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</si>
  <si>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</si>
  <si>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</si>
  <si>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</si>
  <si>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</si>
  <si>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</si>
  <si>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</si>
  <si>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</si>
  <si>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</si>
  <si>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</si>
  <si>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</si>
  <si>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</si>
  <si>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</si>
  <si>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главным</t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</si>
  <si>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</si>
  <si>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</si>
  <si>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</si>
  <si>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</si>
  <si>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</si>
  <si>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</si>
  <si>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</si>
  <si>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параллели</t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</si>
  <si>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</si>
  <si>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</si>
  <si>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</si>
  <si>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</si>
  <si>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</si>
  <si>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</si>
  <si>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</si>
  <si>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</si>
  <si>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</si>
  <si>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</si>
  <si>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</si>
  <si>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</si>
  <si>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</si>
  <si>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</si>
  <si>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</si>
  <si>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</si>
  <si>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</si>
  <si>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</si>
  <si>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</si>
  <si>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</si>
  <si>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</si>
  <si>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</si>
  <si>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отстраиванию</t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</si>
  <si>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</si>
  <si>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</si>
  <si>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</si>
  <si>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</si>
  <si>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</si>
  <si>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</si>
  <si>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</si>
  <si>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</si>
  <si>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</si>
  <si>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</si>
  <si>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дочери</t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</si>
  <si>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</si>
  <si>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</si>
  <si>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</si>
  <si>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</si>
  <si>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</si>
  <si>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</si>
  <si>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</si>
  <si>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расхлябанности</t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</si>
  <si>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</si>
  <si>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</si>
  <si>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</si>
  <si>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</si>
  <si>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</si>
  <si>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</si>
  <si>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</si>
  <si>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</si>
  <si>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</si>
  <si>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папиным</t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</si>
  <si>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</si>
  <si>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</si>
  <si>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</si>
  <si>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</si>
  <si>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</si>
  <si>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</si>
  <si>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t>Химину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</si>
  <si>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</si>
  <si>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</si>
  <si>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</si>
  <si>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</si>
  <si>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t>Насте</t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</si>
  <si>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</si>
  <si>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</si>
  <si>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</si>
  <si>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</si>
  <si>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t>кондитерской</t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</si>
  <si>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</si>
  <si>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</si>
  <si>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</si>
  <si>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</si>
  <si>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</si>
  <si>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</si>
  <si>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</si>
  <si>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</si>
  <si>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</si>
  <si>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</si>
  <si>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</si>
  <si>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</si>
  <si>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t>злоключениям</t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</si>
  <si>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</si>
  <si>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</si>
  <si>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</si>
  <si>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</si>
  <si>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беспомощности</t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</si>
  <si>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</si>
  <si>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</si>
  <si>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</si>
  <si>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</si>
  <si>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</si>
  <si>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</si>
  <si>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Плёсу</t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</si>
  <si>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</si>
  <si>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</si>
  <si>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</si>
  <si>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</si>
  <si>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</si>
  <si>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</si>
  <si>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</si>
  <si>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самореализации</t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</si>
  <si>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</si>
  <si>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</si>
  <si>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</si>
  <si>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</si>
  <si>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</si>
  <si>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</si>
  <si>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</si>
  <si>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</si>
  <si>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</si>
  <si>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родину</t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</si>
  <si>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</si>
  <si>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</si>
  <si>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</si>
  <si>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</si>
  <si>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</si>
  <si>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</si>
  <si>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</si>
  <si>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</si>
  <si>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</si>
  <si>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t>уровню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</si>
  <si>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</si>
  <si>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</si>
  <si>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</si>
  <si>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</si>
  <si>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</si>
  <si>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</si>
  <si>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публике</t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</si>
  <si>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</si>
  <si>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</si>
  <si>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</si>
  <si>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</si>
  <si>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</si>
  <si>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</si>
  <si>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объектам</t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</si>
  <si>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</si>
  <si>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NOUN</t>
  </si>
  <si>
    <t>Итого</t>
  </si>
  <si>
    <t>COUNTA из 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</si>
</sst>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3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416" sheet="Sheet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NOUN" numFmtId="0">
      <sharedItems>
        <s v="героям"/>
        <s v="сторонам"/>
        <s v="отсутствию"/>
        <s v="жизни"/>
        <s v="девке"/>
        <s v="НТВ"/>
        <s v="развязности"/>
        <s v="гостям"/>
        <s v="делу"/>
        <s v="росту"/>
        <s v="судам"/>
        <s v="мудрости"/>
        <s v="СПС"/>
        <s v="муравью"/>
        <s v="исполнению"/>
        <s v="ажиотажу"/>
        <s v="Галине"/>
        <s v="слову"/>
        <s v="встрече"/>
        <s v="красоте"/>
        <s v="девчаткам"/>
        <s v="китам"/>
        <s v="терактам"/>
        <s v="предложению"/>
        <s v="мощи"/>
        <s v="матери"/>
        <s v="одеждам"/>
        <s v="метаморфозе"/>
        <s v="полноте"/>
        <s v="возможности"/>
        <s v="узнаванию"/>
        <s v="приключению"/>
        <s v="лёгкости"/>
        <s v="богатству"/>
        <s v="Тане"/>
        <s v="состоянию"/>
        <s v="Жене"/>
        <s v="удаче"/>
        <s v="женщине"/>
        <s v="отцу"/>
        <s v="каникулам"/>
        <s v="обустройству"/>
        <s v="лопате"/>
        <s v="приобретению"/>
        <s v="искусству"/>
        <s v="успехам"/>
        <s v="вопросу"/>
        <s v="приходу"/>
        <s v="офицерам"/>
        <s v="сыну"/>
        <s v="ходу"/>
        <s v="случаю"/>
        <s v="освобождению"/>
        <s v="оплошке"/>
        <s v="больным"/>
        <s v="психиатру"/>
        <s v="супругам"/>
        <s v="чудесам"/>
        <s v="окружающим"/>
        <s v="возмездию"/>
        <s v="крепости"/>
        <s v="жителям"/>
        <s v="отпору"/>
        <s v="движению"/>
        <s v="пробуждению"/>
        <s v="Аркадию"/>
        <s v="признакам"/>
        <s v="убийцам"/>
        <s v="приказу"/>
        <s v="папе"/>
        <s v="партизанам"/>
        <s v="слонёнку"/>
        <s v="подлецам"/>
        <s v="девчонке"/>
        <s v="Егору"/>
        <s v="домохозяйкам"/>
        <s v="воле"/>
        <s v="злости"/>
        <s v="Дмитриеву"/>
        <s v="солнцу"/>
        <s v="Осколупову"/>
        <s v="одинаковости"/>
        <s v="прокурору"/>
        <s v="чувству"/>
        <s v="покою"/>
        <s v="детям"/>
        <s v="Шухову"/>
        <s v="занятию"/>
        <s v="молодёжи"/>
        <s v="малому"/>
        <s v="прочности"/>
        <s v="телу"/>
        <s v="Крымову"/>
        <s v="успеху"/>
        <s v="подаркам"/>
        <s v="теплу"/>
        <s v="избавлению"/>
        <s v="торжеству"/>
        <s v="победе"/>
        <s v="предлогу"/>
        <s v="Ланэ"/>
        <s v="предмету"/>
        <s v="недоумению"/>
        <s v="товарищу"/>
        <s v="осведомлённости"/>
        <s v="контрамарке"/>
        <s v="перемене"/>
        <s v="гостю"/>
        <s v="солнышку"/>
        <s v="мысли"/>
        <s v="крестьянам"/>
        <s v="затее"/>
        <s v="живучести"/>
        <s v="подарку"/>
        <s v="блузочкам"/>
        <s v="смерти"/>
        <s v="прислуге"/>
        <s v="Льву"/>
        <s v="водке"/>
        <s v="полиции"/>
        <s v="внукам"/>
        <s v="премудрости"/>
        <s v="красоте-то"/>
        <s v="смышлёности"/>
        <s v="появлению"/>
        <s v="чертам"/>
        <s v="опыту"/>
        <s v="людям"/>
        <s v="исступлению"/>
        <s v="господину"/>
        <s v="сновидению"/>
        <s v="великости"/>
        <s v="веселью"/>
        <s v="словам"/>
        <s v="команде"/>
        <s v="песни"/>
        <s v="справедливости"/>
        <s v="человеку"/>
        <s v="страданиям"/>
        <s v="Германию"/>
        <s v="тому"/>
        <s v="реакции"/>
        <s v="станции"/>
        <s v="делом"/>
        <s v="банальности"/>
        <s v="тишину"/>
        <s v="улыбчивости"/>
        <s v="Ангелину"/>
        <s v="чумовым"/>
        <s v="экспедиции"/>
        <s v="молодой"/>
        <s v="мамаше"/>
        <s v="теории"/>
        <s v="русским"/>
        <s v="проекту"/>
        <s v="были"/>
        <s v="крови"/>
        <s v="спортсмену"/>
        <s v="Валеру"/>
        <s v="профессии"/>
        <s v="настоящим"/>
        <s v="оперу"/>
        <s v="Вирджинии"/>
        <s v="цитатам"/>
        <s v="экстраполяции"/>
        <s v="Юрку"/>
        <s v="Таратуту"/>
        <s v="Юлию"/>
        <s v="коррупции"/>
        <s v="установке"/>
        <s v="агрессии"/>
        <s v="святому"/>
        <s v="чаще"/>
        <s v="баню"/>
        <s v="популярности"/>
        <s v="промахам"/>
        <s v="пару"/>
        <s v="многообразию"/>
        <s v="одинокой"/>
        <s v="цветам"/>
        <s v="случайности"/>
        <s v="инвалиду"/>
        <s v="тени"/>
        <s v="зренью"/>
        <s v="откровенности"/>
        <s v="русской"/>
        <s v="душе"/>
        <s v="Боженьке"/>
        <s v="России"/>
        <s v="декабристам"/>
        <s v="организациям"/>
        <s v="невостребованности"/>
        <s v="холодной"/>
        <s v="Петрову"/>
        <s v="стали"/>
        <s v="провинциалам"/>
        <s v="взгляду"/>
        <s v="зверьку"/>
        <s v="политической"/>
        <s v="мелочам"/>
        <s v="Савушкину"/>
        <s v="времени"/>
        <s v="малышам"/>
        <s v="логику"/>
        <s v="чёрным"/>
        <s v="Мише"/>
        <s v="белку"/>
        <s v="газу"/>
        <s v="мелочи"/>
        <s v="будущему"/>
        <s v="духовной"/>
        <s v="воскресенью"/>
        <s v="Толстой"/>
        <s v="чужому"/>
        <s v="Рафаэлевой"/>
        <s v="моменту"/>
        <s v="литургии "/>
        <s v="компаниям"/>
        <s v="Обаме"/>
        <s v="водопроводу"/>
        <s v="вызову"/>
        <s v="просьбе"/>
        <s v="Ваську"/>
        <s v="переменам"/>
        <s v="герою"/>
        <s v="побегу"/>
        <s v="Свету"/>
        <s v="соли"/>
        <s v="псу"/>
        <s v="технологии"/>
        <s v="Женьку"/>
        <s v="любви"/>
        <s v="страм"/>
        <s v="искренности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"/>
        <s v="душу"/>
        <s v="государству"/>
        <s v="басовой"/>
        <s v="милиции"/>
        <s v="опасности"/>
        <s v="новым"/>
        <s v="воспоминаниям"/>
        <s v="Крецу"/>
        <s v="покупке"/>
        <s v="ясности"/>
        <s v="Чеховым"/>
        <s v="части"/>
        <s v="комиссарам"/>
        <s v="фамильярности"/>
        <s v="Чудиным"/>
        <s v="лошади"/>
        <s v="пропылесосю"/>
        <s v="Лидии"/>
        <s v="математику"/>
        <s v="Демидову"/>
        <s v="Козелкиным"/>
        <s v="Вике"/>
        <s v="спину"/>
        <s v="Борису"/>
        <s v="детали"/>
        <s v="имени"/>
        <s v="Игоревым"/>
        <s v="Миру"/>
        <s v="море"/>
        <s v="истории"/>
        <s v="маме"/>
        <s v="очереди"/>
        <s v="чаю"/>
        <s v="стерильности"/>
        <s v="Алёне"/>
        <s v="решительности"/>
        <s v="паузе"/>
        <s v="Руслану"/>
        <s v="Алёну"/>
        <s v="Алину"/>
        <s v="Игорю"/>
        <s v="брови"/>
        <s v="грязи"/>
        <s v="учителю"/>
        <s v="учителям"/>
        <s v="лицам"/>
        <s v="Эвальду"/>
        <s v="машину"/>
        <s v="живому"/>
        <s v="Ахматову"/>
        <s v="власти"/>
        <s v="девушке"/>
        <s v="церкви"/>
        <s v="золотым"/>
        <s v="Леньку"/>
        <s v="неприязни"/>
        <s v="разнообразию"/>
        <s v="суши"/>
        <s v="главным"/>
        <s v="параллели"/>
        <s v="отстраиванию"/>
        <s v="дочери"/>
        <s v="расхлябанности"/>
        <s v="папиным"/>
        <s v="Химину"/>
        <s v="Насте"/>
        <s v="кондитерской"/>
        <s v="злоключениям"/>
        <s v="беспомощности"/>
        <s v="Плёсу"/>
        <s v="самореализации"/>
        <s v="родину"/>
        <s v="уровню"/>
        <s v="публике"/>
        <s v="объектам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416" sheet="Sheet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процент" cacheId="0" dataCaption="" compact="0" compactData="0">
  <location ref="A1:FU321" firstHeaderRow="0" firstDataRow="1" firstDataCol="1"/>
  <pivotFields>
    <pivotField name="VERB" axis="axisCol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NOUN" axis="axisRow" dataField="1" compact="0" outline="0" multipleItemSelectionAllowed="1" showAll="0" sortType="ascending">
      <items>
        <item x="170"/>
        <item x="15"/>
        <item x="277"/>
        <item x="281"/>
        <item x="282"/>
        <item x="147"/>
        <item x="239"/>
        <item x="65"/>
        <item x="292"/>
        <item x="144"/>
        <item x="173"/>
        <item x="245"/>
        <item x="206"/>
        <item x="311"/>
        <item x="114"/>
        <item x="33"/>
        <item x="187"/>
        <item x="54"/>
        <item x="266"/>
        <item x="284"/>
        <item x="209"/>
        <item x="155"/>
        <item x="158"/>
        <item x="222"/>
        <item x="131"/>
        <item x="132"/>
        <item x="196"/>
        <item x="264"/>
        <item x="162"/>
        <item x="293"/>
        <item x="120"/>
        <item x="118"/>
        <item x="219"/>
        <item x="59"/>
        <item x="29"/>
        <item x="76"/>
        <item x="46"/>
        <item x="211"/>
        <item x="249"/>
        <item x="201"/>
        <item x="18"/>
        <item x="220"/>
        <item x="207"/>
        <item x="16"/>
        <item x="139"/>
        <item x="224"/>
        <item x="0"/>
        <item x="301"/>
        <item x="129"/>
        <item x="107"/>
        <item x="7"/>
        <item x="244"/>
        <item x="285"/>
        <item x="63"/>
        <item x="4"/>
        <item x="294"/>
        <item x="20"/>
        <item x="73"/>
        <item x="189"/>
        <item x="143"/>
        <item x="8"/>
        <item x="262"/>
        <item x="267"/>
        <item x="85"/>
        <item x="78"/>
        <item x="75"/>
        <item x="304"/>
        <item x="210"/>
        <item x="186"/>
        <item x="243"/>
        <item x="74"/>
        <item x="36"/>
        <item x="38"/>
        <item x="230"/>
        <item x="291"/>
        <item x="112"/>
        <item x="3"/>
        <item x="61"/>
        <item x="87"/>
        <item x="111"/>
        <item x="197"/>
        <item x="310"/>
        <item x="77"/>
        <item x="237"/>
        <item x="296"/>
        <item x="183"/>
        <item x="269"/>
        <item x="283"/>
        <item x="96"/>
        <item x="268"/>
        <item x="181"/>
        <item x="241"/>
        <item x="233"/>
        <item x="44"/>
        <item x="14"/>
        <item x="128"/>
        <item x="272"/>
        <item x="40"/>
        <item x="21"/>
        <item x="263"/>
        <item x="134"/>
        <item x="255"/>
        <item x="217"/>
        <item x="309"/>
        <item x="105"/>
        <item x="168"/>
        <item x="19"/>
        <item x="122"/>
        <item x="60"/>
        <item x="110"/>
        <item x="250"/>
        <item x="156"/>
        <item x="92"/>
        <item x="100"/>
        <item x="32"/>
        <item x="297"/>
        <item x="260"/>
        <item x="216"/>
        <item x="288"/>
        <item x="203"/>
        <item x="42"/>
        <item x="258"/>
        <item x="117"/>
        <item x="231"/>
        <item x="127"/>
        <item x="89"/>
        <item x="202"/>
        <item x="151"/>
        <item x="273"/>
        <item x="236"/>
        <item x="261"/>
        <item x="25"/>
        <item x="290"/>
        <item x="199"/>
        <item x="208"/>
        <item x="27"/>
        <item x="246"/>
        <item x="270"/>
        <item x="205"/>
        <item x="177"/>
        <item x="88"/>
        <item x="150"/>
        <item x="238"/>
        <item x="215"/>
        <item x="271"/>
        <item x="24"/>
        <item x="11"/>
        <item x="13"/>
        <item x="109"/>
        <item x="308"/>
        <item x="160"/>
        <item x="191"/>
        <item x="102"/>
        <item x="298"/>
        <item x="248"/>
        <item x="5"/>
        <item x="218"/>
        <item x="41"/>
        <item x="317"/>
        <item x="26"/>
        <item x="81"/>
        <item x="178"/>
        <item x="58"/>
        <item x="247"/>
        <item x="161"/>
        <item x="53"/>
        <item x="126"/>
        <item x="190"/>
        <item x="104"/>
        <item x="52"/>
        <item x="80"/>
        <item x="184"/>
        <item x="62"/>
        <item x="303"/>
        <item x="2"/>
        <item x="39"/>
        <item x="48"/>
        <item x="274"/>
        <item x="69"/>
        <item x="306"/>
        <item x="302"/>
        <item x="70"/>
        <item x="176"/>
        <item x="279"/>
        <item x="223"/>
        <item x="106"/>
        <item x="135"/>
        <item x="193"/>
        <item x="312"/>
        <item x="225"/>
        <item x="98"/>
        <item x="94"/>
        <item x="113"/>
        <item x="72"/>
        <item x="84"/>
        <item x="251"/>
        <item x="198"/>
        <item x="119"/>
        <item x="28"/>
        <item x="174"/>
        <item x="124"/>
        <item x="99"/>
        <item x="23"/>
        <item x="101"/>
        <item x="121"/>
        <item x="66"/>
        <item x="68"/>
        <item x="31"/>
        <item x="43"/>
        <item x="116"/>
        <item x="47"/>
        <item x="64"/>
        <item x="195"/>
        <item x="154"/>
        <item x="82"/>
        <item x="175"/>
        <item x="259"/>
        <item x="221"/>
        <item x="159"/>
        <item x="90"/>
        <item x="55"/>
        <item x="228"/>
        <item x="316"/>
        <item x="6"/>
        <item x="299"/>
        <item x="305"/>
        <item x="214"/>
        <item x="141"/>
        <item x="278"/>
        <item x="314"/>
        <item x="188"/>
        <item x="9"/>
        <item x="280"/>
        <item x="153"/>
        <item x="185"/>
        <item x="200"/>
        <item x="313"/>
        <item x="226"/>
        <item x="171"/>
        <item x="133"/>
        <item x="17"/>
        <item x="71"/>
        <item x="180"/>
        <item x="51"/>
        <item x="115"/>
        <item x="123"/>
        <item x="130"/>
        <item x="227"/>
        <item x="79"/>
        <item x="108"/>
        <item x="35"/>
        <item x="265"/>
        <item x="157"/>
        <item x="136"/>
        <item x="12"/>
        <item x="194"/>
        <item x="142"/>
        <item x="276"/>
        <item x="1"/>
        <item x="138"/>
        <item x="232"/>
        <item x="10"/>
        <item x="56"/>
        <item x="300"/>
        <item x="49"/>
        <item x="34"/>
        <item x="166"/>
        <item x="91"/>
        <item x="182"/>
        <item x="152"/>
        <item x="95"/>
        <item x="22"/>
        <item x="229"/>
        <item x="240"/>
        <item x="145"/>
        <item x="103"/>
        <item x="212"/>
        <item x="140"/>
        <item x="97"/>
        <item x="242"/>
        <item x="67"/>
        <item x="37"/>
        <item x="30"/>
        <item x="146"/>
        <item x="315"/>
        <item x="45"/>
        <item x="93"/>
        <item x="169"/>
        <item x="235"/>
        <item x="234"/>
        <item x="286"/>
        <item x="287"/>
        <item x="256"/>
        <item x="307"/>
        <item x="50"/>
        <item x="192"/>
        <item x="179"/>
        <item x="295"/>
        <item x="163"/>
        <item x="254"/>
        <item x="172"/>
        <item x="275"/>
        <item x="137"/>
        <item x="204"/>
        <item x="125"/>
        <item x="253"/>
        <item x="83"/>
        <item x="57"/>
        <item x="257"/>
        <item x="213"/>
        <item x="148"/>
        <item x="86"/>
        <item x="289"/>
        <item x="149"/>
        <item x="164"/>
        <item x="167"/>
        <item x="165"/>
        <item x="252"/>
        <item t="default"/>
      </items>
    </pivotField>
  </pivotFields>
  <rowFields>
    <field x="1"/>
  </rowFields>
  <colFields>
    <field x="0"/>
  </colFields>
  <dataFields>
    <dataField name="COUNTA of NOUN" fld="1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колво глаголов" cacheId="1" dataCaption="" compact="0" compactData="0">
  <location ref="A1:B177" firstHeaderRow="0" firstDataRow="1" firstDataCol="0"/>
  <pivotFields>
    <pivotField name="VERB" axis="axisRow" dataField="1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6" width="44.38"/>
    <col customWidth="1" min="7" max="7" width="18.5"/>
    <col customWidth="1" min="8" max="8" width="23.75"/>
    <col customWidth="1" min="9" max="9" width="44.38"/>
    <col customWidth="1" min="10" max="20" width="7.63"/>
    <col customWidth="1" hidden="1" min="21" max="21" width="44.38"/>
    <col customWidth="1" min="22" max="23" width="7.63"/>
    <col customWidth="1" min="24" max="24" width="13.0"/>
    <col customWidth="1" min="25" max="39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</row>
    <row r="2" ht="14.25" customHeight="1">
      <c r="A2" s="1" t="s">
        <v>21</v>
      </c>
      <c r="B2" s="1" t="s">
        <v>22</v>
      </c>
      <c r="C2" s="2" t="s">
        <v>23</v>
      </c>
      <c r="D2" s="7" t="s">
        <v>24</v>
      </c>
      <c r="E2" s="1" t="s">
        <v>25</v>
      </c>
      <c r="F2" s="4" t="s">
        <v>26</v>
      </c>
      <c r="G2" s="4" t="s">
        <v>24</v>
      </c>
      <c r="H2" s="8" t="s">
        <v>27</v>
      </c>
      <c r="I2" s="4" t="s">
        <v>28</v>
      </c>
      <c r="J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R2" s="1" t="s">
        <v>31</v>
      </c>
      <c r="S2" s="1" t="s">
        <v>35</v>
      </c>
      <c r="T2" s="1" t="s">
        <v>36</v>
      </c>
      <c r="U2" s="4" t="s">
        <v>37</v>
      </c>
      <c r="X2" s="1" t="str">
        <f>IFERROR(__xludf.DUMMYFUNCTION("split(F2,"" ,:;.?!"")"),"героям")</f>
        <v>героям</v>
      </c>
      <c r="Y2" s="1" t="str">
        <f>IFERROR(__xludf.DUMMYFUNCTION("""COMPUTED_VALUE"""),"как")</f>
        <v>как</v>
      </c>
      <c r="Z2" s="1" t="str">
        <f>IFERROR(__xludf.DUMMYFUNCTION("""COMPUTED_VALUE"""),"своим")</f>
        <v>своим</v>
      </c>
      <c r="AA2" s="1" t="str">
        <f>IFERROR(__xludf.DUMMYFUNCTION("""COMPUTED_VALUE"""),"близким")</f>
        <v>близким</v>
      </c>
      <c r="AB2" s="1" t="str">
        <f>IFERROR(__xludf.DUMMYFUNCTION("""COMPUTED_VALUE"""),"или")</f>
        <v>или</v>
      </c>
      <c r="AC2" s="1" t="str">
        <f>IFERROR(__xludf.DUMMYFUNCTION("""COMPUTED_VALUE"""),"родным")</f>
        <v>родным</v>
      </c>
    </row>
    <row r="3" ht="14.25" customHeight="1">
      <c r="A3" s="1" t="s">
        <v>38</v>
      </c>
      <c r="B3" s="1" t="s">
        <v>39</v>
      </c>
      <c r="C3" s="2" t="s">
        <v>40</v>
      </c>
      <c r="D3" s="7" t="s">
        <v>41</v>
      </c>
      <c r="E3" s="1" t="s">
        <v>25</v>
      </c>
      <c r="F3" s="4" t="s">
        <v>42</v>
      </c>
      <c r="G3" s="4" t="s">
        <v>41</v>
      </c>
      <c r="H3" s="8" t="s">
        <v>27</v>
      </c>
      <c r="I3" s="4" t="s">
        <v>28</v>
      </c>
      <c r="J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R3" s="1" t="s">
        <v>31</v>
      </c>
      <c r="S3" s="1" t="s">
        <v>35</v>
      </c>
      <c r="T3" s="1" t="s">
        <v>36</v>
      </c>
      <c r="U3" s="4" t="s">
        <v>43</v>
      </c>
      <c r="X3" s="1" t="str">
        <f>IFERROR(__xludf.DUMMYFUNCTION("split(F3,"" ,:;.?!"")"),"героям")</f>
        <v>героям</v>
      </c>
      <c r="Y3" s="1" t="str">
        <f>IFERROR(__xludf.DUMMYFUNCTION("""COMPUTED_VALUE"""),"и")</f>
        <v>и</v>
      </c>
      <c r="Z3" s="1" t="str">
        <f>IFERROR(__xludf.DUMMYFUNCTION("""COMPUTED_VALUE"""),"заново")</f>
        <v>заново</v>
      </c>
      <c r="AA3" s="1" t="str">
        <f>IFERROR(__xludf.DUMMYFUNCTION("""COMPUTED_VALUE"""),"участвуя")</f>
        <v>участвуя</v>
      </c>
      <c r="AB3" s="1" t="str">
        <f>IFERROR(__xludf.DUMMYFUNCTION("""COMPUTED_VALUE"""),"в")</f>
        <v>в</v>
      </c>
      <c r="AC3" s="1" t="str">
        <f>IFERROR(__xludf.DUMMYFUNCTION("""COMPUTED_VALUE"""),"событиях")</f>
        <v>событиях</v>
      </c>
    </row>
    <row r="4" ht="14.25" customHeight="1">
      <c r="A4" s="1" t="s">
        <v>44</v>
      </c>
      <c r="B4" s="1" t="s">
        <v>39</v>
      </c>
      <c r="C4" s="2" t="s">
        <v>45</v>
      </c>
      <c r="D4" s="7" t="s">
        <v>41</v>
      </c>
      <c r="E4" s="1" t="s">
        <v>25</v>
      </c>
      <c r="F4" s="4" t="s">
        <v>46</v>
      </c>
      <c r="G4" s="4" t="s">
        <v>41</v>
      </c>
      <c r="H4" s="8" t="s">
        <v>27</v>
      </c>
      <c r="I4" s="4" t="s">
        <v>47</v>
      </c>
      <c r="J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  <c r="R4" s="1" t="s">
        <v>55</v>
      </c>
      <c r="S4" s="1" t="s">
        <v>56</v>
      </c>
      <c r="T4" s="1" t="s">
        <v>36</v>
      </c>
      <c r="U4" s="4" t="s">
        <v>57</v>
      </c>
      <c r="X4" s="1" t="str">
        <f>IFERROR(__xludf.DUMMYFUNCTION("split(F4,"" ,:;.?!"")"),"героям")</f>
        <v>героям</v>
      </c>
      <c r="Y4" s="1" t="str">
        <f>IFERROR(__xludf.DUMMYFUNCTION("""COMPUTED_VALUE"""),"в")</f>
        <v>в</v>
      </c>
      <c r="Z4" s="1" t="str">
        <f>IFERROR(__xludf.DUMMYFUNCTION("""COMPUTED_VALUE"""),"минуты")</f>
        <v>минуты</v>
      </c>
      <c r="AA4" s="1" t="str">
        <f>IFERROR(__xludf.DUMMYFUNCTION("""COMPUTED_VALUE"""),"эмоционального")</f>
        <v>эмоционального</v>
      </c>
      <c r="AB4" s="1" t="str">
        <f>IFERROR(__xludf.DUMMYFUNCTION("""COMPUTED_VALUE"""),"подъёма")</f>
        <v>подъёма</v>
      </c>
    </row>
    <row r="5" ht="14.25" customHeight="1">
      <c r="A5" s="1" t="s">
        <v>58</v>
      </c>
      <c r="B5" s="1" t="s">
        <v>59</v>
      </c>
      <c r="C5" s="2" t="s">
        <v>60</v>
      </c>
      <c r="D5" s="7" t="s">
        <v>61</v>
      </c>
      <c r="E5" s="1" t="s">
        <v>25</v>
      </c>
      <c r="F5" s="4" t="s">
        <v>62</v>
      </c>
      <c r="G5" s="4" t="s">
        <v>61</v>
      </c>
      <c r="H5" s="8" t="s">
        <v>63</v>
      </c>
      <c r="I5" s="4" t="s">
        <v>64</v>
      </c>
      <c r="J5" s="1" t="s">
        <v>65</v>
      </c>
      <c r="L5" s="1" t="s">
        <v>66</v>
      </c>
      <c r="M5" s="1" t="s">
        <v>50</v>
      </c>
      <c r="N5" s="1" t="s">
        <v>51</v>
      </c>
      <c r="O5" s="1" t="s">
        <v>67</v>
      </c>
      <c r="P5" s="1" t="s">
        <v>68</v>
      </c>
      <c r="Q5" s="1" t="s">
        <v>69</v>
      </c>
      <c r="R5" s="1" t="s">
        <v>50</v>
      </c>
      <c r="S5" s="1" t="s">
        <v>70</v>
      </c>
      <c r="T5" s="1" t="s">
        <v>36</v>
      </c>
      <c r="U5" s="4" t="s">
        <v>71</v>
      </c>
      <c r="X5" s="1" t="str">
        <f>IFERROR(__xludf.DUMMYFUNCTION("split(F5,"" ,:;.?!"")"),"сторонам")</f>
        <v>сторонам</v>
      </c>
      <c r="Y5" s="1" t="str">
        <f>IFERROR(__xludf.DUMMYFUNCTION("""COMPUTED_VALUE"""),"и")</f>
        <v>и</v>
      </c>
      <c r="Z5" s="1" t="str">
        <f>IFERROR(__xludf.DUMMYFUNCTION("""COMPUTED_VALUE"""),"для")</f>
        <v>для</v>
      </c>
      <c r="AA5" s="1" t="str">
        <f>IFERROR(__xludf.DUMMYFUNCTION("""COMPUTED_VALUE"""),"железной")</f>
        <v>железной</v>
      </c>
      <c r="AB5" s="1" t="str">
        <f>IFERROR(__xludf.DUMMYFUNCTION("""COMPUTED_VALUE"""),"дороги")</f>
        <v>дороги</v>
      </c>
      <c r="AC5" s="1" t="str">
        <f>IFERROR(__xludf.DUMMYFUNCTION("""COMPUTED_VALUE"""),"основной")</f>
        <v>основной</v>
      </c>
    </row>
    <row r="6" ht="14.25" customHeight="1">
      <c r="A6" s="1" t="s">
        <v>72</v>
      </c>
      <c r="B6" s="1" t="s">
        <v>73</v>
      </c>
      <c r="C6" s="2" t="s">
        <v>74</v>
      </c>
      <c r="D6" s="7" t="s">
        <v>75</v>
      </c>
      <c r="E6" s="1" t="s">
        <v>25</v>
      </c>
      <c r="F6" s="4" t="s">
        <v>76</v>
      </c>
      <c r="G6" s="4" t="s">
        <v>75</v>
      </c>
      <c r="H6" s="8" t="s">
        <v>77</v>
      </c>
      <c r="I6" s="4" t="s">
        <v>78</v>
      </c>
      <c r="L6" s="1" t="s">
        <v>79</v>
      </c>
      <c r="M6" s="1" t="s">
        <v>50</v>
      </c>
      <c r="N6" s="1" t="s">
        <v>32</v>
      </c>
      <c r="O6" s="1" t="s">
        <v>80</v>
      </c>
      <c r="P6" s="1" t="s">
        <v>81</v>
      </c>
      <c r="R6" s="1" t="s">
        <v>50</v>
      </c>
      <c r="S6" s="1" t="s">
        <v>35</v>
      </c>
      <c r="T6" s="1" t="s">
        <v>36</v>
      </c>
      <c r="U6" s="4" t="s">
        <v>82</v>
      </c>
      <c r="X6" s="1" t="str">
        <f>IFERROR(__xludf.DUMMYFUNCTION("split(F6,"" ,:;.?!"")"),"отсутствию")</f>
        <v>отсутствию</v>
      </c>
      <c r="Y6" s="1" t="str">
        <f>IFERROR(__xludf.DUMMYFUNCTION("""COMPUTED_VALUE"""),"сына")</f>
        <v>сына</v>
      </c>
      <c r="Z6" s="1" t="str">
        <f>IFERROR(__xludf.DUMMYFUNCTION("""COMPUTED_VALUE"""),"в")</f>
        <v>в</v>
      </c>
      <c r="AA6" s="1" t="str">
        <f>IFERROR(__xludf.DUMMYFUNCTION("""COMPUTED_VALUE"""),"списках")</f>
        <v>списках</v>
      </c>
      <c r="AB6" s="1" t="str">
        <f>IFERROR(__xludf.DUMMYFUNCTION("""COMPUTED_VALUE"""),"и")</f>
        <v>и</v>
      </c>
      <c r="AC6" s="1" t="str">
        <f>IFERROR(__xludf.DUMMYFUNCTION("""COMPUTED_VALUE"""),"высказали")</f>
        <v>высказали</v>
      </c>
    </row>
    <row r="7" ht="14.25" customHeight="1">
      <c r="A7" s="1" t="s">
        <v>25</v>
      </c>
      <c r="B7" s="1" t="s">
        <v>83</v>
      </c>
      <c r="C7" s="2"/>
      <c r="D7" s="7" t="s">
        <v>84</v>
      </c>
      <c r="E7" s="1" t="s">
        <v>25</v>
      </c>
      <c r="F7" s="4" t="s">
        <v>85</v>
      </c>
      <c r="G7" s="4" t="s">
        <v>84</v>
      </c>
      <c r="H7" s="8" t="s">
        <v>86</v>
      </c>
      <c r="I7" s="4" t="s">
        <v>87</v>
      </c>
      <c r="L7" s="1" t="s">
        <v>88</v>
      </c>
      <c r="M7" s="1" t="s">
        <v>50</v>
      </c>
      <c r="N7" s="1" t="s">
        <v>89</v>
      </c>
      <c r="O7" s="1" t="s">
        <v>52</v>
      </c>
      <c r="P7" s="1" t="s">
        <v>90</v>
      </c>
      <c r="Q7" s="1" t="s">
        <v>91</v>
      </c>
      <c r="R7" s="1" t="s">
        <v>50</v>
      </c>
      <c r="S7" s="1" t="s">
        <v>70</v>
      </c>
      <c r="T7" s="1" t="s">
        <v>36</v>
      </c>
      <c r="U7" s="4" t="s">
        <v>92</v>
      </c>
      <c r="X7" s="1" t="str">
        <f>IFERROR(__xludf.DUMMYFUNCTION("split(F7,"" ,:;.?!"")"),"жизни")</f>
        <v>жизни</v>
      </c>
      <c r="Y7" s="1" t="str">
        <f>IFERROR(__xludf.DUMMYFUNCTION("""COMPUTED_VALUE"""),"улыбайся")</f>
        <v>улыбайся</v>
      </c>
      <c r="Z7" s="1" t="str">
        <f>IFERROR(__xludf.DUMMYFUNCTION("""COMPUTED_VALUE"""),"и")</f>
        <v>и</v>
      </c>
      <c r="AA7" s="1" t="str">
        <f>IFERROR(__xludf.DUMMYFUNCTION("""COMPUTED_VALUE"""),"влюбляйся")</f>
        <v>влюбляйся</v>
      </c>
      <c r="AB7" s="1" t="str">
        <f>IFERROR(__xludf.DUMMYFUNCTION("""COMPUTED_VALUE"""),"―")</f>
        <v>―</v>
      </c>
      <c r="AC7" s="1" t="str">
        <f>IFERROR(__xludf.DUMMYFUNCTION("""COMPUTED_VALUE"""),"весенняя")</f>
        <v>весенняя</v>
      </c>
      <c r="AD7" s="1" t="str">
        <f>IFERROR(__xludf.DUMMYFUNCTION("""COMPUTED_VALUE"""),"пора")</f>
        <v>пора</v>
      </c>
    </row>
    <row r="8" ht="14.25" customHeight="1">
      <c r="A8" s="1" t="s">
        <v>93</v>
      </c>
      <c r="B8" s="1" t="s">
        <v>94</v>
      </c>
      <c r="C8" s="2" t="s">
        <v>95</v>
      </c>
      <c r="D8" s="7" t="s">
        <v>96</v>
      </c>
      <c r="E8" s="1" t="s">
        <v>97</v>
      </c>
      <c r="F8" s="4" t="s">
        <v>98</v>
      </c>
      <c r="G8" s="4" t="s">
        <v>96</v>
      </c>
      <c r="H8" s="8" t="s">
        <v>99</v>
      </c>
      <c r="I8" s="4" t="s">
        <v>100</v>
      </c>
      <c r="L8" s="1" t="s">
        <v>101</v>
      </c>
      <c r="M8" s="1" t="s">
        <v>50</v>
      </c>
      <c r="N8" s="1" t="s">
        <v>51</v>
      </c>
      <c r="O8" s="1" t="s">
        <v>67</v>
      </c>
      <c r="P8" s="1" t="s">
        <v>53</v>
      </c>
      <c r="Q8" s="1" t="s">
        <v>102</v>
      </c>
      <c r="R8" s="1" t="s">
        <v>50</v>
      </c>
      <c r="S8" s="1" t="s">
        <v>70</v>
      </c>
      <c r="T8" s="1" t="s">
        <v>36</v>
      </c>
      <c r="U8" s="4" t="s">
        <v>103</v>
      </c>
      <c r="X8" s="1" t="str">
        <f>IFERROR(__xludf.DUMMYFUNCTION("split(F8,"" ,:;.?!"")"),"девке")</f>
        <v>девке</v>
      </c>
      <c r="Y8" s="1" t="str">
        <f>IFERROR(__xludf.DUMMYFUNCTION("""COMPUTED_VALUE"""),"ещё")</f>
        <v>ещё</v>
      </c>
      <c r="Z8" s="1" t="str">
        <f>IFERROR(__xludf.DUMMYFUNCTION("""COMPUTED_VALUE"""),"лучше")</f>
        <v>лучше</v>
      </c>
      <c r="AA8" s="1" t="str">
        <f>IFERROR(__xludf.DUMMYFUNCTION("""COMPUTED_VALUE"""),"дома")</f>
        <v>дома</v>
      </c>
      <c r="AB8" s="1" t="str">
        <f>IFERROR(__xludf.DUMMYFUNCTION("""COMPUTED_VALUE"""),"посидеть")</f>
        <v>посидеть</v>
      </c>
      <c r="AC8" s="1" t="str">
        <f>IFERROR(__xludf.DUMMYFUNCTION("""COMPUTED_VALUE"""),"и")</f>
        <v>и</v>
      </c>
    </row>
    <row r="9" ht="14.25" customHeight="1">
      <c r="A9" s="1" t="s">
        <v>104</v>
      </c>
      <c r="B9" s="1" t="s">
        <v>105</v>
      </c>
      <c r="C9" s="2" t="s">
        <v>106</v>
      </c>
      <c r="D9" s="7" t="s">
        <v>107</v>
      </c>
      <c r="E9" s="1" t="s">
        <v>25</v>
      </c>
      <c r="F9" s="4" t="s">
        <v>108</v>
      </c>
      <c r="G9" s="4" t="s">
        <v>107</v>
      </c>
      <c r="H9" s="8" t="s">
        <v>109</v>
      </c>
      <c r="I9" s="4" t="s">
        <v>110</v>
      </c>
      <c r="J9" s="1" t="s">
        <v>111</v>
      </c>
      <c r="L9" s="1" t="s">
        <v>112</v>
      </c>
      <c r="M9" s="1" t="s">
        <v>113</v>
      </c>
      <c r="N9" s="1" t="s">
        <v>51</v>
      </c>
      <c r="O9" s="1" t="s">
        <v>67</v>
      </c>
      <c r="P9" s="1" t="s">
        <v>114</v>
      </c>
      <c r="Q9" s="1" t="s">
        <v>115</v>
      </c>
      <c r="R9" s="1" t="s">
        <v>113</v>
      </c>
      <c r="S9" s="1" t="s">
        <v>70</v>
      </c>
      <c r="T9" s="1" t="s">
        <v>36</v>
      </c>
      <c r="U9" s="4" t="s">
        <v>116</v>
      </c>
      <c r="X9" s="1" t="str">
        <f>IFERROR(__xludf.DUMMYFUNCTION("split(F9,"" ,:;.?!"")"),"НТВ")</f>
        <v>НТВ</v>
      </c>
      <c r="Y9" s="1" t="str">
        <f>IFERROR(__xludf.DUMMYFUNCTION("""COMPUTED_VALUE"""),"было")</f>
        <v>было</v>
      </c>
      <c r="Z9" s="1" t="str">
        <f>IFERROR(__xludf.DUMMYFUNCTION("""COMPUTED_VALUE"""),"трудно")</f>
        <v>трудно</v>
      </c>
      <c r="AA9" s="1" t="str">
        <f>IFERROR(__xludf.DUMMYFUNCTION("""COMPUTED_VALUE"""),"поскольку")</f>
        <v>поскольку</v>
      </c>
      <c r="AB9" s="1" t="str">
        <f>IFERROR(__xludf.DUMMYFUNCTION("""COMPUTED_VALUE"""),"в")</f>
        <v>в</v>
      </c>
      <c r="AC9" s="1" t="str">
        <f>IFERROR(__xludf.DUMMYFUNCTION("""COMPUTED_VALUE"""),"ходе")</f>
        <v>ходе</v>
      </c>
    </row>
    <row r="10" ht="14.25" customHeight="1">
      <c r="A10" s="1" t="s">
        <v>117</v>
      </c>
      <c r="B10" s="1" t="s">
        <v>118</v>
      </c>
      <c r="C10" s="2" t="s">
        <v>119</v>
      </c>
      <c r="D10" s="7" t="s">
        <v>120</v>
      </c>
      <c r="E10" s="1" t="s">
        <v>25</v>
      </c>
      <c r="F10" s="4" t="s">
        <v>121</v>
      </c>
      <c r="G10" s="4" t="s">
        <v>120</v>
      </c>
      <c r="H10" s="8" t="s">
        <v>122</v>
      </c>
      <c r="I10" s="4" t="s">
        <v>123</v>
      </c>
      <c r="J10" s="1" t="s">
        <v>124</v>
      </c>
      <c r="L10" s="1" t="s">
        <v>125</v>
      </c>
      <c r="M10" s="1" t="s">
        <v>113</v>
      </c>
      <c r="N10" s="1" t="s">
        <v>126</v>
      </c>
      <c r="O10" s="1" t="s">
        <v>127</v>
      </c>
      <c r="P10" s="1" t="s">
        <v>53</v>
      </c>
      <c r="Q10" s="1" t="s">
        <v>128</v>
      </c>
      <c r="R10" s="1" t="s">
        <v>113</v>
      </c>
      <c r="S10" s="1" t="s">
        <v>70</v>
      </c>
      <c r="T10" s="1" t="s">
        <v>36</v>
      </c>
      <c r="U10" s="4" t="s">
        <v>129</v>
      </c>
      <c r="X10" s="1" t="str">
        <f>IFERROR(__xludf.DUMMYFUNCTION("split(F10,"" ,:;.?!"")"),"развязности")</f>
        <v>развязности</v>
      </c>
      <c r="Y10" s="1" t="str">
        <f>IFERROR(__xludf.DUMMYFUNCTION("""COMPUTED_VALUE"""),"этого")</f>
        <v>этого</v>
      </c>
      <c r="Z10" s="1" t="str">
        <f>IFERROR(__xludf.DUMMYFUNCTION("""COMPUTED_VALUE"""),"недавнего")</f>
        <v>недавнего</v>
      </c>
      <c r="AA10" s="1" t="str">
        <f>IFERROR(__xludf.DUMMYFUNCTION("""COMPUTED_VALUE"""),"капитана")</f>
        <v>капитана</v>
      </c>
      <c r="AB10" s="1" t="str">
        <f>IFERROR(__xludf.DUMMYFUNCTION("""COMPUTED_VALUE"""),"Красной")</f>
        <v>Красной</v>
      </c>
      <c r="AC10" s="1" t="str">
        <f>IFERROR(__xludf.DUMMYFUNCTION("""COMPUTED_VALUE"""),"Армии")</f>
        <v>Армии</v>
      </c>
    </row>
    <row r="11" ht="14.25" customHeight="1">
      <c r="A11" s="1" t="s">
        <v>130</v>
      </c>
      <c r="B11" s="1" t="s">
        <v>131</v>
      </c>
      <c r="C11" s="2" t="s">
        <v>132</v>
      </c>
      <c r="D11" s="7" t="s">
        <v>133</v>
      </c>
      <c r="E11" s="1" t="s">
        <v>25</v>
      </c>
      <c r="F11" s="4" t="s">
        <v>134</v>
      </c>
      <c r="G11" s="4" t="s">
        <v>133</v>
      </c>
      <c r="H11" s="8" t="s">
        <v>135</v>
      </c>
      <c r="I11" s="4" t="s">
        <v>136</v>
      </c>
      <c r="J11" s="1" t="s">
        <v>137</v>
      </c>
      <c r="L11" s="1" t="s">
        <v>138</v>
      </c>
      <c r="M11" s="1" t="s">
        <v>113</v>
      </c>
      <c r="N11" s="1" t="s">
        <v>139</v>
      </c>
      <c r="O11" s="1" t="s">
        <v>140</v>
      </c>
      <c r="Q11" s="1" t="s">
        <v>141</v>
      </c>
      <c r="R11" s="1" t="s">
        <v>113</v>
      </c>
      <c r="S11" s="1" t="s">
        <v>70</v>
      </c>
      <c r="T11" s="1" t="s">
        <v>36</v>
      </c>
      <c r="U11" s="4" t="s">
        <v>142</v>
      </c>
      <c r="X11" s="1" t="str">
        <f>IFERROR(__xludf.DUMMYFUNCTION("split(F11,"" ,:;.?!"")"),"гостям")</f>
        <v>гостям</v>
      </c>
      <c r="Y11" s="1" t="str">
        <f>IFERROR(__xludf.DUMMYFUNCTION("""COMPUTED_VALUE"""),"что")</f>
        <v>что</v>
      </c>
      <c r="Z11" s="1" t="str">
        <f>IFERROR(__xludf.DUMMYFUNCTION("""COMPUTED_VALUE"""),"выставил")</f>
        <v>выставил</v>
      </c>
      <c r="AA11" s="1" t="str">
        <f>IFERROR(__xludf.DUMMYFUNCTION("""COMPUTED_VALUE"""),"на")</f>
        <v>на</v>
      </c>
      <c r="AB11" s="1" t="str">
        <f>IFERROR(__xludf.DUMMYFUNCTION("""COMPUTED_VALUE"""),"стол")</f>
        <v>стол</v>
      </c>
      <c r="AC11" s="1" t="str">
        <f>IFERROR(__xludf.DUMMYFUNCTION("""COMPUTED_VALUE"""),"всё")</f>
        <v>всё</v>
      </c>
    </row>
    <row r="12" ht="14.25" customHeight="1">
      <c r="A12" s="1" t="s">
        <v>143</v>
      </c>
      <c r="B12" s="1" t="s">
        <v>144</v>
      </c>
      <c r="C12" s="2" t="s">
        <v>145</v>
      </c>
      <c r="D12" s="7" t="s">
        <v>146</v>
      </c>
      <c r="E12" s="1" t="s">
        <v>25</v>
      </c>
      <c r="F12" s="4" t="s">
        <v>147</v>
      </c>
      <c r="G12" s="4" t="s">
        <v>146</v>
      </c>
      <c r="H12" s="8" t="s">
        <v>148</v>
      </c>
      <c r="I12" s="4" t="s">
        <v>149</v>
      </c>
      <c r="J12" s="1" t="s">
        <v>150</v>
      </c>
      <c r="L12" s="1" t="s">
        <v>151</v>
      </c>
      <c r="M12" s="1" t="s">
        <v>113</v>
      </c>
      <c r="N12" s="1" t="s">
        <v>51</v>
      </c>
      <c r="O12" s="1" t="s">
        <v>67</v>
      </c>
      <c r="P12" s="1" t="s">
        <v>114</v>
      </c>
      <c r="Q12" s="1" t="s">
        <v>152</v>
      </c>
      <c r="R12" s="1" t="s">
        <v>153</v>
      </c>
      <c r="S12" s="1" t="s">
        <v>70</v>
      </c>
      <c r="T12" s="1" t="s">
        <v>36</v>
      </c>
      <c r="U12" s="4" t="s">
        <v>154</v>
      </c>
      <c r="X12" s="1" t="str">
        <f>IFERROR(__xludf.DUMMYFUNCTION("split(F12,"" ,:;.?!"")"),"делу")</f>
        <v>делу</v>
      </c>
      <c r="Y12" s="1" t="str">
        <f>IFERROR(__xludf.DUMMYFUNCTION("""COMPUTED_VALUE"""),"""Единой")</f>
        <v>"Единой</v>
      </c>
      <c r="Z12" s="1" t="str">
        <f>IFERROR(__xludf.DUMMYFUNCTION("""COMPUTED_VALUE"""),"России""")</f>
        <v>России"</v>
      </c>
    </row>
    <row r="13" ht="14.25" customHeight="1">
      <c r="A13" s="1" t="s">
        <v>155</v>
      </c>
      <c r="B13" s="1" t="s">
        <v>156</v>
      </c>
      <c r="C13" s="2" t="s">
        <v>157</v>
      </c>
      <c r="D13" s="7" t="s">
        <v>158</v>
      </c>
      <c r="E13" s="1" t="s">
        <v>25</v>
      </c>
      <c r="F13" s="4" t="s">
        <v>159</v>
      </c>
      <c r="G13" s="4" t="s">
        <v>158</v>
      </c>
      <c r="H13" s="8" t="s">
        <v>160</v>
      </c>
      <c r="I13" s="4" t="s">
        <v>161</v>
      </c>
      <c r="J13" s="1" t="s">
        <v>162</v>
      </c>
      <c r="L13" s="1" t="s">
        <v>163</v>
      </c>
      <c r="M13" s="1" t="s">
        <v>113</v>
      </c>
      <c r="N13" s="1" t="s">
        <v>51</v>
      </c>
      <c r="O13" s="1" t="s">
        <v>67</v>
      </c>
      <c r="P13" s="1" t="s">
        <v>114</v>
      </c>
      <c r="Q13" s="1" t="s">
        <v>164</v>
      </c>
      <c r="R13" s="1" t="s">
        <v>165</v>
      </c>
      <c r="S13" s="1" t="s">
        <v>166</v>
      </c>
      <c r="T13" s="1" t="s">
        <v>36</v>
      </c>
      <c r="U13" s="4" t="s">
        <v>167</v>
      </c>
      <c r="X13" s="1" t="str">
        <f>IFERROR(__xludf.DUMMYFUNCTION("split(F13,"" ,:;.?!"")"),"росту")</f>
        <v>росту</v>
      </c>
      <c r="Y13" s="1" t="str">
        <f>IFERROR(__xludf.DUMMYFUNCTION("""COMPUTED_VALUE"""),"инвестиционной")</f>
        <v>инвестиционной</v>
      </c>
      <c r="Z13" s="1" t="str">
        <f>IFERROR(__xludf.DUMMYFUNCTION("""COMPUTED_VALUE"""),"привлекательности")</f>
        <v>привлекательности</v>
      </c>
      <c r="AA13" s="1" t="str">
        <f>IFERROR(__xludf.DUMMYFUNCTION("""COMPUTED_VALUE"""),"страны")</f>
        <v>страны</v>
      </c>
    </row>
    <row r="14" ht="14.25" customHeight="1">
      <c r="A14" s="1" t="s">
        <v>168</v>
      </c>
      <c r="B14" s="1" t="s">
        <v>169</v>
      </c>
      <c r="C14" s="2" t="s">
        <v>170</v>
      </c>
      <c r="D14" s="7" t="s">
        <v>171</v>
      </c>
      <c r="E14" s="1" t="s">
        <v>25</v>
      </c>
      <c r="F14" s="4" t="s">
        <v>172</v>
      </c>
      <c r="G14" s="4" t="s">
        <v>171</v>
      </c>
      <c r="H14" s="8" t="s">
        <v>173</v>
      </c>
      <c r="I14" s="4" t="s">
        <v>174</v>
      </c>
      <c r="J14" s="1" t="s">
        <v>175</v>
      </c>
      <c r="K14" s="1" t="s">
        <v>176</v>
      </c>
      <c r="L14" s="1" t="s">
        <v>177</v>
      </c>
      <c r="M14" s="1" t="s">
        <v>113</v>
      </c>
      <c r="N14" s="1" t="s">
        <v>51</v>
      </c>
      <c r="O14" s="1" t="s">
        <v>67</v>
      </c>
      <c r="P14" s="1" t="s">
        <v>178</v>
      </c>
      <c r="Q14" s="1" t="s">
        <v>115</v>
      </c>
      <c r="R14" s="1" t="s">
        <v>113</v>
      </c>
      <c r="S14" s="1" t="s">
        <v>70</v>
      </c>
      <c r="T14" s="1" t="s">
        <v>36</v>
      </c>
      <c r="U14" s="4" t="s">
        <v>179</v>
      </c>
      <c r="X14" s="1" t="str">
        <f>IFERROR(__xludf.DUMMYFUNCTION("split(F14,"" ,:;.?!"")"),"судам")</f>
        <v>судам</v>
      </c>
      <c r="Y14" s="1" t="str">
        <f>IFERROR(__xludf.DUMMYFUNCTION("""COMPUTED_VALUE"""),"которые")</f>
        <v>которые</v>
      </c>
      <c r="Z14" s="1" t="str">
        <f>IFERROR(__xludf.DUMMYFUNCTION("""COMPUTED_VALUE"""),"будут")</f>
        <v>будут</v>
      </c>
      <c r="AA14" s="1" t="str">
        <f>IFERROR(__xludf.DUMMYFUNCTION("""COMPUTED_VALUE"""),"рассматривать")</f>
        <v>рассматривать</v>
      </c>
      <c r="AB14" s="1" t="str">
        <f>IFERROR(__xludf.DUMMYFUNCTION("""COMPUTED_VALUE"""),"дела")</f>
        <v>дела</v>
      </c>
      <c r="AC14" s="1" t="str">
        <f>IFERROR(__xludf.DUMMYFUNCTION("""COMPUTED_VALUE"""),"опираясь")</f>
        <v>опираясь</v>
      </c>
    </row>
    <row r="15" ht="14.25" customHeight="1">
      <c r="A15" s="1" t="s">
        <v>180</v>
      </c>
      <c r="B15" s="1" t="s">
        <v>181</v>
      </c>
      <c r="C15" s="2" t="s">
        <v>182</v>
      </c>
      <c r="D15" s="7" t="s">
        <v>183</v>
      </c>
      <c r="E15" s="1" t="s">
        <v>25</v>
      </c>
      <c r="F15" s="4" t="s">
        <v>184</v>
      </c>
      <c r="G15" s="4" t="s">
        <v>183</v>
      </c>
      <c r="H15" s="8" t="s">
        <v>185</v>
      </c>
      <c r="I15" s="4" t="s">
        <v>186</v>
      </c>
      <c r="J15" s="1" t="s">
        <v>187</v>
      </c>
      <c r="L15" s="1" t="s">
        <v>188</v>
      </c>
      <c r="M15" s="1" t="s">
        <v>113</v>
      </c>
      <c r="N15" s="1" t="s">
        <v>51</v>
      </c>
      <c r="O15" s="1" t="s">
        <v>189</v>
      </c>
      <c r="P15" s="1" t="s">
        <v>81</v>
      </c>
      <c r="Q15" s="1" t="s">
        <v>190</v>
      </c>
      <c r="R15" s="1" t="s">
        <v>191</v>
      </c>
      <c r="S15" s="1" t="s">
        <v>70</v>
      </c>
      <c r="T15" s="1" t="s">
        <v>36</v>
      </c>
      <c r="U15" s="4" t="s">
        <v>192</v>
      </c>
      <c r="X15" s="1" t="str">
        <f>IFERROR(__xludf.DUMMYFUNCTION("split(F15,"" ,:;.?!"")"),"мудрости")</f>
        <v>мудрости</v>
      </c>
      <c r="Y15" s="1" t="str">
        <f>IFERROR(__xludf.DUMMYFUNCTION("""COMPUTED_VALUE"""),"наших")</f>
        <v>наших</v>
      </c>
      <c r="Z15" s="1" t="str">
        <f>IFERROR(__xludf.DUMMYFUNCTION("""COMPUTED_VALUE"""),"предков")</f>
        <v>предков</v>
      </c>
    </row>
    <row r="16" ht="14.25" customHeight="1">
      <c r="A16" s="1" t="s">
        <v>193</v>
      </c>
      <c r="B16" s="1" t="s">
        <v>194</v>
      </c>
      <c r="C16" s="2" t="s">
        <v>195</v>
      </c>
      <c r="D16" s="7" t="s">
        <v>196</v>
      </c>
      <c r="E16" s="1" t="s">
        <v>197</v>
      </c>
      <c r="F16" s="4" t="s">
        <v>198</v>
      </c>
      <c r="G16" s="4" t="s">
        <v>196</v>
      </c>
      <c r="H16" s="8" t="s">
        <v>199</v>
      </c>
      <c r="I16" s="4" t="s">
        <v>200</v>
      </c>
      <c r="J16" s="1" t="s">
        <v>201</v>
      </c>
      <c r="K16" s="1" t="s">
        <v>202</v>
      </c>
      <c r="L16" s="1" t="s">
        <v>203</v>
      </c>
      <c r="M16" s="1" t="s">
        <v>113</v>
      </c>
      <c r="N16" s="1" t="s">
        <v>51</v>
      </c>
      <c r="O16" s="1" t="s">
        <v>67</v>
      </c>
      <c r="P16" s="1" t="s">
        <v>114</v>
      </c>
      <c r="Q16" s="1" t="s">
        <v>204</v>
      </c>
      <c r="R16" s="1" t="s">
        <v>205</v>
      </c>
      <c r="S16" s="1" t="s">
        <v>166</v>
      </c>
      <c r="T16" s="1" t="s">
        <v>36</v>
      </c>
      <c r="U16" s="4" t="s">
        <v>206</v>
      </c>
      <c r="X16" s="1" t="str">
        <f>IFERROR(__xludf.DUMMYFUNCTION("split(F16,"" ,:;.?!"")"),"СПС")</f>
        <v>СПС</v>
      </c>
      <c r="Y16" s="1" t="str">
        <f>IFERROR(__xludf.DUMMYFUNCTION("""COMPUTED_VALUE"""),"и")</f>
        <v>и</v>
      </c>
      <c r="Z16" s="1" t="str">
        <f>IFERROR(__xludf.DUMMYFUNCTION("""COMPUTED_VALUE"""),"""Яблоку""")</f>
        <v>"Яблоку"</v>
      </c>
      <c r="AA16" s="1" t="str">
        <f>IFERROR(__xludf.DUMMYFUNCTION("""COMPUTED_VALUE"""),"в")</f>
        <v>в</v>
      </c>
      <c r="AB16" s="1" t="str">
        <f>IFERROR(__xludf.DUMMYFUNCTION("""COMPUTED_VALUE"""),"массе")</f>
        <v>массе</v>
      </c>
      <c r="AC16" s="1" t="str">
        <f>IFERROR(__xludf.DUMMYFUNCTION("""COMPUTED_VALUE"""),"не")</f>
        <v>не</v>
      </c>
    </row>
    <row r="17" ht="14.25" customHeight="1">
      <c r="A17" s="1" t="s">
        <v>207</v>
      </c>
      <c r="B17" s="1" t="s">
        <v>208</v>
      </c>
      <c r="C17" s="2" t="s">
        <v>209</v>
      </c>
      <c r="D17" s="7" t="s">
        <v>210</v>
      </c>
      <c r="E17" s="1" t="s">
        <v>25</v>
      </c>
      <c r="F17" s="4" t="s">
        <v>211</v>
      </c>
      <c r="G17" s="4" t="s">
        <v>210</v>
      </c>
      <c r="H17" s="8" t="s">
        <v>212</v>
      </c>
      <c r="I17" s="4" t="s">
        <v>213</v>
      </c>
      <c r="L17" s="1" t="s">
        <v>214</v>
      </c>
      <c r="M17" s="1" t="s">
        <v>113</v>
      </c>
      <c r="N17" s="1" t="s">
        <v>51</v>
      </c>
      <c r="O17" s="1" t="s">
        <v>215</v>
      </c>
      <c r="P17" s="1" t="s">
        <v>53</v>
      </c>
      <c r="Q17" s="1" t="s">
        <v>141</v>
      </c>
      <c r="R17" s="1" t="s">
        <v>113</v>
      </c>
      <c r="S17" s="1" t="s">
        <v>70</v>
      </c>
      <c r="T17" s="1" t="s">
        <v>36</v>
      </c>
      <c r="U17" s="4" t="s">
        <v>216</v>
      </c>
      <c r="X17" s="1" t="str">
        <f>IFERROR(__xludf.DUMMYFUNCTION("split(F17,"" ,:;.?!"")"),"муравью")</f>
        <v>муравью</v>
      </c>
      <c r="Y17" s="1" t="str">
        <f>IFERROR(__xludf.DUMMYFUNCTION("""COMPUTED_VALUE"""),"который")</f>
        <v>который</v>
      </c>
      <c r="Z17" s="1" t="str">
        <f>IFERROR(__xludf.DUMMYFUNCTION("""COMPUTED_VALUE"""),"шёл")</f>
        <v>шёл</v>
      </c>
      <c r="AA17" s="1" t="str">
        <f>IFERROR(__xludf.DUMMYFUNCTION("""COMPUTED_VALUE"""),"с")</f>
        <v>с</v>
      </c>
      <c r="AB17" s="1" t="str">
        <f>IFERROR(__xludf.DUMMYFUNCTION("""COMPUTED_VALUE"""),"большой")</f>
        <v>большой</v>
      </c>
      <c r="AC17" s="1" t="str">
        <f>IFERROR(__xludf.DUMMYFUNCTION("""COMPUTED_VALUE"""),"поклажей")</f>
        <v>поклажей</v>
      </c>
    </row>
    <row r="18" ht="14.25" customHeight="1">
      <c r="A18" s="1" t="s">
        <v>25</v>
      </c>
      <c r="B18" s="1" t="s">
        <v>217</v>
      </c>
      <c r="C18" s="2"/>
      <c r="D18" s="7" t="s">
        <v>218</v>
      </c>
      <c r="E18" s="1" t="s">
        <v>25</v>
      </c>
      <c r="F18" s="4" t="s">
        <v>219</v>
      </c>
      <c r="G18" s="4" t="s">
        <v>218</v>
      </c>
      <c r="H18" s="8" t="s">
        <v>86</v>
      </c>
      <c r="I18" s="4" t="s">
        <v>220</v>
      </c>
      <c r="L18" s="1" t="s">
        <v>221</v>
      </c>
      <c r="M18" s="1" t="s">
        <v>113</v>
      </c>
      <c r="N18" s="1" t="s">
        <v>51</v>
      </c>
      <c r="O18" s="1" t="s">
        <v>52</v>
      </c>
      <c r="P18" s="1" t="s">
        <v>81</v>
      </c>
      <c r="Q18" s="1" t="s">
        <v>222</v>
      </c>
      <c r="R18" s="1" t="s">
        <v>223</v>
      </c>
      <c r="S18" s="1" t="s">
        <v>166</v>
      </c>
      <c r="T18" s="1" t="s">
        <v>36</v>
      </c>
      <c r="U18" s="4" t="s">
        <v>224</v>
      </c>
      <c r="X18" s="1" t="str">
        <f>IFERROR(__xludf.DUMMYFUNCTION("split(F18,"" ,:;.?!"")"),"жизни")</f>
        <v>жизни</v>
      </c>
      <c r="Y18" s="1" t="str">
        <f>IFERROR(__xludf.DUMMYFUNCTION("""COMPUTED_VALUE"""),"и")</f>
        <v>и</v>
      </c>
      <c r="Z18" s="1" t="str">
        <f>IFERROR(__xludf.DUMMYFUNCTION("""COMPUTED_VALUE"""),"дальше")</f>
        <v>дальше</v>
      </c>
      <c r="AA18" s="1" t="str">
        <f>IFERROR(__xludf.DUMMYFUNCTION("""COMPUTED_VALUE"""),"со")</f>
        <v>со</v>
      </c>
      <c r="AB18" s="1" t="str">
        <f>IFERROR(__xludf.DUMMYFUNCTION("""COMPUTED_VALUE"""),"всеми")</f>
        <v>всеми</v>
      </c>
      <c r="AC18" s="1" t="str">
        <f>IFERROR(__xludf.DUMMYFUNCTION("""COMPUTED_VALUE"""),"вытекающими")</f>
        <v>вытекающими</v>
      </c>
    </row>
    <row r="19" ht="14.25" customHeight="1">
      <c r="A19" s="1" t="s">
        <v>225</v>
      </c>
      <c r="B19" s="1" t="s">
        <v>156</v>
      </c>
      <c r="C19" s="2" t="s">
        <v>226</v>
      </c>
      <c r="D19" s="7" t="s">
        <v>158</v>
      </c>
      <c r="E19" s="1" t="s">
        <v>25</v>
      </c>
      <c r="F19" s="4" t="s">
        <v>227</v>
      </c>
      <c r="G19" s="4" t="s">
        <v>158</v>
      </c>
      <c r="H19" s="8" t="s">
        <v>228</v>
      </c>
      <c r="I19" s="4" t="s">
        <v>229</v>
      </c>
      <c r="J19" s="1" t="s">
        <v>230</v>
      </c>
      <c r="L19" s="1" t="s">
        <v>231</v>
      </c>
      <c r="M19" s="1" t="s">
        <v>232</v>
      </c>
      <c r="N19" s="1" t="s">
        <v>51</v>
      </c>
      <c r="O19" s="1" t="s">
        <v>67</v>
      </c>
      <c r="P19" s="1" t="s">
        <v>233</v>
      </c>
      <c r="Q19" s="1" t="s">
        <v>234</v>
      </c>
      <c r="R19" s="1" t="s">
        <v>235</v>
      </c>
      <c r="S19" s="1" t="s">
        <v>166</v>
      </c>
      <c r="T19" s="1" t="s">
        <v>36</v>
      </c>
      <c r="U19" s="4" t="s">
        <v>236</v>
      </c>
      <c r="X19" s="1" t="str">
        <f>IFERROR(__xludf.DUMMYFUNCTION("split(F19,"" ,:;.?!"")"),"исполнению")</f>
        <v>исполнению</v>
      </c>
      <c r="Y19" s="1" t="str">
        <f>IFERROR(__xludf.DUMMYFUNCTION("""COMPUTED_VALUE"""),"мечты")</f>
        <v>мечты</v>
      </c>
      <c r="Z19" s="1" t="str">
        <f>IFERROR(__xludf.DUMMYFUNCTION("""COMPUTED_VALUE"""),"всего")</f>
        <v>всего</v>
      </c>
      <c r="AA19" s="1" t="str">
        <f>IFERROR(__xludf.DUMMYFUNCTION("""COMPUTED_VALUE"""),"несколько")</f>
        <v>несколько</v>
      </c>
      <c r="AB19" s="1" t="str">
        <f>IFERROR(__xludf.DUMMYFUNCTION("""COMPUTED_VALUE"""),"человек")</f>
        <v>человек</v>
      </c>
    </row>
    <row r="20" ht="14.25" customHeight="1">
      <c r="A20" s="1" t="s">
        <v>237</v>
      </c>
      <c r="B20" s="1" t="s">
        <v>238</v>
      </c>
      <c r="C20" s="2" t="s">
        <v>239</v>
      </c>
      <c r="D20" s="7" t="s">
        <v>240</v>
      </c>
      <c r="E20" s="1" t="s">
        <v>25</v>
      </c>
      <c r="F20" s="4" t="s">
        <v>241</v>
      </c>
      <c r="G20" s="4" t="s">
        <v>240</v>
      </c>
      <c r="H20" s="8" t="s">
        <v>242</v>
      </c>
      <c r="I20" s="4" t="s">
        <v>243</v>
      </c>
      <c r="J20" s="1" t="s">
        <v>244</v>
      </c>
      <c r="L20" s="1" t="s">
        <v>245</v>
      </c>
      <c r="M20" s="1" t="s">
        <v>232</v>
      </c>
      <c r="N20" s="1" t="s">
        <v>51</v>
      </c>
      <c r="O20" s="1" t="s">
        <v>67</v>
      </c>
      <c r="P20" s="1" t="s">
        <v>53</v>
      </c>
      <c r="Q20" s="1" t="s">
        <v>246</v>
      </c>
      <c r="R20" s="1" t="s">
        <v>247</v>
      </c>
      <c r="S20" s="1" t="s">
        <v>70</v>
      </c>
      <c r="T20" s="1" t="s">
        <v>36</v>
      </c>
      <c r="U20" s="4" t="s">
        <v>248</v>
      </c>
      <c r="X20" s="1" t="str">
        <f>IFERROR(__xludf.DUMMYFUNCTION("split(F20,"" ,:;.?!"")"),"ажиотажу")</f>
        <v>ажиотажу</v>
      </c>
      <c r="Y20" s="1" t="str">
        <f>IFERROR(__xludf.DUMMYFUNCTION("""COMPUTED_VALUE"""),"вокруг")</f>
        <v>вокруг</v>
      </c>
      <c r="Z20" s="1" t="str">
        <f>IFERROR(__xludf.DUMMYFUNCTION("""COMPUTED_VALUE"""),"своей")</f>
        <v>своей</v>
      </c>
      <c r="AA20" s="1" t="str">
        <f>IFERROR(__xludf.DUMMYFUNCTION("""COMPUTED_VALUE"""),"марки")</f>
        <v>марки</v>
      </c>
      <c r="AB20" s="1" t="str">
        <f>IFERROR(__xludf.DUMMYFUNCTION("""COMPUTED_VALUE"""),"вот")</f>
        <v>вот</v>
      </c>
      <c r="AC20" s="1" t="str">
        <f>IFERROR(__xludf.DUMMYFUNCTION("""COMPUTED_VALUE"""),"так")</f>
        <v>так</v>
      </c>
    </row>
    <row r="21" ht="14.25" customHeight="1">
      <c r="A21" s="1" t="s">
        <v>249</v>
      </c>
      <c r="B21" s="1" t="s">
        <v>250</v>
      </c>
      <c r="C21" s="2" t="s">
        <v>251</v>
      </c>
      <c r="D21" s="7" t="s">
        <v>252</v>
      </c>
      <c r="E21" s="1" t="s">
        <v>25</v>
      </c>
      <c r="F21" s="4" t="s">
        <v>253</v>
      </c>
      <c r="G21" s="4" t="s">
        <v>252</v>
      </c>
      <c r="H21" s="8" t="s">
        <v>160</v>
      </c>
      <c r="I21" s="4" t="s">
        <v>254</v>
      </c>
      <c r="J21" s="1" t="s">
        <v>255</v>
      </c>
      <c r="K21" s="1" t="s">
        <v>202</v>
      </c>
      <c r="L21" s="1" t="s">
        <v>256</v>
      </c>
      <c r="M21" s="1" t="s">
        <v>232</v>
      </c>
      <c r="N21" s="1" t="s">
        <v>51</v>
      </c>
      <c r="O21" s="1" t="s">
        <v>257</v>
      </c>
      <c r="P21" s="1" t="s">
        <v>114</v>
      </c>
      <c r="Q21" s="1" t="s">
        <v>234</v>
      </c>
      <c r="R21" s="1" t="s">
        <v>258</v>
      </c>
      <c r="S21" s="1" t="s">
        <v>166</v>
      </c>
      <c r="T21" s="1" t="s">
        <v>36</v>
      </c>
      <c r="U21" s="4" t="s">
        <v>259</v>
      </c>
      <c r="X21" s="1" t="str">
        <f>IFERROR(__xludf.DUMMYFUNCTION("split(F21,"" ,:;.?!"")"),"росту")</f>
        <v>росту</v>
      </c>
      <c r="Y21" s="1" t="str">
        <f>IFERROR(__xludf.DUMMYFUNCTION("""COMPUTED_VALUE"""),"антигерманских")</f>
        <v>антигерманских</v>
      </c>
      <c r="Z21" s="1" t="str">
        <f>IFERROR(__xludf.DUMMYFUNCTION("""COMPUTED_VALUE"""),"настроений")</f>
        <v>настроений</v>
      </c>
    </row>
    <row r="22" ht="14.25" customHeight="1">
      <c r="A22" s="1" t="s">
        <v>260</v>
      </c>
      <c r="B22" s="1" t="s">
        <v>261</v>
      </c>
      <c r="C22" s="2" t="s">
        <v>262</v>
      </c>
      <c r="D22" s="7" t="s">
        <v>263</v>
      </c>
      <c r="E22" s="1" t="s">
        <v>25</v>
      </c>
      <c r="F22" s="4" t="s">
        <v>264</v>
      </c>
      <c r="G22" s="4" t="s">
        <v>263</v>
      </c>
      <c r="H22" s="8" t="s">
        <v>265</v>
      </c>
      <c r="I22" s="4" t="s">
        <v>266</v>
      </c>
      <c r="J22" s="1" t="s">
        <v>267</v>
      </c>
      <c r="K22" s="1" t="s">
        <v>268</v>
      </c>
      <c r="L22" s="1" t="s">
        <v>269</v>
      </c>
      <c r="M22" s="1" t="s">
        <v>232</v>
      </c>
      <c r="N22" s="1" t="s">
        <v>51</v>
      </c>
      <c r="O22" s="1" t="s">
        <v>270</v>
      </c>
      <c r="Q22" s="1" t="s">
        <v>271</v>
      </c>
      <c r="R22" s="1" t="s">
        <v>232</v>
      </c>
      <c r="S22" s="1" t="s">
        <v>272</v>
      </c>
      <c r="T22" s="1" t="s">
        <v>36</v>
      </c>
      <c r="U22" s="4" t="s">
        <v>273</v>
      </c>
      <c r="X22" s="1" t="str">
        <f>IFERROR(__xludf.DUMMYFUNCTION("split(F22,"" ,:;.?!"")"),"Галине")</f>
        <v>Галине</v>
      </c>
      <c r="Y22" s="1" t="str">
        <f>IFERROR(__xludf.DUMMYFUNCTION("""COMPUTED_VALUE"""),"как")</f>
        <v>как</v>
      </c>
      <c r="Z22" s="1" t="str">
        <f>IFERROR(__xludf.DUMMYFUNCTION("""COMPUTED_VALUE"""),"кровь")</f>
        <v>кровь</v>
      </c>
      <c r="AA22" s="1" t="str">
        <f>IFERROR(__xludf.DUMMYFUNCTION("""COMPUTED_VALUE"""),"приливает")</f>
        <v>приливает</v>
      </c>
      <c r="AB22" s="1" t="str">
        <f>IFERROR(__xludf.DUMMYFUNCTION("""COMPUTED_VALUE"""),"к")</f>
        <v>к</v>
      </c>
      <c r="AC22" s="1" t="str">
        <f>IFERROR(__xludf.DUMMYFUNCTION("""COMPUTED_VALUE"""),"лицу")</f>
        <v>лицу</v>
      </c>
    </row>
    <row r="23" ht="14.25" customHeight="1">
      <c r="A23" s="1" t="s">
        <v>274</v>
      </c>
      <c r="B23" s="1" t="s">
        <v>275</v>
      </c>
      <c r="C23" s="2" t="s">
        <v>276</v>
      </c>
      <c r="D23" s="7" t="s">
        <v>277</v>
      </c>
      <c r="E23" s="1" t="s">
        <v>25</v>
      </c>
      <c r="F23" s="4" t="s">
        <v>278</v>
      </c>
      <c r="G23" s="4" t="s">
        <v>277</v>
      </c>
      <c r="H23" s="8" t="s">
        <v>279</v>
      </c>
      <c r="I23" s="4" t="s">
        <v>280</v>
      </c>
      <c r="J23" s="1" t="s">
        <v>281</v>
      </c>
      <c r="K23" s="1" t="s">
        <v>282</v>
      </c>
      <c r="L23" s="1" t="s">
        <v>283</v>
      </c>
      <c r="M23" s="1" t="s">
        <v>232</v>
      </c>
      <c r="N23" s="1" t="s">
        <v>139</v>
      </c>
      <c r="O23" s="1" t="s">
        <v>284</v>
      </c>
      <c r="Q23" s="1" t="s">
        <v>285</v>
      </c>
      <c r="R23" s="1" t="s">
        <v>232</v>
      </c>
      <c r="S23" s="1" t="s">
        <v>70</v>
      </c>
      <c r="T23" s="1" t="s">
        <v>36</v>
      </c>
      <c r="U23" s="4" t="s">
        <v>286</v>
      </c>
      <c r="X23" s="1" t="str">
        <f>IFERROR(__xludf.DUMMYFUNCTION("split(F23,"" ,:;.?!"")"),"слову")</f>
        <v>слову</v>
      </c>
      <c r="Y23" s="1" t="str">
        <f>IFERROR(__xludf.DUMMYFUNCTION("""COMPUTED_VALUE"""),"""домой""")</f>
        <v>"домой"</v>
      </c>
    </row>
    <row r="24" ht="14.25" customHeight="1">
      <c r="A24" s="1" t="s">
        <v>287</v>
      </c>
      <c r="B24" s="1" t="s">
        <v>288</v>
      </c>
      <c r="C24" s="2" t="s">
        <v>289</v>
      </c>
      <c r="D24" s="7" t="s">
        <v>290</v>
      </c>
      <c r="E24" s="1" t="s">
        <v>25</v>
      </c>
      <c r="F24" s="4" t="s">
        <v>291</v>
      </c>
      <c r="G24" s="4" t="s">
        <v>290</v>
      </c>
      <c r="H24" s="8" t="s">
        <v>292</v>
      </c>
      <c r="I24" s="4" t="s">
        <v>293</v>
      </c>
      <c r="J24" s="1" t="s">
        <v>294</v>
      </c>
      <c r="L24" s="1" t="s">
        <v>295</v>
      </c>
      <c r="M24" s="1" t="s">
        <v>232</v>
      </c>
      <c r="N24" s="1" t="s">
        <v>51</v>
      </c>
      <c r="O24" s="1" t="s">
        <v>296</v>
      </c>
      <c r="P24" s="1" t="s">
        <v>297</v>
      </c>
      <c r="Q24" s="1" t="s">
        <v>298</v>
      </c>
      <c r="R24" s="1" t="s">
        <v>299</v>
      </c>
      <c r="S24" s="1" t="s">
        <v>166</v>
      </c>
      <c r="T24" s="1" t="s">
        <v>36</v>
      </c>
      <c r="U24" s="4" t="s">
        <v>300</v>
      </c>
      <c r="X24" s="1" t="str">
        <f>IFERROR(__xludf.DUMMYFUNCTION("split(F24,"" ,:;.?!"")"),"встрече")</f>
        <v>встрече</v>
      </c>
      <c r="Y24" s="1" t="str">
        <f>IFERROR(__xludf.DUMMYFUNCTION("""COMPUTED_VALUE"""),"у")</f>
        <v>у</v>
      </c>
      <c r="Z24" s="1" t="str">
        <f>IFERROR(__xludf.DUMMYFUNCTION("""COMPUTED_VALUE"""),"любимой")</f>
        <v>любимой</v>
      </c>
      <c r="AA24" s="1" t="str">
        <f>IFERROR(__xludf.DUMMYFUNCTION("""COMPUTED_VALUE"""),"Max")</f>
        <v>Max</v>
      </c>
      <c r="AB24" s="1" t="str">
        <f>IFERROR(__xludf.DUMMYFUNCTION("""COMPUTED_VALUE"""),"Mara")</f>
        <v>Mara</v>
      </c>
      <c r="AC24" s="1" t="str">
        <f>IFERROR(__xludf.DUMMYFUNCTION("""COMPUTED_VALUE"""),"и")</f>
        <v>и</v>
      </c>
    </row>
    <row r="25" ht="14.25" customHeight="1">
      <c r="A25" s="1" t="s">
        <v>301</v>
      </c>
      <c r="B25" s="1" t="s">
        <v>302</v>
      </c>
      <c r="C25" s="2" t="s">
        <v>303</v>
      </c>
      <c r="D25" s="7" t="s">
        <v>304</v>
      </c>
      <c r="E25" s="1" t="s">
        <v>25</v>
      </c>
      <c r="F25" s="4" t="s">
        <v>305</v>
      </c>
      <c r="G25" s="4" t="s">
        <v>304</v>
      </c>
      <c r="H25" s="8" t="s">
        <v>306</v>
      </c>
      <c r="I25" s="4" t="s">
        <v>307</v>
      </c>
      <c r="L25" s="1" t="s">
        <v>308</v>
      </c>
      <c r="M25" s="1" t="s">
        <v>232</v>
      </c>
      <c r="N25" s="1" t="s">
        <v>51</v>
      </c>
      <c r="O25" s="1" t="s">
        <v>189</v>
      </c>
      <c r="P25" s="1" t="s">
        <v>68</v>
      </c>
      <c r="Q25" s="1" t="s">
        <v>246</v>
      </c>
      <c r="R25" s="1" t="s">
        <v>309</v>
      </c>
      <c r="S25" s="1" t="s">
        <v>70</v>
      </c>
      <c r="T25" s="1" t="s">
        <v>36</v>
      </c>
      <c r="U25" s="4" t="s">
        <v>310</v>
      </c>
      <c r="X25" s="1" t="str">
        <f>IFERROR(__xludf.DUMMYFUNCTION("split(F25,"" ,:;.?!"")"),"красоте")</f>
        <v>красоте</v>
      </c>
      <c r="Y25" s="1" t="str">
        <f>IFERROR(__xludf.DUMMYFUNCTION("""COMPUTED_VALUE"""),"полов")</f>
        <v>полов</v>
      </c>
      <c r="Z25" s="1" t="str">
        <f>IFERROR(__xludf.DUMMYFUNCTION("""COMPUTED_VALUE"""),"которые")</f>
        <v>которые</v>
      </c>
      <c r="AA25" s="1" t="str">
        <f>IFERROR(__xludf.DUMMYFUNCTION("""COMPUTED_VALUE"""),"создавали")</f>
        <v>создавали</v>
      </c>
      <c r="AB25" s="1" t="str">
        <f>IFERROR(__xludf.DUMMYFUNCTION("""COMPUTED_VALUE"""),"когда-то")</f>
        <v>когда-то</v>
      </c>
      <c r="AC25" s="1" t="str">
        <f>IFERROR(__xludf.DUMMYFUNCTION("""COMPUTED_VALUE"""),"архитекторы")</f>
        <v>архитекторы</v>
      </c>
    </row>
    <row r="26" ht="14.25" customHeight="1">
      <c r="A26" s="1" t="s">
        <v>311</v>
      </c>
      <c r="B26" s="1" t="s">
        <v>312</v>
      </c>
      <c r="C26" s="2" t="s">
        <v>313</v>
      </c>
      <c r="D26" s="7" t="s">
        <v>314</v>
      </c>
      <c r="E26" s="1" t="s">
        <v>25</v>
      </c>
      <c r="F26" s="4" t="s">
        <v>315</v>
      </c>
      <c r="G26" s="4" t="s">
        <v>314</v>
      </c>
      <c r="H26" s="8" t="s">
        <v>316</v>
      </c>
      <c r="I26" s="4" t="s">
        <v>317</v>
      </c>
      <c r="J26" s="1" t="s">
        <v>318</v>
      </c>
      <c r="K26" s="1" t="s">
        <v>319</v>
      </c>
      <c r="L26" s="1" t="s">
        <v>320</v>
      </c>
      <c r="M26" s="1" t="s">
        <v>321</v>
      </c>
      <c r="N26" s="1" t="s">
        <v>139</v>
      </c>
      <c r="O26" s="1" t="s">
        <v>284</v>
      </c>
      <c r="Q26" s="1" t="s">
        <v>322</v>
      </c>
      <c r="R26" s="1" t="s">
        <v>232</v>
      </c>
      <c r="S26" s="1" t="s">
        <v>272</v>
      </c>
      <c r="T26" s="1" t="s">
        <v>36</v>
      </c>
      <c r="U26" s="4" t="s">
        <v>323</v>
      </c>
      <c r="X26" s="1" t="str">
        <f>IFERROR(__xludf.DUMMYFUNCTION("split(F26,"" ,:;.?!"")"),"девчаткам")</f>
        <v>девчаткам</v>
      </c>
      <c r="Y26" s="1" t="str">
        <f>IFERROR(__xludf.DUMMYFUNCTION("""COMPUTED_VALUE"""),"которых")</f>
        <v>которых</v>
      </c>
      <c r="Z26" s="1" t="str">
        <f>IFERROR(__xludf.DUMMYFUNCTION("""COMPUTED_VALUE"""),"грузовик")</f>
        <v>грузовик</v>
      </c>
      <c r="AA26" s="1" t="str">
        <f>IFERROR(__xludf.DUMMYFUNCTION("""COMPUTED_VALUE"""),"повёз")</f>
        <v>повёз</v>
      </c>
      <c r="AB26" s="1" t="str">
        <f>IFERROR(__xludf.DUMMYFUNCTION("""COMPUTED_VALUE"""),"дальше")</f>
        <v>дальше</v>
      </c>
      <c r="AC26" s="1" t="str">
        <f>IFERROR(__xludf.DUMMYFUNCTION("""COMPUTED_VALUE"""),"его")</f>
        <v>его</v>
      </c>
    </row>
    <row r="27" ht="14.25" customHeight="1">
      <c r="A27" s="1" t="s">
        <v>324</v>
      </c>
      <c r="B27" s="1" t="s">
        <v>325</v>
      </c>
      <c r="C27" s="2" t="s">
        <v>326</v>
      </c>
      <c r="D27" s="7" t="s">
        <v>327</v>
      </c>
      <c r="E27" s="1" t="s">
        <v>25</v>
      </c>
      <c r="F27" s="4" t="s">
        <v>328</v>
      </c>
      <c r="G27" s="4" t="s">
        <v>327</v>
      </c>
      <c r="H27" s="8" t="s">
        <v>329</v>
      </c>
      <c r="I27" s="4" t="s">
        <v>330</v>
      </c>
      <c r="J27" s="1" t="s">
        <v>331</v>
      </c>
      <c r="K27" s="1" t="s">
        <v>332</v>
      </c>
      <c r="L27" s="1" t="s">
        <v>333</v>
      </c>
      <c r="M27" s="1" t="s">
        <v>321</v>
      </c>
      <c r="N27" s="1" t="s">
        <v>51</v>
      </c>
      <c r="O27" s="1" t="s">
        <v>215</v>
      </c>
      <c r="P27" s="1" t="s">
        <v>53</v>
      </c>
      <c r="Q27" s="1" t="s">
        <v>141</v>
      </c>
      <c r="R27" s="1" t="s">
        <v>321</v>
      </c>
      <c r="S27" s="1" t="s">
        <v>70</v>
      </c>
      <c r="T27" s="1" t="s">
        <v>36</v>
      </c>
      <c r="U27" s="4" t="s">
        <v>334</v>
      </c>
      <c r="X27" s="1" t="str">
        <f>IFERROR(__xludf.DUMMYFUNCTION("split(F27,"" ,:;.?!"")"),"китам")</f>
        <v>китам</v>
      </c>
      <c r="Y27" s="1" t="str">
        <f>IFERROR(__xludf.DUMMYFUNCTION("""COMPUTED_VALUE"""),"дельфинам")</f>
        <v>дельфинам</v>
      </c>
      <c r="Z27" s="1" t="str">
        <f>IFERROR(__xludf.DUMMYFUNCTION("""COMPUTED_VALUE"""),"огромным")</f>
        <v>огромным</v>
      </c>
      <c r="AA27" s="1" t="str">
        <f>IFERROR(__xludf.DUMMYFUNCTION("""COMPUTED_VALUE"""),"черепахам")</f>
        <v>черепахам</v>
      </c>
      <c r="AB27" s="1" t="str">
        <f>IFERROR(__xludf.DUMMYFUNCTION("""COMPUTED_VALUE"""),"с")</f>
        <v>с</v>
      </c>
      <c r="AC27" s="1" t="str">
        <f>IFERROR(__xludf.DUMMYFUNCTION("""COMPUTED_VALUE"""),"другими")</f>
        <v>другими</v>
      </c>
    </row>
    <row r="28" ht="14.25" customHeight="1">
      <c r="A28" s="1" t="s">
        <v>335</v>
      </c>
      <c r="B28" s="1" t="s">
        <v>131</v>
      </c>
      <c r="C28" s="2" t="s">
        <v>336</v>
      </c>
      <c r="D28" s="7" t="s">
        <v>133</v>
      </c>
      <c r="E28" s="1" t="s">
        <v>25</v>
      </c>
      <c r="F28" s="4" t="s">
        <v>337</v>
      </c>
      <c r="G28" s="4" t="s">
        <v>133</v>
      </c>
      <c r="H28" s="8" t="s">
        <v>338</v>
      </c>
      <c r="I28" s="4" t="s">
        <v>339</v>
      </c>
      <c r="J28" s="1" t="s">
        <v>340</v>
      </c>
      <c r="L28" s="1" t="s">
        <v>341</v>
      </c>
      <c r="M28" s="1" t="s">
        <v>321</v>
      </c>
      <c r="N28" s="1" t="s">
        <v>51</v>
      </c>
      <c r="O28" s="1" t="s">
        <v>67</v>
      </c>
      <c r="P28" s="1" t="s">
        <v>233</v>
      </c>
      <c r="Q28" s="1" t="s">
        <v>234</v>
      </c>
      <c r="R28" s="1" t="s">
        <v>342</v>
      </c>
      <c r="S28" s="1" t="s">
        <v>166</v>
      </c>
      <c r="T28" s="1" t="s">
        <v>36</v>
      </c>
      <c r="U28" s="4" t="s">
        <v>343</v>
      </c>
      <c r="X28" s="1" t="str">
        <f>IFERROR(__xludf.DUMMYFUNCTION("split(F28,"" ,:;.?!"")"),"терактам")</f>
        <v>терактам</v>
      </c>
      <c r="Y28" s="1" t="str">
        <f>IFERROR(__xludf.DUMMYFUNCTION("""COMPUTED_VALUE"""),"в")</f>
        <v>в</v>
      </c>
      <c r="Z28" s="1" t="str">
        <f>IFERROR(__xludf.DUMMYFUNCTION("""COMPUTED_VALUE"""),"США")</f>
        <v>США</v>
      </c>
    </row>
    <row r="29" ht="14.25" customHeight="1">
      <c r="A29" s="1" t="s">
        <v>344</v>
      </c>
      <c r="B29" s="1" t="s">
        <v>345</v>
      </c>
      <c r="C29" s="2" t="s">
        <v>346</v>
      </c>
      <c r="D29" s="7" t="s">
        <v>347</v>
      </c>
      <c r="E29" s="1" t="s">
        <v>25</v>
      </c>
      <c r="F29" s="4" t="s">
        <v>348</v>
      </c>
      <c r="G29" s="4" t="s">
        <v>347</v>
      </c>
      <c r="H29" s="8" t="s">
        <v>349</v>
      </c>
      <c r="I29" s="4" t="s">
        <v>350</v>
      </c>
      <c r="J29" s="1" t="s">
        <v>351</v>
      </c>
      <c r="L29" s="1" t="s">
        <v>352</v>
      </c>
      <c r="M29" s="1" t="s">
        <v>321</v>
      </c>
      <c r="N29" s="1" t="s">
        <v>51</v>
      </c>
      <c r="O29" s="1" t="s">
        <v>67</v>
      </c>
      <c r="P29" s="1" t="s">
        <v>233</v>
      </c>
      <c r="Q29" s="1" t="s">
        <v>234</v>
      </c>
      <c r="R29" s="1" t="s">
        <v>353</v>
      </c>
      <c r="S29" s="1" t="s">
        <v>166</v>
      </c>
      <c r="T29" s="1" t="s">
        <v>36</v>
      </c>
      <c r="U29" s="4" t="s">
        <v>354</v>
      </c>
      <c r="X29" s="1" t="str">
        <f>IFERROR(__xludf.DUMMYFUNCTION("split(F29,"" ,:;.?!"")"),"предложению")</f>
        <v>предложению</v>
      </c>
      <c r="Y29" s="1" t="str">
        <f>IFERROR(__xludf.DUMMYFUNCTION("""COMPUTED_VALUE"""),"побывать")</f>
        <v>побывать</v>
      </c>
      <c r="Z29" s="1" t="str">
        <f>IFERROR(__xludf.DUMMYFUNCTION("""COMPUTED_VALUE"""),"в")</f>
        <v>в</v>
      </c>
      <c r="AA29" s="1" t="str">
        <f>IFERROR(__xludf.DUMMYFUNCTION("""COMPUTED_VALUE"""),"Москве")</f>
        <v>Москве</v>
      </c>
      <c r="AB29" s="1" t="str">
        <f>IFERROR(__xludf.DUMMYFUNCTION("""COMPUTED_VALUE"""),"на")</f>
        <v>на</v>
      </c>
      <c r="AC29" s="1" t="str">
        <f>IFERROR(__xludf.DUMMYFUNCTION("""COMPUTED_VALUE"""),"играх")</f>
        <v>играх</v>
      </c>
    </row>
    <row r="30" ht="14.25" customHeight="1">
      <c r="A30" s="1" t="s">
        <v>355</v>
      </c>
      <c r="B30" s="1" t="s">
        <v>356</v>
      </c>
      <c r="C30" s="2" t="s">
        <v>357</v>
      </c>
      <c r="D30" s="7" t="s">
        <v>358</v>
      </c>
      <c r="E30" s="1" t="s">
        <v>25</v>
      </c>
      <c r="F30" s="4" t="s">
        <v>359</v>
      </c>
      <c r="G30" s="4" t="s">
        <v>358</v>
      </c>
      <c r="H30" s="8" t="s">
        <v>360</v>
      </c>
      <c r="I30" s="4" t="s">
        <v>361</v>
      </c>
      <c r="J30" s="1" t="s">
        <v>362</v>
      </c>
      <c r="K30" s="1" t="s">
        <v>363</v>
      </c>
      <c r="L30" s="1" t="s">
        <v>364</v>
      </c>
      <c r="M30" s="1" t="s">
        <v>365</v>
      </c>
      <c r="N30" s="1" t="s">
        <v>139</v>
      </c>
      <c r="O30" s="1" t="s">
        <v>366</v>
      </c>
      <c r="Q30" s="1" t="s">
        <v>285</v>
      </c>
      <c r="R30" s="1" t="s">
        <v>365</v>
      </c>
      <c r="S30" s="1" t="s">
        <v>70</v>
      </c>
      <c r="T30" s="1" t="s">
        <v>36</v>
      </c>
      <c r="U30" s="4" t="s">
        <v>367</v>
      </c>
      <c r="X30" s="1" t="str">
        <f>IFERROR(__xludf.DUMMYFUNCTION("split(F30,"" ,:;.?!"")"),"мощи")</f>
        <v>мощи</v>
      </c>
      <c r="Y30" s="1" t="str">
        <f>IFERROR(__xludf.DUMMYFUNCTION("""COMPUTED_VALUE"""),"дядиного")</f>
        <v>дядиного</v>
      </c>
      <c r="Z30" s="1" t="str">
        <f>IFERROR(__xludf.DUMMYFUNCTION("""COMPUTED_VALUE"""),"ума")</f>
        <v>ума</v>
      </c>
    </row>
    <row r="31" ht="14.25" customHeight="1">
      <c r="A31" s="1" t="s">
        <v>368</v>
      </c>
      <c r="B31" s="1" t="s">
        <v>369</v>
      </c>
      <c r="C31" s="2" t="s">
        <v>370</v>
      </c>
      <c r="D31" s="7" t="s">
        <v>371</v>
      </c>
      <c r="E31" s="1" t="s">
        <v>25</v>
      </c>
      <c r="F31" s="4" t="s">
        <v>372</v>
      </c>
      <c r="G31" s="4" t="s">
        <v>371</v>
      </c>
      <c r="H31" s="8" t="s">
        <v>373</v>
      </c>
      <c r="I31" s="4" t="s">
        <v>361</v>
      </c>
      <c r="J31" s="1" t="s">
        <v>362</v>
      </c>
      <c r="K31" s="1" t="s">
        <v>363</v>
      </c>
      <c r="L31" s="1" t="s">
        <v>364</v>
      </c>
      <c r="M31" s="1" t="s">
        <v>365</v>
      </c>
      <c r="N31" s="1" t="s">
        <v>139</v>
      </c>
      <c r="O31" s="1" t="s">
        <v>366</v>
      </c>
      <c r="Q31" s="1" t="s">
        <v>285</v>
      </c>
      <c r="R31" s="1" t="s">
        <v>365</v>
      </c>
      <c r="S31" s="1" t="s">
        <v>70</v>
      </c>
      <c r="T31" s="1" t="s">
        <v>36</v>
      </c>
      <c r="U31" s="4" t="s">
        <v>374</v>
      </c>
      <c r="X31" s="1" t="str">
        <f>IFERROR(__xludf.DUMMYFUNCTION("split(F31,"" ,:;.?!"")"),"матери")</f>
        <v>матери</v>
      </c>
      <c r="Y31" s="1" t="str">
        <f>IFERROR(__xludf.DUMMYFUNCTION("""COMPUTED_VALUE"""),"привезти")</f>
        <v>привезти</v>
      </c>
      <c r="Z31" s="1" t="str">
        <f>IFERROR(__xludf.DUMMYFUNCTION("""COMPUTED_VALUE"""),"домой")</f>
        <v>домой</v>
      </c>
      <c r="AA31" s="1" t="str">
        <f>IFERROR(__xludf.DUMMYFUNCTION("""COMPUTED_VALUE"""),"чистокровную")</f>
        <v>чистокровную</v>
      </c>
      <c r="AB31" s="1" t="str">
        <f>IFERROR(__xludf.DUMMYFUNCTION("""COMPUTED_VALUE"""),"немку")</f>
        <v>немку</v>
      </c>
      <c r="AC31" s="1" t="str">
        <f>IFERROR(__xludf.DUMMYFUNCTION("""COMPUTED_VALUE"""),"буде")</f>
        <v>буде</v>
      </c>
    </row>
    <row r="32" ht="14.25" customHeight="1">
      <c r="A32" s="1" t="s">
        <v>375</v>
      </c>
      <c r="B32" s="1" t="s">
        <v>356</v>
      </c>
      <c r="C32" s="2" t="s">
        <v>376</v>
      </c>
      <c r="D32" s="7" t="s">
        <v>358</v>
      </c>
      <c r="E32" s="1" t="s">
        <v>25</v>
      </c>
      <c r="F32" s="4" t="s">
        <v>377</v>
      </c>
      <c r="G32" s="4" t="s">
        <v>358</v>
      </c>
      <c r="H32" s="8" t="s">
        <v>378</v>
      </c>
      <c r="I32" s="4" t="s">
        <v>361</v>
      </c>
      <c r="J32" s="1" t="s">
        <v>362</v>
      </c>
      <c r="K32" s="1" t="s">
        <v>363</v>
      </c>
      <c r="L32" s="1" t="s">
        <v>364</v>
      </c>
      <c r="M32" s="1" t="s">
        <v>365</v>
      </c>
      <c r="N32" s="1" t="s">
        <v>139</v>
      </c>
      <c r="O32" s="1" t="s">
        <v>366</v>
      </c>
      <c r="Q32" s="1" t="s">
        <v>285</v>
      </c>
      <c r="R32" s="1" t="s">
        <v>365</v>
      </c>
      <c r="S32" s="1" t="s">
        <v>70</v>
      </c>
      <c r="T32" s="1" t="s">
        <v>36</v>
      </c>
      <c r="U32" s="4" t="s">
        <v>379</v>
      </c>
      <c r="X32" s="1" t="str">
        <f>IFERROR(__xludf.DUMMYFUNCTION("split(F32,"" ,:;.?!"")"),"одеждам")</f>
        <v>одеждам</v>
      </c>
      <c r="Y32" s="1" t="str">
        <f>IFERROR(__xludf.DUMMYFUNCTION("""COMPUTED_VALUE"""),"отрешённых")</f>
        <v>отрешённых</v>
      </c>
      <c r="Z32" s="1" t="str">
        <f>IFERROR(__xludf.DUMMYFUNCTION("""COMPUTED_VALUE"""),"не")</f>
        <v>не</v>
      </c>
      <c r="AA32" s="1" t="str">
        <f>IFERROR(__xludf.DUMMYFUNCTION("""COMPUTED_VALUE"""),"присущих")</f>
        <v>присущих</v>
      </c>
      <c r="AB32" s="1" t="str">
        <f>IFERROR(__xludf.DUMMYFUNCTION("""COMPUTED_VALUE"""),"этому")</f>
        <v>этому</v>
      </c>
      <c r="AC32" s="1" t="str">
        <f>IFERROR(__xludf.DUMMYFUNCTION("""COMPUTED_VALUE"""),"миру")</f>
        <v>миру</v>
      </c>
    </row>
    <row r="33" ht="14.25" customHeight="1">
      <c r="A33" s="1" t="s">
        <v>380</v>
      </c>
      <c r="B33" s="1" t="s">
        <v>381</v>
      </c>
      <c r="C33" s="2" t="s">
        <v>382</v>
      </c>
      <c r="D33" s="7" t="s">
        <v>383</v>
      </c>
      <c r="E33" s="1" t="s">
        <v>25</v>
      </c>
      <c r="F33" s="4" t="s">
        <v>384</v>
      </c>
      <c r="G33" s="4" t="s">
        <v>383</v>
      </c>
      <c r="H33" s="8" t="s">
        <v>385</v>
      </c>
      <c r="I33" s="4" t="s">
        <v>361</v>
      </c>
      <c r="J33" s="1" t="s">
        <v>362</v>
      </c>
      <c r="K33" s="1" t="s">
        <v>363</v>
      </c>
      <c r="L33" s="1" t="s">
        <v>364</v>
      </c>
      <c r="M33" s="1" t="s">
        <v>365</v>
      </c>
      <c r="N33" s="1" t="s">
        <v>139</v>
      </c>
      <c r="O33" s="1" t="s">
        <v>366</v>
      </c>
      <c r="Q33" s="1" t="s">
        <v>285</v>
      </c>
      <c r="R33" s="1" t="s">
        <v>365</v>
      </c>
      <c r="S33" s="1" t="s">
        <v>70</v>
      </c>
      <c r="T33" s="1" t="s">
        <v>36</v>
      </c>
      <c r="U33" s="4" t="s">
        <v>386</v>
      </c>
      <c r="X33" s="1" t="str">
        <f>IFERROR(__xludf.DUMMYFUNCTION("split(F33,"" ,:;.?!"")"),"метаморфозе")</f>
        <v>метаморфозе</v>
      </c>
      <c r="Y33" s="1" t="str">
        <f>IFERROR(__xludf.DUMMYFUNCTION("""COMPUTED_VALUE"""),"заподозрив")</f>
        <v>заподозрив</v>
      </c>
      <c r="Z33" s="1" t="str">
        <f>IFERROR(__xludf.DUMMYFUNCTION("""COMPUTED_VALUE"""),"в")</f>
        <v>в</v>
      </c>
      <c r="AA33" s="1" t="str">
        <f>IFERROR(__xludf.DUMMYFUNCTION("""COMPUTED_VALUE"""),"набожности")</f>
        <v>набожности</v>
      </c>
      <c r="AB33" s="1" t="str">
        <f>IFERROR(__xludf.DUMMYFUNCTION("""COMPUTED_VALUE"""),"школьного")</f>
        <v>школьного</v>
      </c>
      <c r="AC33" s="1" t="str">
        <f>IFERROR(__xludf.DUMMYFUNCTION("""COMPUTED_VALUE"""),"товарища")</f>
        <v>товарища</v>
      </c>
    </row>
    <row r="34" ht="14.25" customHeight="1">
      <c r="A34" s="1" t="s">
        <v>387</v>
      </c>
      <c r="B34" s="1" t="s">
        <v>118</v>
      </c>
      <c r="C34" s="2" t="s">
        <v>388</v>
      </c>
      <c r="D34" s="7" t="s">
        <v>120</v>
      </c>
      <c r="E34" s="1" t="s">
        <v>25</v>
      </c>
      <c r="F34" s="4" t="s">
        <v>389</v>
      </c>
      <c r="G34" s="4" t="s">
        <v>120</v>
      </c>
      <c r="H34" s="8" t="s">
        <v>390</v>
      </c>
      <c r="I34" s="4" t="s">
        <v>391</v>
      </c>
      <c r="J34" s="1" t="s">
        <v>392</v>
      </c>
      <c r="K34" s="1" t="s">
        <v>176</v>
      </c>
      <c r="L34" s="1" t="s">
        <v>393</v>
      </c>
      <c r="M34" s="1" t="s">
        <v>365</v>
      </c>
      <c r="N34" s="1" t="s">
        <v>139</v>
      </c>
      <c r="O34" s="1" t="s">
        <v>284</v>
      </c>
      <c r="Q34" s="1" t="s">
        <v>394</v>
      </c>
      <c r="R34" s="1" t="s">
        <v>365</v>
      </c>
      <c r="S34" s="1" t="s">
        <v>272</v>
      </c>
      <c r="T34" s="1" t="s">
        <v>36</v>
      </c>
      <c r="U34" s="4" t="s">
        <v>395</v>
      </c>
      <c r="X34" s="1" t="str">
        <f>IFERROR(__xludf.DUMMYFUNCTION("split(F34,"" ,:;.?!"")"),"полноте")</f>
        <v>полноте</v>
      </c>
      <c r="Y34" s="1" t="str">
        <f>IFERROR(__xludf.DUMMYFUNCTION("""COMPUTED_VALUE"""),"совпадения")</f>
        <v>совпадения</v>
      </c>
    </row>
    <row r="35" ht="14.25" customHeight="1">
      <c r="A35" s="1" t="s">
        <v>396</v>
      </c>
      <c r="B35" s="1" t="s">
        <v>397</v>
      </c>
      <c r="C35" s="2" t="s">
        <v>398</v>
      </c>
      <c r="D35" s="7" t="s">
        <v>399</v>
      </c>
      <c r="E35" s="1" t="s">
        <v>25</v>
      </c>
      <c r="F35" s="4" t="s">
        <v>400</v>
      </c>
      <c r="G35" s="4" t="s">
        <v>399</v>
      </c>
      <c r="H35" s="8" t="s">
        <v>401</v>
      </c>
      <c r="I35" s="4" t="s">
        <v>391</v>
      </c>
      <c r="J35" s="1" t="s">
        <v>392</v>
      </c>
      <c r="K35" s="1" t="s">
        <v>176</v>
      </c>
      <c r="L35" s="1" t="s">
        <v>393</v>
      </c>
      <c r="M35" s="1" t="s">
        <v>365</v>
      </c>
      <c r="N35" s="1" t="s">
        <v>139</v>
      </c>
      <c r="O35" s="1" t="s">
        <v>284</v>
      </c>
      <c r="Q35" s="1" t="s">
        <v>394</v>
      </c>
      <c r="R35" s="1" t="s">
        <v>365</v>
      </c>
      <c r="S35" s="1" t="s">
        <v>272</v>
      </c>
      <c r="T35" s="1" t="s">
        <v>36</v>
      </c>
      <c r="U35" s="4" t="s">
        <v>402</v>
      </c>
      <c r="X35" s="1" t="str">
        <f>IFERROR(__xludf.DUMMYFUNCTION("split(F35,"" ,:;.?!"")"),"возможности")</f>
        <v>возможности</v>
      </c>
      <c r="Y35" s="1" t="str">
        <f>IFERROR(__xludf.DUMMYFUNCTION("""COMPUTED_VALUE"""),"высказаться")</f>
        <v>высказаться</v>
      </c>
    </row>
    <row r="36" ht="14.25" customHeight="1">
      <c r="A36" s="1" t="s">
        <v>403</v>
      </c>
      <c r="B36" s="1" t="s">
        <v>156</v>
      </c>
      <c r="C36" s="2" t="s">
        <v>404</v>
      </c>
      <c r="D36" s="7" t="s">
        <v>158</v>
      </c>
      <c r="E36" s="1" t="s">
        <v>25</v>
      </c>
      <c r="F36" s="4" t="s">
        <v>405</v>
      </c>
      <c r="G36" s="4" t="s">
        <v>158</v>
      </c>
      <c r="H36" s="8" t="s">
        <v>406</v>
      </c>
      <c r="I36" s="4" t="s">
        <v>407</v>
      </c>
      <c r="J36" s="1" t="s">
        <v>408</v>
      </c>
      <c r="K36" s="1" t="s">
        <v>409</v>
      </c>
      <c r="L36" s="1" t="s">
        <v>410</v>
      </c>
      <c r="M36" s="1" t="s">
        <v>365</v>
      </c>
      <c r="N36" s="1" t="s">
        <v>139</v>
      </c>
      <c r="O36" s="1" t="s">
        <v>366</v>
      </c>
      <c r="Q36" s="1" t="s">
        <v>285</v>
      </c>
      <c r="R36" s="1" t="s">
        <v>365</v>
      </c>
      <c r="S36" s="1" t="s">
        <v>70</v>
      </c>
      <c r="T36" s="1" t="s">
        <v>36</v>
      </c>
      <c r="U36" s="4" t="s">
        <v>411</v>
      </c>
      <c r="X36" s="1" t="str">
        <f>IFERROR(__xludf.DUMMYFUNCTION("split(F36,"" ,:;.?!"")"),"узнаванию")</f>
        <v>узнаванию</v>
      </c>
      <c r="Y36" s="1" t="str">
        <f>IFERROR(__xludf.DUMMYFUNCTION("""COMPUTED_VALUE"""),"родных")</f>
        <v>родных</v>
      </c>
      <c r="Z36" s="1" t="str">
        <f>IFERROR(__xludf.DUMMYFUNCTION("""COMPUTED_VALUE"""),"лиц")</f>
        <v>лиц</v>
      </c>
      <c r="AA36" s="1" t="str">
        <f>IFERROR(__xludf.DUMMYFUNCTION("""COMPUTED_VALUE"""),"сосок")</f>
        <v>сосок</v>
      </c>
      <c r="AB36" s="1" t="str">
        <f>IFERROR(__xludf.DUMMYFUNCTION("""COMPUTED_VALUE"""),"погремушек")</f>
        <v>погремушек</v>
      </c>
    </row>
    <row r="37" ht="14.25" customHeight="1">
      <c r="A37" s="1" t="s">
        <v>412</v>
      </c>
      <c r="B37" s="1" t="s">
        <v>413</v>
      </c>
      <c r="C37" s="2" t="s">
        <v>414</v>
      </c>
      <c r="D37" s="7" t="s">
        <v>415</v>
      </c>
      <c r="E37" s="1" t="s">
        <v>25</v>
      </c>
      <c r="F37" s="4" t="s">
        <v>416</v>
      </c>
      <c r="G37" s="4" t="s">
        <v>415</v>
      </c>
      <c r="H37" s="8" t="s">
        <v>417</v>
      </c>
      <c r="I37" s="4" t="s">
        <v>407</v>
      </c>
      <c r="J37" s="1" t="s">
        <v>408</v>
      </c>
      <c r="K37" s="1" t="s">
        <v>409</v>
      </c>
      <c r="L37" s="1" t="s">
        <v>410</v>
      </c>
      <c r="M37" s="1" t="s">
        <v>365</v>
      </c>
      <c r="N37" s="1" t="s">
        <v>139</v>
      </c>
      <c r="O37" s="1" t="s">
        <v>366</v>
      </c>
      <c r="Q37" s="1" t="s">
        <v>285</v>
      </c>
      <c r="R37" s="1" t="s">
        <v>365</v>
      </c>
      <c r="S37" s="1" t="s">
        <v>70</v>
      </c>
      <c r="T37" s="1" t="s">
        <v>36</v>
      </c>
      <c r="U37" s="4" t="s">
        <v>418</v>
      </c>
      <c r="X37" s="1" t="str">
        <f>IFERROR(__xludf.DUMMYFUNCTION("split(F37,"" ,:;.?!"")"),"приключению")</f>
        <v>приключению</v>
      </c>
      <c r="Y37" s="1" t="str">
        <f>IFERROR(__xludf.DUMMYFUNCTION("""COMPUTED_VALUE"""),"подхватила")</f>
        <v>подхватила</v>
      </c>
      <c r="Z37" s="1" t="str">
        <f>IFERROR(__xludf.DUMMYFUNCTION("""COMPUTED_VALUE"""),"Таня")</f>
        <v>Таня</v>
      </c>
    </row>
    <row r="38" ht="14.25" customHeight="1">
      <c r="A38" s="1" t="s">
        <v>25</v>
      </c>
      <c r="B38" s="1" t="s">
        <v>419</v>
      </c>
      <c r="C38" s="2"/>
      <c r="D38" s="7" t="s">
        <v>420</v>
      </c>
      <c r="E38" s="1" t="s">
        <v>25</v>
      </c>
      <c r="F38" s="4" t="s">
        <v>421</v>
      </c>
      <c r="G38" s="4" t="s">
        <v>420</v>
      </c>
      <c r="H38" s="8" t="s">
        <v>422</v>
      </c>
      <c r="I38" s="4" t="s">
        <v>407</v>
      </c>
      <c r="J38" s="1" t="s">
        <v>408</v>
      </c>
      <c r="K38" s="1" t="s">
        <v>409</v>
      </c>
      <c r="L38" s="1" t="s">
        <v>410</v>
      </c>
      <c r="M38" s="1" t="s">
        <v>365</v>
      </c>
      <c r="N38" s="1" t="s">
        <v>139</v>
      </c>
      <c r="O38" s="1" t="s">
        <v>366</v>
      </c>
      <c r="Q38" s="1" t="s">
        <v>285</v>
      </c>
      <c r="R38" s="1" t="s">
        <v>365</v>
      </c>
      <c r="S38" s="1" t="s">
        <v>70</v>
      </c>
      <c r="T38" s="1" t="s">
        <v>36</v>
      </c>
      <c r="U38" s="4" t="s">
        <v>423</v>
      </c>
      <c r="X38" s="1" t="str">
        <f>IFERROR(__xludf.DUMMYFUNCTION("split(F38,"" ,:;.?!"")"),"лёгкости")</f>
        <v>лёгкости</v>
      </c>
      <c r="Y38" s="1" t="str">
        <f>IFERROR(__xludf.DUMMYFUNCTION("""COMPUTED_VALUE"""),"и")</f>
        <v>и</v>
      </c>
      <c r="Z38" s="1" t="str">
        <f>IFERROR(__xludf.DUMMYFUNCTION("""COMPUTED_VALUE"""),"послушности")</f>
        <v>послушности</v>
      </c>
      <c r="AA38" s="1" t="str">
        <f>IFERROR(__xludf.DUMMYFUNCTION("""COMPUTED_VALUE"""),"своего")</f>
        <v>своего</v>
      </c>
      <c r="AB38" s="1" t="str">
        <f>IFERROR(__xludf.DUMMYFUNCTION("""COMPUTED_VALUE"""),"тела")</f>
        <v>тела</v>
      </c>
      <c r="AC38" s="1" t="str">
        <f>IFERROR(__xludf.DUMMYFUNCTION("""COMPUTED_VALUE"""),"она")</f>
        <v>она</v>
      </c>
    </row>
    <row r="39" ht="14.25" customHeight="1">
      <c r="A39" s="1" t="s">
        <v>424</v>
      </c>
      <c r="B39" s="1" t="s">
        <v>208</v>
      </c>
      <c r="C39" s="2" t="s">
        <v>425</v>
      </c>
      <c r="D39" s="7" t="s">
        <v>210</v>
      </c>
      <c r="E39" s="1" t="s">
        <v>25</v>
      </c>
      <c r="F39" s="4" t="s">
        <v>426</v>
      </c>
      <c r="G39" s="4" t="s">
        <v>210</v>
      </c>
      <c r="H39" s="8" t="s">
        <v>427</v>
      </c>
      <c r="I39" s="4" t="s">
        <v>407</v>
      </c>
      <c r="J39" s="1" t="s">
        <v>408</v>
      </c>
      <c r="K39" s="1" t="s">
        <v>409</v>
      </c>
      <c r="L39" s="1" t="s">
        <v>410</v>
      </c>
      <c r="M39" s="1" t="s">
        <v>365</v>
      </c>
      <c r="N39" s="1" t="s">
        <v>139</v>
      </c>
      <c r="O39" s="1" t="s">
        <v>366</v>
      </c>
      <c r="Q39" s="1" t="s">
        <v>285</v>
      </c>
      <c r="R39" s="1" t="s">
        <v>365</v>
      </c>
      <c r="S39" s="1" t="s">
        <v>70</v>
      </c>
      <c r="T39" s="1" t="s">
        <v>36</v>
      </c>
      <c r="U39" s="4" t="s">
        <v>428</v>
      </c>
      <c r="X39" s="1" t="str">
        <f>IFERROR(__xludf.DUMMYFUNCTION("split(F39,"" ,:;.?!"")"),"богатству")</f>
        <v>богатству</v>
      </c>
      <c r="Y39" s="1" t="str">
        <f>IFERROR(__xludf.DUMMYFUNCTION("""COMPUTED_VALUE"""),"впечатлений")</f>
        <v>впечатлений</v>
      </c>
      <c r="Z39" s="1" t="str">
        <f>IFERROR(__xludf.DUMMYFUNCTION("""COMPUTED_VALUE"""),"полученных")</f>
        <v>полученных</v>
      </c>
      <c r="AA39" s="1" t="str">
        <f>IFERROR(__xludf.DUMMYFUNCTION("""COMPUTED_VALUE"""),"через")</f>
        <v>через</v>
      </c>
      <c r="AB39" s="1" t="str">
        <f>IFERROR(__xludf.DUMMYFUNCTION("""COMPUTED_VALUE"""),"прикосновение")</f>
        <v>прикосновение</v>
      </c>
      <c r="AC39" s="1" t="str">
        <f>IFERROR(__xludf.DUMMYFUNCTION("""COMPUTED_VALUE"""),"голой")</f>
        <v>голой</v>
      </c>
    </row>
    <row r="40" ht="14.25" customHeight="1">
      <c r="A40" s="1" t="s">
        <v>429</v>
      </c>
      <c r="B40" s="1" t="s">
        <v>325</v>
      </c>
      <c r="C40" s="2" t="s">
        <v>430</v>
      </c>
      <c r="D40" s="7" t="s">
        <v>327</v>
      </c>
      <c r="E40" s="1" t="s">
        <v>25</v>
      </c>
      <c r="F40" s="4" t="s">
        <v>431</v>
      </c>
      <c r="G40" s="4" t="s">
        <v>327</v>
      </c>
      <c r="H40" s="8" t="s">
        <v>432</v>
      </c>
      <c r="I40" s="4" t="s">
        <v>407</v>
      </c>
      <c r="J40" s="1" t="s">
        <v>408</v>
      </c>
      <c r="K40" s="1" t="s">
        <v>409</v>
      </c>
      <c r="L40" s="1" t="s">
        <v>410</v>
      </c>
      <c r="M40" s="1" t="s">
        <v>365</v>
      </c>
      <c r="N40" s="1" t="s">
        <v>139</v>
      </c>
      <c r="O40" s="1" t="s">
        <v>366</v>
      </c>
      <c r="Q40" s="1" t="s">
        <v>285</v>
      </c>
      <c r="R40" s="1" t="s">
        <v>365</v>
      </c>
      <c r="S40" s="1" t="s">
        <v>70</v>
      </c>
      <c r="T40" s="1" t="s">
        <v>36</v>
      </c>
      <c r="U40" s="4" t="s">
        <v>433</v>
      </c>
      <c r="X40" s="1" t="str">
        <f>IFERROR(__xludf.DUMMYFUNCTION("split(F40,"" ,:;.?!"")"),"Тане")</f>
        <v>Тане</v>
      </c>
      <c r="Y40" s="1" t="str">
        <f>IFERROR(__xludf.DUMMYFUNCTION("""COMPUTED_VALUE"""),"поначалу")</f>
        <v>поначалу</v>
      </c>
      <c r="Z40" s="1" t="str">
        <f>IFERROR(__xludf.DUMMYFUNCTION("""COMPUTED_VALUE"""),"расцветал")</f>
        <v>расцветал</v>
      </c>
      <c r="AA40" s="1" t="str">
        <f>IFERROR(__xludf.DUMMYFUNCTION("""COMPUTED_VALUE"""),"всеми")</f>
        <v>всеми</v>
      </c>
      <c r="AB40" s="1" t="str">
        <f>IFERROR(__xludf.DUMMYFUNCTION("""COMPUTED_VALUE"""),"собачьими")</f>
        <v>собачьими</v>
      </c>
      <c r="AC40" s="1" t="str">
        <f>IFERROR(__xludf.DUMMYFUNCTION("""COMPUTED_VALUE"""),"складками")</f>
        <v>складками</v>
      </c>
    </row>
    <row r="41" ht="14.25" customHeight="1">
      <c r="A41" s="1" t="s">
        <v>434</v>
      </c>
      <c r="B41" s="1" t="s">
        <v>435</v>
      </c>
      <c r="C41" s="2" t="s">
        <v>436</v>
      </c>
      <c r="D41" s="7" t="s">
        <v>437</v>
      </c>
      <c r="E41" s="1" t="s">
        <v>25</v>
      </c>
      <c r="F41" s="4" t="s">
        <v>438</v>
      </c>
      <c r="G41" s="4" t="s">
        <v>437</v>
      </c>
      <c r="H41" s="8" t="s">
        <v>439</v>
      </c>
      <c r="I41" s="4" t="s">
        <v>407</v>
      </c>
      <c r="J41" s="1" t="s">
        <v>408</v>
      </c>
      <c r="K41" s="1" t="s">
        <v>409</v>
      </c>
      <c r="L41" s="1" t="s">
        <v>410</v>
      </c>
      <c r="M41" s="1" t="s">
        <v>365</v>
      </c>
      <c r="N41" s="1" t="s">
        <v>139</v>
      </c>
      <c r="O41" s="1" t="s">
        <v>366</v>
      </c>
      <c r="Q41" s="1" t="s">
        <v>285</v>
      </c>
      <c r="R41" s="1" t="s">
        <v>365</v>
      </c>
      <c r="S41" s="1" t="s">
        <v>70</v>
      </c>
      <c r="T41" s="1" t="s">
        <v>36</v>
      </c>
      <c r="U41" s="4" t="s">
        <v>440</v>
      </c>
      <c r="X41" s="1" t="str">
        <f>IFERROR(__xludf.DUMMYFUNCTION("split(F41,"" ,:;.?!"")"),"состоянию")</f>
        <v>состоянию</v>
      </c>
      <c r="Y41" s="1" t="str">
        <f>IFERROR(__xludf.DUMMYFUNCTION("""COMPUTED_VALUE"""),"острой")</f>
        <v>острой</v>
      </c>
      <c r="Z41" s="1" t="str">
        <f>IFERROR(__xludf.DUMMYFUNCTION("""COMPUTED_VALUE"""),"нежности")</f>
        <v>нежности</v>
      </c>
      <c r="AA41" s="1" t="str">
        <f>IFERROR(__xludf.DUMMYFUNCTION("""COMPUTED_VALUE"""),"и")</f>
        <v>и</v>
      </c>
      <c r="AB41" s="1" t="str">
        <f>IFERROR(__xludf.DUMMYFUNCTION("""COMPUTED_VALUE"""),"столь")</f>
        <v>столь</v>
      </c>
      <c r="AC41" s="1" t="str">
        <f>IFERROR(__xludf.DUMMYFUNCTION("""COMPUTED_VALUE"""),"же")</f>
        <v>же</v>
      </c>
    </row>
    <row r="42" ht="14.25" customHeight="1">
      <c r="A42" s="1" t="s">
        <v>441</v>
      </c>
      <c r="B42" s="1" t="s">
        <v>442</v>
      </c>
      <c r="C42" s="2" t="s">
        <v>443</v>
      </c>
      <c r="D42" s="7" t="s">
        <v>444</v>
      </c>
      <c r="E42" s="1" t="s">
        <v>25</v>
      </c>
      <c r="F42" s="4" t="s">
        <v>445</v>
      </c>
      <c r="G42" s="4" t="s">
        <v>444</v>
      </c>
      <c r="H42" s="8" t="s">
        <v>446</v>
      </c>
      <c r="I42" s="4" t="s">
        <v>407</v>
      </c>
      <c r="J42" s="1" t="s">
        <v>408</v>
      </c>
      <c r="K42" s="1" t="s">
        <v>409</v>
      </c>
      <c r="L42" s="1" t="s">
        <v>410</v>
      </c>
      <c r="M42" s="1" t="s">
        <v>365</v>
      </c>
      <c r="N42" s="1" t="s">
        <v>139</v>
      </c>
      <c r="O42" s="1" t="s">
        <v>366</v>
      </c>
      <c r="Q42" s="1" t="s">
        <v>285</v>
      </c>
      <c r="R42" s="1" t="s">
        <v>365</v>
      </c>
      <c r="S42" s="1" t="s">
        <v>70</v>
      </c>
      <c r="T42" s="1" t="s">
        <v>36</v>
      </c>
      <c r="U42" s="4" t="s">
        <v>447</v>
      </c>
      <c r="X42" s="1" t="str">
        <f>IFERROR(__xludf.DUMMYFUNCTION("split(F42,"" ,:;.?!"")"),"Жене")</f>
        <v>Жене</v>
      </c>
      <c r="Y42" s="1" t="str">
        <f>IFERROR(__xludf.DUMMYFUNCTION("""COMPUTED_VALUE"""),"помочь")</f>
        <v>помочь</v>
      </c>
      <c r="Z42" s="1" t="str">
        <f>IFERROR(__xludf.DUMMYFUNCTION("""COMPUTED_VALUE"""),"но")</f>
        <v>но</v>
      </c>
      <c r="AA42" s="1" t="str">
        <f>IFERROR(__xludf.DUMMYFUNCTION("""COMPUTED_VALUE"""),"и")</f>
        <v>и</v>
      </c>
      <c r="AB42" s="1" t="str">
        <f>IFERROR(__xludf.DUMMYFUNCTION("""COMPUTED_VALUE"""),"сопротивляется")</f>
        <v>сопротивляется</v>
      </c>
      <c r="AC42" s="1" t="str">
        <f>IFERROR(__xludf.DUMMYFUNCTION("""COMPUTED_VALUE"""),"одновременно")</f>
        <v>одновременно</v>
      </c>
    </row>
    <row r="43" ht="14.25" customHeight="1">
      <c r="A43" s="1" t="s">
        <v>448</v>
      </c>
      <c r="B43" s="1" t="s">
        <v>413</v>
      </c>
      <c r="C43" s="2" t="s">
        <v>449</v>
      </c>
      <c r="D43" s="7" t="s">
        <v>415</v>
      </c>
      <c r="E43" s="1" t="s">
        <v>25</v>
      </c>
      <c r="F43" s="4" t="s">
        <v>450</v>
      </c>
      <c r="G43" s="4" t="s">
        <v>415</v>
      </c>
      <c r="H43" s="8" t="s">
        <v>451</v>
      </c>
      <c r="I43" s="4" t="s">
        <v>452</v>
      </c>
      <c r="J43" s="1" t="s">
        <v>453</v>
      </c>
      <c r="K43" s="1" t="s">
        <v>454</v>
      </c>
      <c r="L43" s="1" t="s">
        <v>455</v>
      </c>
      <c r="M43" s="1" t="s">
        <v>456</v>
      </c>
      <c r="N43" s="1" t="s">
        <v>139</v>
      </c>
      <c r="O43" s="1" t="s">
        <v>457</v>
      </c>
      <c r="Q43" s="1" t="s">
        <v>458</v>
      </c>
      <c r="R43" s="1" t="s">
        <v>113</v>
      </c>
      <c r="S43" s="1" t="s">
        <v>272</v>
      </c>
      <c r="T43" s="1" t="s">
        <v>36</v>
      </c>
      <c r="U43" s="4" t="s">
        <v>459</v>
      </c>
      <c r="X43" s="1" t="str">
        <f>IFERROR(__xludf.DUMMYFUNCTION("split(F43,"" ,:;.?!"")"),"удаче")</f>
        <v>удаче</v>
      </c>
    </row>
    <row r="44" ht="14.25" customHeight="1">
      <c r="A44" s="1" t="s">
        <v>460</v>
      </c>
      <c r="B44" s="1" t="s">
        <v>461</v>
      </c>
      <c r="C44" s="2" t="s">
        <v>462</v>
      </c>
      <c r="D44" s="7" t="s">
        <v>463</v>
      </c>
      <c r="E44" s="1" t="s">
        <v>25</v>
      </c>
      <c r="F44" s="4" t="s">
        <v>464</v>
      </c>
      <c r="G44" s="4" t="s">
        <v>463</v>
      </c>
      <c r="H44" s="8" t="s">
        <v>465</v>
      </c>
      <c r="I44" s="4" t="s">
        <v>466</v>
      </c>
      <c r="J44" s="1" t="s">
        <v>453</v>
      </c>
      <c r="K44" s="1" t="s">
        <v>454</v>
      </c>
      <c r="L44" s="1" t="s">
        <v>467</v>
      </c>
      <c r="M44" s="1" t="s">
        <v>456</v>
      </c>
      <c r="N44" s="1" t="s">
        <v>139</v>
      </c>
      <c r="O44" s="1" t="s">
        <v>457</v>
      </c>
      <c r="Q44" s="1" t="s">
        <v>458</v>
      </c>
      <c r="R44" s="1" t="s">
        <v>113</v>
      </c>
      <c r="S44" s="1" t="s">
        <v>272</v>
      </c>
      <c r="T44" s="1" t="s">
        <v>36</v>
      </c>
      <c r="U44" s="4" t="s">
        <v>468</v>
      </c>
      <c r="X44" s="1" t="str">
        <f>IFERROR(__xludf.DUMMYFUNCTION("split(F44,"" ,:;.?!"")"),"женщине")</f>
        <v>женщине</v>
      </c>
      <c r="Y44" s="1" t="str">
        <f>IFERROR(__xludf.DUMMYFUNCTION("""COMPUTED_VALUE"""),"возвращаешься")</f>
        <v>возвращаешься</v>
      </c>
      <c r="Z44" s="1" t="str">
        <f>IFERROR(__xludf.DUMMYFUNCTION("""COMPUTED_VALUE"""),"с")</f>
        <v>с</v>
      </c>
      <c r="AA44" s="1" t="str">
        <f>IFERROR(__xludf.DUMMYFUNCTION("""COMPUTED_VALUE"""),"хрустально-хрупкой")</f>
        <v>хрустально-хрупкой</v>
      </c>
      <c r="AB44" s="1" t="str">
        <f>IFERROR(__xludf.DUMMYFUNCTION("""COMPUTED_VALUE"""),"звенящей")</f>
        <v>звенящей</v>
      </c>
      <c r="AC44" s="1" t="str">
        <f>IFERROR(__xludf.DUMMYFUNCTION("""COMPUTED_VALUE"""),"и")</f>
        <v>и</v>
      </c>
    </row>
    <row r="45" ht="14.25" customHeight="1">
      <c r="A45" s="1" t="s">
        <v>469</v>
      </c>
      <c r="B45" s="1" t="s">
        <v>345</v>
      </c>
      <c r="C45" s="2" t="s">
        <v>470</v>
      </c>
      <c r="D45" s="7" t="s">
        <v>347</v>
      </c>
      <c r="E45" s="1" t="s">
        <v>25</v>
      </c>
      <c r="F45" s="4" t="s">
        <v>471</v>
      </c>
      <c r="G45" s="4" t="s">
        <v>347</v>
      </c>
      <c r="H45" s="8" t="s">
        <v>472</v>
      </c>
      <c r="I45" s="4" t="s">
        <v>466</v>
      </c>
      <c r="J45" s="1" t="s">
        <v>453</v>
      </c>
      <c r="K45" s="1" t="s">
        <v>454</v>
      </c>
      <c r="L45" s="1" t="s">
        <v>467</v>
      </c>
      <c r="M45" s="1" t="s">
        <v>456</v>
      </c>
      <c r="N45" s="1" t="s">
        <v>139</v>
      </c>
      <c r="O45" s="1" t="s">
        <v>457</v>
      </c>
      <c r="Q45" s="1" t="s">
        <v>458</v>
      </c>
      <c r="R45" s="1" t="s">
        <v>113</v>
      </c>
      <c r="S45" s="1" t="s">
        <v>272</v>
      </c>
      <c r="T45" s="1" t="s">
        <v>36</v>
      </c>
      <c r="U45" s="4" t="s">
        <v>473</v>
      </c>
      <c r="X45" s="1" t="str">
        <f>IFERROR(__xludf.DUMMYFUNCTION("split(F45,"" ,:;.?!"")"),"отцу")</f>
        <v>отцу</v>
      </c>
      <c r="Y45" s="1" t="str">
        <f>IFERROR(__xludf.DUMMYFUNCTION("""COMPUTED_VALUE"""),"и")</f>
        <v>и</v>
      </c>
      <c r="Z45" s="1" t="str">
        <f>IFERROR(__xludf.DUMMYFUNCTION("""COMPUTED_VALUE"""),"мужу")</f>
        <v>мужу</v>
      </c>
      <c r="AA45" s="1" t="str">
        <f>IFERROR(__xludf.DUMMYFUNCTION("""COMPUTED_VALUE"""),"они")</f>
        <v>они</v>
      </c>
      <c r="AB45" s="1" t="str">
        <f>IFERROR(__xludf.DUMMYFUNCTION("""COMPUTED_VALUE"""),"вдруг")</f>
        <v>вдруг</v>
      </c>
      <c r="AC45" s="1" t="str">
        <f>IFERROR(__xludf.DUMMYFUNCTION("""COMPUTED_VALUE"""),"тоже")</f>
        <v>тоже</v>
      </c>
    </row>
    <row r="46" ht="14.25" customHeight="1">
      <c r="A46" s="1" t="s">
        <v>474</v>
      </c>
      <c r="B46" s="1" t="s">
        <v>413</v>
      </c>
      <c r="C46" s="2" t="s">
        <v>475</v>
      </c>
      <c r="D46" s="7" t="s">
        <v>415</v>
      </c>
      <c r="E46" s="1" t="s">
        <v>25</v>
      </c>
      <c r="F46" s="4" t="s">
        <v>476</v>
      </c>
      <c r="G46" s="4" t="s">
        <v>415</v>
      </c>
      <c r="H46" s="8" t="s">
        <v>477</v>
      </c>
      <c r="I46" s="4" t="s">
        <v>478</v>
      </c>
      <c r="J46" s="1" t="s">
        <v>479</v>
      </c>
      <c r="K46" s="1" t="s">
        <v>480</v>
      </c>
      <c r="L46" s="1" t="s">
        <v>481</v>
      </c>
      <c r="M46" s="1" t="s">
        <v>456</v>
      </c>
      <c r="N46" s="1" t="s">
        <v>139</v>
      </c>
      <c r="O46" s="1" t="s">
        <v>284</v>
      </c>
      <c r="Q46" s="1" t="s">
        <v>482</v>
      </c>
      <c r="R46" s="1" t="s">
        <v>321</v>
      </c>
      <c r="S46" s="1" t="s">
        <v>272</v>
      </c>
      <c r="T46" s="1" t="s">
        <v>36</v>
      </c>
      <c r="U46" s="4" t="s">
        <v>483</v>
      </c>
      <c r="X46" s="1" t="str">
        <f>IFERROR(__xludf.DUMMYFUNCTION("split(F46,"" ,:;.?!"")"),"каникулам")</f>
        <v>каникулам</v>
      </c>
    </row>
    <row r="47" ht="14.25" customHeight="1">
      <c r="A47" s="1" t="s">
        <v>484</v>
      </c>
      <c r="B47" s="1" t="s">
        <v>325</v>
      </c>
      <c r="C47" s="2" t="s">
        <v>485</v>
      </c>
      <c r="D47" s="7" t="s">
        <v>327</v>
      </c>
      <c r="E47" s="1" t="s">
        <v>25</v>
      </c>
      <c r="F47" s="4" t="s">
        <v>486</v>
      </c>
      <c r="G47" s="4" t="s">
        <v>327</v>
      </c>
      <c r="H47" s="8" t="s">
        <v>487</v>
      </c>
      <c r="I47" s="4" t="s">
        <v>488</v>
      </c>
      <c r="J47" s="1" t="s">
        <v>489</v>
      </c>
      <c r="K47" s="1" t="s">
        <v>319</v>
      </c>
      <c r="L47" s="1" t="s">
        <v>490</v>
      </c>
      <c r="M47" s="1" t="s">
        <v>456</v>
      </c>
      <c r="N47" s="1" t="s">
        <v>51</v>
      </c>
      <c r="O47" s="1" t="s">
        <v>270</v>
      </c>
      <c r="Q47" s="1" t="s">
        <v>285</v>
      </c>
      <c r="R47" s="1" t="s">
        <v>365</v>
      </c>
      <c r="S47" s="1" t="s">
        <v>70</v>
      </c>
      <c r="T47" s="1" t="s">
        <v>36</v>
      </c>
      <c r="U47" s="4" t="s">
        <v>491</v>
      </c>
      <c r="X47" s="1" t="str">
        <f>IFERROR(__xludf.DUMMYFUNCTION("split(F47,"" ,:;.?!"")"),"обустройству")</f>
        <v>обустройству</v>
      </c>
      <c r="Y47" s="1" t="str">
        <f>IFERROR(__xludf.DUMMYFUNCTION("""COMPUTED_VALUE"""),"своему")</f>
        <v>своему</v>
      </c>
      <c r="Z47" s="1" t="str">
        <f>IFERROR(__xludf.DUMMYFUNCTION("""COMPUTED_VALUE"""),"говорил")</f>
        <v>говорил</v>
      </c>
      <c r="AA47" s="1" t="str">
        <f>IFERROR(__xludf.DUMMYFUNCTION("""COMPUTED_VALUE"""),"что")</f>
        <v>что</v>
      </c>
      <c r="AB47" s="1" t="str">
        <f>IFERROR(__xludf.DUMMYFUNCTION("""COMPUTED_VALUE"""),"вот")</f>
        <v>вот</v>
      </c>
      <c r="AC47" s="1" t="str">
        <f>IFERROR(__xludf.DUMMYFUNCTION("""COMPUTED_VALUE"""),"всё")</f>
        <v>всё</v>
      </c>
    </row>
    <row r="48" ht="14.25" customHeight="1">
      <c r="A48" s="1" t="s">
        <v>492</v>
      </c>
      <c r="B48" s="1" t="s">
        <v>493</v>
      </c>
      <c r="C48" s="2" t="s">
        <v>494</v>
      </c>
      <c r="D48" s="7" t="s">
        <v>495</v>
      </c>
      <c r="E48" s="1" t="s">
        <v>25</v>
      </c>
      <c r="F48" s="4" t="s">
        <v>496</v>
      </c>
      <c r="G48" s="4" t="s">
        <v>495</v>
      </c>
      <c r="H48" s="8" t="s">
        <v>497</v>
      </c>
      <c r="I48" s="4" t="s">
        <v>498</v>
      </c>
      <c r="J48" s="1" t="s">
        <v>499</v>
      </c>
      <c r="K48" s="1" t="s">
        <v>500</v>
      </c>
      <c r="L48" s="1" t="s">
        <v>501</v>
      </c>
      <c r="M48" s="1" t="s">
        <v>502</v>
      </c>
      <c r="N48" s="1" t="s">
        <v>139</v>
      </c>
      <c r="O48" s="1" t="s">
        <v>366</v>
      </c>
      <c r="Q48" s="1" t="s">
        <v>285</v>
      </c>
      <c r="R48" s="1" t="s">
        <v>502</v>
      </c>
      <c r="S48" s="1" t="s">
        <v>70</v>
      </c>
      <c r="T48" s="1" t="s">
        <v>36</v>
      </c>
      <c r="U48" s="4" t="s">
        <v>503</v>
      </c>
      <c r="X48" s="1" t="str">
        <f>IFERROR(__xludf.DUMMYFUNCTION("split(F48,"" ,:;.?!"")"),"лопате")</f>
        <v>лопате</v>
      </c>
      <c r="Y48" s="1" t="str">
        <f>IFERROR(__xludf.DUMMYFUNCTION("""COMPUTED_VALUE"""),"бригадира")</f>
        <v>бригадира</v>
      </c>
    </row>
    <row r="49" ht="14.25" customHeight="1">
      <c r="A49" s="1" t="s">
        <v>25</v>
      </c>
      <c r="B49" s="1" t="s">
        <v>504</v>
      </c>
      <c r="C49" s="2"/>
      <c r="D49" s="7" t="s">
        <v>505</v>
      </c>
      <c r="E49" s="1" t="s">
        <v>25</v>
      </c>
      <c r="F49" s="4" t="s">
        <v>506</v>
      </c>
      <c r="G49" s="4" t="s">
        <v>505</v>
      </c>
      <c r="H49" s="8" t="s">
        <v>507</v>
      </c>
      <c r="I49" s="4" t="s">
        <v>498</v>
      </c>
      <c r="J49" s="1" t="s">
        <v>499</v>
      </c>
      <c r="K49" s="1" t="s">
        <v>500</v>
      </c>
      <c r="L49" s="1" t="s">
        <v>501</v>
      </c>
      <c r="M49" s="1" t="s">
        <v>502</v>
      </c>
      <c r="N49" s="1" t="s">
        <v>139</v>
      </c>
      <c r="O49" s="1" t="s">
        <v>366</v>
      </c>
      <c r="Q49" s="1" t="s">
        <v>285</v>
      </c>
      <c r="R49" s="1" t="s">
        <v>502</v>
      </c>
      <c r="S49" s="1" t="s">
        <v>70</v>
      </c>
      <c r="T49" s="1" t="s">
        <v>36</v>
      </c>
      <c r="U49" s="4" t="s">
        <v>508</v>
      </c>
      <c r="X49" s="1" t="str">
        <f>IFERROR(__xludf.DUMMYFUNCTION("split(F49,"" ,:;.?!"")"),"приобретению")</f>
        <v>приобретению</v>
      </c>
      <c r="Y49" s="1" t="str">
        <f>IFERROR(__xludf.DUMMYFUNCTION("""COMPUTED_VALUE"""),"Андрей")</f>
        <v>Андрей</v>
      </c>
      <c r="Z49" s="1" t="str">
        <f>IFERROR(__xludf.DUMMYFUNCTION("""COMPUTED_VALUE"""),"Николаевич")</f>
        <v>Николаевич</v>
      </c>
      <c r="AA49" s="1" t="str">
        <f>IFERROR(__xludf.DUMMYFUNCTION("""COMPUTED_VALUE"""),"не")</f>
        <v>не</v>
      </c>
      <c r="AB49" s="1" t="str">
        <f>IFERROR(__xludf.DUMMYFUNCTION("""COMPUTED_VALUE"""),"сунул")</f>
        <v>сунул</v>
      </c>
      <c r="AC49" s="1" t="str">
        <f>IFERROR(__xludf.DUMMYFUNCTION("""COMPUTED_VALUE"""),"бельгийский")</f>
        <v>бельгийский</v>
      </c>
    </row>
    <row r="50" ht="14.25" customHeight="1">
      <c r="A50" s="1" t="s">
        <v>509</v>
      </c>
      <c r="B50" s="1" t="s">
        <v>510</v>
      </c>
      <c r="C50" s="2" t="s">
        <v>511</v>
      </c>
      <c r="D50" s="7" t="s">
        <v>512</v>
      </c>
      <c r="E50" s="1" t="s">
        <v>25</v>
      </c>
      <c r="F50" s="4" t="s">
        <v>513</v>
      </c>
      <c r="G50" s="4" t="s">
        <v>512</v>
      </c>
      <c r="H50" s="8" t="s">
        <v>514</v>
      </c>
      <c r="I50" s="4" t="s">
        <v>515</v>
      </c>
      <c r="J50" s="1" t="s">
        <v>499</v>
      </c>
      <c r="K50" s="1" t="s">
        <v>500</v>
      </c>
      <c r="L50" s="1" t="s">
        <v>516</v>
      </c>
      <c r="M50" s="1" t="s">
        <v>517</v>
      </c>
      <c r="N50" s="1" t="s">
        <v>139</v>
      </c>
      <c r="O50" s="1" t="s">
        <v>284</v>
      </c>
      <c r="Q50" s="1" t="s">
        <v>285</v>
      </c>
      <c r="R50" s="1" t="s">
        <v>517</v>
      </c>
      <c r="S50" s="1" t="s">
        <v>70</v>
      </c>
      <c r="T50" s="1" t="s">
        <v>36</v>
      </c>
      <c r="U50" s="4" t="s">
        <v>518</v>
      </c>
      <c r="X50" s="1" t="str">
        <f>IFERROR(__xludf.DUMMYFUNCTION("split(F50,"" ,:;.?!"")"),"искусству")</f>
        <v>искусству</v>
      </c>
      <c r="Y50" s="1" t="str">
        <f>IFERROR(__xludf.DUMMYFUNCTION("""COMPUTED_VALUE"""),"Францева")</f>
        <v>Францева</v>
      </c>
      <c r="Z50" s="1" t="str">
        <f>IFERROR(__xludf.DUMMYFUNCTION("""COMPUTED_VALUE"""),"умно")</f>
        <v>умно</v>
      </c>
      <c r="AA50" s="1" t="str">
        <f>IFERROR(__xludf.DUMMYFUNCTION("""COMPUTED_VALUE"""),"обдуривать")</f>
        <v>обдуривать</v>
      </c>
    </row>
    <row r="51" ht="14.25" customHeight="1">
      <c r="A51" s="1" t="s">
        <v>519</v>
      </c>
      <c r="B51" s="1" t="s">
        <v>397</v>
      </c>
      <c r="C51" s="2" t="s">
        <v>520</v>
      </c>
      <c r="D51" s="7" t="s">
        <v>399</v>
      </c>
      <c r="E51" s="1" t="s">
        <v>25</v>
      </c>
      <c r="F51" s="4" t="s">
        <v>521</v>
      </c>
      <c r="G51" s="4" t="s">
        <v>399</v>
      </c>
      <c r="H51" s="8" t="s">
        <v>522</v>
      </c>
      <c r="I51" s="4" t="s">
        <v>523</v>
      </c>
      <c r="J51" s="1" t="s">
        <v>524</v>
      </c>
      <c r="K51" s="1" t="s">
        <v>525</v>
      </c>
      <c r="L51" s="1" t="s">
        <v>526</v>
      </c>
      <c r="M51" s="1" t="s">
        <v>517</v>
      </c>
      <c r="N51" s="1" t="s">
        <v>139</v>
      </c>
      <c r="O51" s="1" t="s">
        <v>457</v>
      </c>
      <c r="Q51" s="1" t="s">
        <v>458</v>
      </c>
      <c r="R51" s="1" t="s">
        <v>113</v>
      </c>
      <c r="S51" s="1" t="s">
        <v>272</v>
      </c>
      <c r="T51" s="1" t="s">
        <v>36</v>
      </c>
      <c r="U51" s="4" t="s">
        <v>527</v>
      </c>
      <c r="X51" s="1" t="str">
        <f>IFERROR(__xludf.DUMMYFUNCTION("split(F51,"" ,:;.?!"")"),"успехам")</f>
        <v>успехам</v>
      </c>
      <c r="Y51" s="1" t="str">
        <f>IFERROR(__xludf.DUMMYFUNCTION("""COMPUTED_VALUE"""),"восстановления")</f>
        <v>восстановления</v>
      </c>
      <c r="Z51" s="1" t="str">
        <f>IFERROR(__xludf.DUMMYFUNCTION("""COMPUTED_VALUE"""),"народного")</f>
        <v>народного</v>
      </c>
      <c r="AA51" s="1" t="str">
        <f>IFERROR(__xludf.DUMMYFUNCTION("""COMPUTED_VALUE"""),"хозяйства")</f>
        <v>хозяйства</v>
      </c>
      <c r="AB51" s="1" t="str">
        <f>IFERROR(__xludf.DUMMYFUNCTION("""COMPUTED_VALUE"""),"разрушенного")</f>
        <v>разрушенного</v>
      </c>
      <c r="AC51" s="1" t="str">
        <f>IFERROR(__xludf.DUMMYFUNCTION("""COMPUTED_VALUE"""),"войной")</f>
        <v>войной</v>
      </c>
    </row>
    <row r="52" ht="14.25" customHeight="1">
      <c r="A52" s="1" t="s">
        <v>528</v>
      </c>
      <c r="B52" s="1" t="s">
        <v>208</v>
      </c>
      <c r="C52" s="2" t="s">
        <v>529</v>
      </c>
      <c r="D52" s="7" t="s">
        <v>210</v>
      </c>
      <c r="E52" s="1" t="s">
        <v>25</v>
      </c>
      <c r="F52" s="4" t="s">
        <v>530</v>
      </c>
      <c r="G52" s="4" t="s">
        <v>210</v>
      </c>
      <c r="H52" s="8" t="s">
        <v>531</v>
      </c>
      <c r="I52" s="4" t="s">
        <v>532</v>
      </c>
      <c r="J52" s="1" t="s">
        <v>533</v>
      </c>
      <c r="K52" s="1" t="s">
        <v>534</v>
      </c>
      <c r="L52" s="1" t="s">
        <v>535</v>
      </c>
      <c r="M52" s="1" t="s">
        <v>536</v>
      </c>
      <c r="N52" s="1" t="s">
        <v>51</v>
      </c>
      <c r="O52" s="1" t="s">
        <v>270</v>
      </c>
      <c r="Q52" s="1" t="s">
        <v>537</v>
      </c>
      <c r="R52" s="1" t="s">
        <v>502</v>
      </c>
      <c r="S52" s="1" t="s">
        <v>272</v>
      </c>
      <c r="T52" s="1" t="s">
        <v>36</v>
      </c>
      <c r="U52" s="4" t="s">
        <v>538</v>
      </c>
      <c r="X52" s="1" t="str">
        <f>IFERROR(__xludf.DUMMYFUNCTION("split(F52,"" ,:;.?!"")"),"вопросу")</f>
        <v>вопросу</v>
      </c>
      <c r="Y52" s="1" t="str">
        <f>IFERROR(__xludf.DUMMYFUNCTION("""COMPUTED_VALUE"""),"Сергея")</f>
        <v>Сергея</v>
      </c>
      <c r="Z52" s="1" t="str">
        <f>IFERROR(__xludf.DUMMYFUNCTION("""COMPUTED_VALUE"""),"Яковлевича")</f>
        <v>Яковлевича</v>
      </c>
      <c r="AA52" s="1" t="str">
        <f>IFERROR(__xludf.DUMMYFUNCTION("""COMPUTED_VALUE"""),"но")</f>
        <v>но</v>
      </c>
      <c r="AB52" s="1" t="str">
        <f>IFERROR(__xludf.DUMMYFUNCTION("""COMPUTED_VALUE"""),"ответила")</f>
        <v>ответила</v>
      </c>
    </row>
    <row r="53" ht="14.25" customHeight="1">
      <c r="A53" s="1" t="s">
        <v>25</v>
      </c>
      <c r="B53" s="1" t="s">
        <v>539</v>
      </c>
      <c r="C53" s="2"/>
      <c r="D53" s="7" t="s">
        <v>540</v>
      </c>
      <c r="E53" s="1" t="s">
        <v>25</v>
      </c>
      <c r="F53" s="4" t="s">
        <v>541</v>
      </c>
      <c r="G53" s="4" t="s">
        <v>540</v>
      </c>
      <c r="H53" s="8" t="s">
        <v>542</v>
      </c>
      <c r="I53" s="4" t="s">
        <v>532</v>
      </c>
      <c r="J53" s="1" t="s">
        <v>533</v>
      </c>
      <c r="K53" s="1" t="s">
        <v>534</v>
      </c>
      <c r="L53" s="1" t="s">
        <v>535</v>
      </c>
      <c r="M53" s="1" t="s">
        <v>536</v>
      </c>
      <c r="N53" s="1" t="s">
        <v>51</v>
      </c>
      <c r="O53" s="1" t="s">
        <v>270</v>
      </c>
      <c r="Q53" s="1" t="s">
        <v>537</v>
      </c>
      <c r="R53" s="1" t="s">
        <v>502</v>
      </c>
      <c r="S53" s="1" t="s">
        <v>272</v>
      </c>
      <c r="T53" s="1" t="s">
        <v>36</v>
      </c>
      <c r="U53" s="4" t="s">
        <v>543</v>
      </c>
      <c r="X53" s="1" t="str">
        <f>IFERROR(__xludf.DUMMYFUNCTION("split(F53,"" ,:;.?!"")"),"приходу")</f>
        <v>приходу</v>
      </c>
      <c r="Y53" s="1" t="str">
        <f>IFERROR(__xludf.DUMMYFUNCTION("""COMPUTED_VALUE"""),"Рины")</f>
        <v>Рины</v>
      </c>
      <c r="Z53" s="1" t="str">
        <f>IFERROR(__xludf.DUMMYFUNCTION("""COMPUTED_VALUE"""),"я")</f>
        <v>я</v>
      </c>
      <c r="AA53" s="1" t="str">
        <f>IFERROR(__xludf.DUMMYFUNCTION("""COMPUTED_VALUE"""),"договорилась")</f>
        <v>договорилась</v>
      </c>
      <c r="AB53" s="1" t="str">
        <f>IFERROR(__xludf.DUMMYFUNCTION("""COMPUTED_VALUE"""),"встретиться")</f>
        <v>встретиться</v>
      </c>
      <c r="AC53" s="1" t="str">
        <f>IFERROR(__xludf.DUMMYFUNCTION("""COMPUTED_VALUE"""),"с")</f>
        <v>с</v>
      </c>
    </row>
    <row r="54" ht="14.25" customHeight="1">
      <c r="A54" s="1" t="s">
        <v>544</v>
      </c>
      <c r="B54" s="1" t="s">
        <v>545</v>
      </c>
      <c r="C54" s="2" t="s">
        <v>546</v>
      </c>
      <c r="D54" s="7" t="s">
        <v>547</v>
      </c>
      <c r="E54" s="1" t="s">
        <v>197</v>
      </c>
      <c r="F54" s="4" t="s">
        <v>548</v>
      </c>
      <c r="G54" s="4" t="s">
        <v>547</v>
      </c>
      <c r="H54" s="8" t="s">
        <v>549</v>
      </c>
      <c r="I54" s="4" t="s">
        <v>550</v>
      </c>
      <c r="J54" s="1" t="s">
        <v>489</v>
      </c>
      <c r="K54" s="1" t="s">
        <v>319</v>
      </c>
      <c r="L54" s="1" t="s">
        <v>551</v>
      </c>
      <c r="M54" s="1" t="s">
        <v>552</v>
      </c>
      <c r="N54" s="1" t="s">
        <v>139</v>
      </c>
      <c r="O54" s="1" t="s">
        <v>284</v>
      </c>
      <c r="Q54" s="1" t="s">
        <v>553</v>
      </c>
      <c r="R54" s="1" t="s">
        <v>517</v>
      </c>
      <c r="S54" s="1" t="s">
        <v>272</v>
      </c>
      <c r="T54" s="1" t="s">
        <v>36</v>
      </c>
      <c r="U54" s="4" t="s">
        <v>554</v>
      </c>
      <c r="X54" s="1" t="str">
        <f>IFERROR(__xludf.DUMMYFUNCTION("split(F54,"" ,:;.?!"")"),"офицерам")</f>
        <v>офицерам</v>
      </c>
      <c r="Y54" s="1" t="str">
        <f>IFERROR(__xludf.DUMMYFUNCTION("""COMPUTED_VALUE"""),"заводить")</f>
        <v>заводить</v>
      </c>
      <c r="Z54" s="1" t="str">
        <f>IFERROR(__xludf.DUMMYFUNCTION("""COMPUTED_VALUE"""),"романы")</f>
        <v>романы</v>
      </c>
      <c r="AA54" s="1" t="str">
        <f>IFERROR(__xludf.DUMMYFUNCTION("""COMPUTED_VALUE"""),"иногда")</f>
        <v>иногда</v>
      </c>
      <c r="AB54" s="1" t="str">
        <f>IFERROR(__xludf.DUMMYFUNCTION("""COMPUTED_VALUE"""),"заканчивающиеся")</f>
        <v>заканчивающиеся</v>
      </c>
      <c r="AC54" s="1" t="str">
        <f>IFERROR(__xludf.DUMMYFUNCTION("""COMPUTED_VALUE"""),"женитьбой")</f>
        <v>женитьбой</v>
      </c>
    </row>
    <row r="55" ht="14.25" customHeight="1">
      <c r="A55" s="1" t="s">
        <v>555</v>
      </c>
      <c r="B55" s="1" t="s">
        <v>556</v>
      </c>
      <c r="C55" s="2" t="s">
        <v>557</v>
      </c>
      <c r="D55" s="7" t="s">
        <v>558</v>
      </c>
      <c r="E55" s="1" t="s">
        <v>25</v>
      </c>
      <c r="F55" s="4" t="s">
        <v>559</v>
      </c>
      <c r="G55" s="4" t="s">
        <v>558</v>
      </c>
      <c r="H55" s="8" t="s">
        <v>560</v>
      </c>
      <c r="I55" s="4" t="s">
        <v>550</v>
      </c>
      <c r="J55" s="1" t="s">
        <v>489</v>
      </c>
      <c r="K55" s="1" t="s">
        <v>319</v>
      </c>
      <c r="L55" s="1" t="s">
        <v>551</v>
      </c>
      <c r="M55" s="1" t="s">
        <v>552</v>
      </c>
      <c r="N55" s="1" t="s">
        <v>139</v>
      </c>
      <c r="O55" s="1" t="s">
        <v>284</v>
      </c>
      <c r="Q55" s="1" t="s">
        <v>553</v>
      </c>
      <c r="R55" s="1" t="s">
        <v>517</v>
      </c>
      <c r="S55" s="1" t="s">
        <v>272</v>
      </c>
      <c r="T55" s="1" t="s">
        <v>36</v>
      </c>
      <c r="U55" s="4" t="s">
        <v>561</v>
      </c>
      <c r="X55" s="1" t="str">
        <f>IFERROR(__xludf.DUMMYFUNCTION("split(F55,"" ,:;.?!"")"),"сыну")</f>
        <v>сыну</v>
      </c>
      <c r="Y55" s="1" t="str">
        <f>IFERROR(__xludf.DUMMYFUNCTION("""COMPUTED_VALUE"""),"вернувшемуся")</f>
        <v>вернувшемуся</v>
      </c>
      <c r="Z55" s="1" t="str">
        <f>IFERROR(__xludf.DUMMYFUNCTION("""COMPUTED_VALUE"""),"с")</f>
        <v>с</v>
      </c>
      <c r="AA55" s="1" t="str">
        <f>IFERROR(__xludf.DUMMYFUNCTION("""COMPUTED_VALUE"""),"войны")</f>
        <v>войны</v>
      </c>
      <c r="AB55" s="1" t="str">
        <f>IFERROR(__xludf.DUMMYFUNCTION("""COMPUTED_VALUE"""),"надёже")</f>
        <v>надёже</v>
      </c>
      <c r="AC55" s="1" t="str">
        <f>IFERROR(__xludf.DUMMYFUNCTION("""COMPUTED_VALUE"""),"русского")</f>
        <v>русского</v>
      </c>
    </row>
    <row r="56" ht="14.25" customHeight="1">
      <c r="B56" s="1" t="s">
        <v>562</v>
      </c>
      <c r="C56" s="2"/>
      <c r="D56" s="7" t="s">
        <v>563</v>
      </c>
      <c r="E56" s="1" t="s">
        <v>25</v>
      </c>
      <c r="F56" s="4" t="s">
        <v>564</v>
      </c>
      <c r="G56" s="4" t="s">
        <v>563</v>
      </c>
      <c r="H56" s="8" t="s">
        <v>565</v>
      </c>
      <c r="I56" s="4" t="s">
        <v>566</v>
      </c>
      <c r="J56" s="1" t="s">
        <v>453</v>
      </c>
      <c r="K56" s="1" t="s">
        <v>454</v>
      </c>
      <c r="L56" s="1" t="s">
        <v>567</v>
      </c>
      <c r="M56" s="1" t="s">
        <v>568</v>
      </c>
      <c r="N56" s="1" t="s">
        <v>139</v>
      </c>
      <c r="O56" s="1" t="s">
        <v>284</v>
      </c>
      <c r="Q56" s="1" t="s">
        <v>569</v>
      </c>
      <c r="R56" s="1" t="s">
        <v>365</v>
      </c>
      <c r="S56" s="1" t="s">
        <v>272</v>
      </c>
      <c r="T56" s="1" t="s">
        <v>36</v>
      </c>
      <c r="U56" s="4" t="s">
        <v>570</v>
      </c>
      <c r="X56" s="1" t="str">
        <f>IFERROR(__xludf.DUMMYFUNCTION("split(F56,"" ,:;.?!"")"),"ходу")</f>
        <v>ходу</v>
      </c>
      <c r="Y56" s="1" t="str">
        <f>IFERROR(__xludf.DUMMYFUNCTION("""COMPUTED_VALUE"""),"собственных")</f>
        <v>собственных</v>
      </c>
      <c r="Z56" s="1" t="str">
        <f>IFERROR(__xludf.DUMMYFUNCTION("""COMPUTED_VALUE"""),"мыслей")</f>
        <v>мыслей</v>
      </c>
      <c r="AA56" s="1" t="str">
        <f>IFERROR(__xludf.DUMMYFUNCTION("""COMPUTED_VALUE"""),"Андрей")</f>
        <v>Андрей</v>
      </c>
      <c r="AB56" s="1" t="str">
        <f>IFERROR(__xludf.DUMMYFUNCTION("""COMPUTED_VALUE"""),"Андреев")</f>
        <v>Андреев</v>
      </c>
      <c r="AC56" s="1" t="str">
        <f>IFERROR(__xludf.DUMMYFUNCTION("""COMPUTED_VALUE"""),"встал")</f>
        <v>встал</v>
      </c>
    </row>
    <row r="57" ht="14.25" customHeight="1">
      <c r="A57" s="1" t="s">
        <v>571</v>
      </c>
      <c r="B57" s="1" t="s">
        <v>556</v>
      </c>
      <c r="C57" s="2" t="s">
        <v>572</v>
      </c>
      <c r="D57" s="7" t="s">
        <v>558</v>
      </c>
      <c r="E57" s="1" t="s">
        <v>25</v>
      </c>
      <c r="F57" s="4" t="s">
        <v>573</v>
      </c>
      <c r="G57" s="4" t="s">
        <v>558</v>
      </c>
      <c r="H57" s="8" t="s">
        <v>574</v>
      </c>
      <c r="I57" s="4" t="s">
        <v>566</v>
      </c>
      <c r="J57" s="1" t="s">
        <v>453</v>
      </c>
      <c r="K57" s="1" t="s">
        <v>454</v>
      </c>
      <c r="L57" s="1" t="s">
        <v>567</v>
      </c>
      <c r="M57" s="1" t="s">
        <v>568</v>
      </c>
      <c r="N57" s="1" t="s">
        <v>139</v>
      </c>
      <c r="O57" s="1" t="s">
        <v>284</v>
      </c>
      <c r="Q57" s="1" t="s">
        <v>569</v>
      </c>
      <c r="R57" s="1" t="s">
        <v>365</v>
      </c>
      <c r="S57" s="1" t="s">
        <v>272</v>
      </c>
      <c r="T57" s="1" t="s">
        <v>36</v>
      </c>
      <c r="U57" s="4" t="s">
        <v>575</v>
      </c>
      <c r="X57" s="1" t="str">
        <f>IFERROR(__xludf.DUMMYFUNCTION("split(F57,"" ,:;.?!"")"),"случаю")</f>
        <v>случаю</v>
      </c>
      <c r="Y57" s="1" t="str">
        <f>IFERROR(__xludf.DUMMYFUNCTION("""COMPUTED_VALUE"""),"хоть")</f>
        <v>хоть</v>
      </c>
      <c r="Z57" s="1" t="str">
        <f>IFERROR(__xludf.DUMMYFUNCTION("""COMPUTED_VALUE"""),"что-то")</f>
        <v>что-то</v>
      </c>
      <c r="AA57" s="1" t="str">
        <f>IFERROR(__xludf.DUMMYFUNCTION("""COMPUTED_VALUE"""),"сделать")</f>
        <v>сделать</v>
      </c>
      <c r="AB57" s="1" t="str">
        <f>IFERROR(__xludf.DUMMYFUNCTION("""COMPUTED_VALUE"""),"для")</f>
        <v>для</v>
      </c>
      <c r="AC57" s="1" t="str">
        <f>IFERROR(__xludf.DUMMYFUNCTION("""COMPUTED_VALUE"""),"сына")</f>
        <v>сына</v>
      </c>
    </row>
    <row r="58" ht="14.25" customHeight="1">
      <c r="A58" s="1" t="s">
        <v>576</v>
      </c>
      <c r="B58" s="1" t="s">
        <v>325</v>
      </c>
      <c r="C58" s="2" t="s">
        <v>577</v>
      </c>
      <c r="D58" s="7" t="s">
        <v>327</v>
      </c>
      <c r="E58" s="1" t="s">
        <v>25</v>
      </c>
      <c r="F58" s="4" t="s">
        <v>578</v>
      </c>
      <c r="G58" s="4" t="s">
        <v>327</v>
      </c>
      <c r="H58" s="8" t="s">
        <v>406</v>
      </c>
      <c r="I58" s="4" t="s">
        <v>579</v>
      </c>
      <c r="J58" s="1" t="s">
        <v>580</v>
      </c>
      <c r="K58" s="1" t="s">
        <v>581</v>
      </c>
      <c r="L58" s="1" t="s">
        <v>582</v>
      </c>
      <c r="M58" s="1" t="s">
        <v>583</v>
      </c>
      <c r="N58" s="1" t="s">
        <v>139</v>
      </c>
      <c r="O58" s="1" t="s">
        <v>457</v>
      </c>
      <c r="Q58" s="1" t="s">
        <v>584</v>
      </c>
      <c r="R58" s="1" t="s">
        <v>517</v>
      </c>
      <c r="S58" s="1" t="s">
        <v>272</v>
      </c>
      <c r="T58" s="1" t="s">
        <v>36</v>
      </c>
      <c r="U58" s="4" t="s">
        <v>585</v>
      </c>
      <c r="X58" s="1" t="str">
        <f>IFERROR(__xludf.DUMMYFUNCTION("split(F58,"" ,:;.?!"")"),"узнаванию")</f>
        <v>узнаванию</v>
      </c>
      <c r="Y58" s="1" t="str">
        <f>IFERROR(__xludf.DUMMYFUNCTION("""COMPUTED_VALUE"""),"этих")</f>
        <v>этих</v>
      </c>
      <c r="Z58" s="1" t="str">
        <f>IFERROR(__xludf.DUMMYFUNCTION("""COMPUTED_VALUE"""),"звуков")</f>
        <v>звуков</v>
      </c>
      <c r="AA58" s="1" t="str">
        <f>IFERROR(__xludf.DUMMYFUNCTION("""COMPUTED_VALUE"""),"как")</f>
        <v>как</v>
      </c>
      <c r="AB58" s="1" t="str">
        <f>IFERROR(__xludf.DUMMYFUNCTION("""COMPUTED_VALUE"""),"тогда")</f>
        <v>тогда</v>
      </c>
      <c r="AC58" s="1" t="str">
        <f>IFERROR(__xludf.DUMMYFUNCTION("""COMPUTED_VALUE"""),"узнаванию")</f>
        <v>узнаванию</v>
      </c>
    </row>
    <row r="59" ht="14.25" customHeight="1">
      <c r="A59" s="1" t="s">
        <v>586</v>
      </c>
      <c r="B59" s="1" t="s">
        <v>587</v>
      </c>
      <c r="C59" s="2" t="s">
        <v>588</v>
      </c>
      <c r="D59" s="7" t="s">
        <v>589</v>
      </c>
      <c r="E59" s="1" t="s">
        <v>25</v>
      </c>
      <c r="F59" s="4" t="s">
        <v>590</v>
      </c>
      <c r="G59" s="4" t="s">
        <v>589</v>
      </c>
      <c r="H59" s="8" t="s">
        <v>591</v>
      </c>
      <c r="I59" s="4" t="s">
        <v>592</v>
      </c>
      <c r="J59" s="1" t="s">
        <v>580</v>
      </c>
      <c r="K59" s="1" t="s">
        <v>581</v>
      </c>
      <c r="L59" s="1" t="s">
        <v>593</v>
      </c>
      <c r="M59" s="1" t="s">
        <v>594</v>
      </c>
      <c r="N59" s="1" t="s">
        <v>139</v>
      </c>
      <c r="O59" s="1" t="s">
        <v>457</v>
      </c>
      <c r="Q59" s="1" t="s">
        <v>595</v>
      </c>
      <c r="R59" s="1" t="s">
        <v>596</v>
      </c>
      <c r="S59" s="1" t="s">
        <v>272</v>
      </c>
      <c r="T59" s="1" t="s">
        <v>36</v>
      </c>
      <c r="U59" s="4" t="s">
        <v>597</v>
      </c>
      <c r="X59" s="1" t="str">
        <f>IFERROR(__xludf.DUMMYFUNCTION("split(F59,"" ,:;.?!"")"),"освобождению")</f>
        <v>освобождению</v>
      </c>
      <c r="Y59" s="1" t="str">
        <f>IFERROR(__xludf.DUMMYFUNCTION("""COMPUTED_VALUE"""),"от")</f>
        <v>от</v>
      </c>
      <c r="Z59" s="1" t="str">
        <f>IFERROR(__xludf.DUMMYFUNCTION("""COMPUTED_VALUE"""),"этой")</f>
        <v>этой</v>
      </c>
      <c r="AA59" s="1" t="str">
        <f>IFERROR(__xludf.DUMMYFUNCTION("""COMPUTED_VALUE"""),"тяжести")</f>
        <v>тяжести</v>
      </c>
      <c r="AB59" s="1" t="str">
        <f>IFERROR(__xludf.DUMMYFUNCTION("""COMPUTED_VALUE"""),"мальчик")</f>
        <v>мальчик</v>
      </c>
      <c r="AC59" s="1" t="str">
        <f>IFERROR(__xludf.DUMMYFUNCTION("""COMPUTED_VALUE"""),"вернувшийся")</f>
        <v>вернувшийся</v>
      </c>
    </row>
    <row r="60" ht="14.25" customHeight="1">
      <c r="A60" s="1" t="s">
        <v>598</v>
      </c>
      <c r="B60" s="1" t="s">
        <v>238</v>
      </c>
      <c r="C60" s="2" t="s">
        <v>599</v>
      </c>
      <c r="D60" s="7" t="s">
        <v>240</v>
      </c>
      <c r="E60" s="1" t="s">
        <v>25</v>
      </c>
      <c r="F60" s="4" t="s">
        <v>600</v>
      </c>
      <c r="G60" s="4" t="s">
        <v>240</v>
      </c>
      <c r="H60" s="8" t="s">
        <v>601</v>
      </c>
      <c r="I60" s="4" t="s">
        <v>602</v>
      </c>
      <c r="J60" s="1" t="s">
        <v>603</v>
      </c>
      <c r="K60" s="1" t="s">
        <v>319</v>
      </c>
      <c r="L60" s="1" t="s">
        <v>604</v>
      </c>
      <c r="M60" s="1" t="s">
        <v>605</v>
      </c>
      <c r="N60" s="1" t="s">
        <v>139</v>
      </c>
      <c r="O60" s="1" t="s">
        <v>366</v>
      </c>
      <c r="Q60" s="1" t="s">
        <v>606</v>
      </c>
      <c r="R60" s="1" t="s">
        <v>517</v>
      </c>
      <c r="S60" s="1" t="s">
        <v>272</v>
      </c>
      <c r="T60" s="1" t="s">
        <v>36</v>
      </c>
      <c r="U60" s="4" t="s">
        <v>607</v>
      </c>
      <c r="X60" s="1" t="str">
        <f>IFERROR(__xludf.DUMMYFUNCTION("split(F60,"" ,:;.?!"")"),"оплошке")</f>
        <v>оплошке</v>
      </c>
      <c r="Y60" s="1" t="str">
        <f>IFERROR(__xludf.DUMMYFUNCTION("""COMPUTED_VALUE"""),"органов")</f>
        <v>органов</v>
      </c>
    </row>
    <row r="61" ht="14.25" customHeight="1">
      <c r="A61" s="1" t="s">
        <v>608</v>
      </c>
      <c r="B61" s="1" t="s">
        <v>609</v>
      </c>
      <c r="C61" s="2" t="s">
        <v>610</v>
      </c>
      <c r="D61" s="7" t="s">
        <v>611</v>
      </c>
      <c r="E61" s="1" t="s">
        <v>612</v>
      </c>
      <c r="F61" s="4" t="s">
        <v>613</v>
      </c>
      <c r="G61" s="4" t="s">
        <v>611</v>
      </c>
      <c r="H61" s="8" t="s">
        <v>614</v>
      </c>
      <c r="I61" s="4" t="s">
        <v>615</v>
      </c>
      <c r="J61" s="1" t="s">
        <v>616</v>
      </c>
      <c r="K61" s="1" t="s">
        <v>617</v>
      </c>
      <c r="L61" s="1" t="s">
        <v>618</v>
      </c>
      <c r="M61" s="1" t="s">
        <v>619</v>
      </c>
      <c r="N61" s="1" t="s">
        <v>139</v>
      </c>
      <c r="O61" s="1" t="s">
        <v>284</v>
      </c>
      <c r="Q61" s="1" t="s">
        <v>620</v>
      </c>
      <c r="R61" s="1" t="s">
        <v>583</v>
      </c>
      <c r="S61" s="1" t="s">
        <v>272</v>
      </c>
      <c r="T61" s="1" t="s">
        <v>36</v>
      </c>
      <c r="U61" s="4" t="s">
        <v>621</v>
      </c>
      <c r="X61" s="1" t="str">
        <f>IFERROR(__xludf.DUMMYFUNCTION("split(F61,"" ,:;.?!"")"),"больным")</f>
        <v>больным</v>
      </c>
      <c r="Y61" s="1" t="str">
        <f>IFERROR(__xludf.DUMMYFUNCTION("""COMPUTED_VALUE"""),"―")</f>
        <v>―</v>
      </c>
      <c r="Z61" s="1" t="str">
        <f>IFERROR(__xludf.DUMMYFUNCTION("""COMPUTED_VALUE"""),"всё")</f>
        <v>всё</v>
      </c>
      <c r="AA61" s="1" t="str">
        <f>IFERROR(__xludf.DUMMYFUNCTION("""COMPUTED_VALUE"""),"ему")</f>
        <v>ему</v>
      </c>
      <c r="AB61" s="1" t="str">
        <f>IFERROR(__xludf.DUMMYFUNCTION("""COMPUTED_VALUE"""),"―")</f>
        <v>―</v>
      </c>
      <c r="AC61" s="1" t="str">
        <f>IFERROR(__xludf.DUMMYFUNCTION("""COMPUTED_VALUE"""),"ничего")</f>
        <v>ничего</v>
      </c>
    </row>
    <row r="62" ht="14.25" customHeight="1">
      <c r="A62" s="1" t="s">
        <v>622</v>
      </c>
      <c r="B62" s="1" t="s">
        <v>623</v>
      </c>
      <c r="C62" s="2" t="s">
        <v>624</v>
      </c>
      <c r="D62" s="7" t="s">
        <v>625</v>
      </c>
      <c r="E62" s="1" t="s">
        <v>626</v>
      </c>
      <c r="F62" s="4" t="s">
        <v>627</v>
      </c>
      <c r="G62" s="4" t="s">
        <v>625</v>
      </c>
      <c r="H62" s="8" t="s">
        <v>628</v>
      </c>
      <c r="I62" s="4" t="s">
        <v>615</v>
      </c>
      <c r="J62" s="1" t="s">
        <v>616</v>
      </c>
      <c r="K62" s="1" t="s">
        <v>617</v>
      </c>
      <c r="L62" s="1" t="s">
        <v>618</v>
      </c>
      <c r="M62" s="1" t="s">
        <v>619</v>
      </c>
      <c r="N62" s="1" t="s">
        <v>139</v>
      </c>
      <c r="O62" s="1" t="s">
        <v>284</v>
      </c>
      <c r="Q62" s="1" t="s">
        <v>620</v>
      </c>
      <c r="R62" s="1" t="s">
        <v>583</v>
      </c>
      <c r="S62" s="1" t="s">
        <v>272</v>
      </c>
      <c r="T62" s="1" t="s">
        <v>36</v>
      </c>
      <c r="U62" s="4" t="s">
        <v>629</v>
      </c>
      <c r="X62" s="1" t="str">
        <f>IFERROR(__xludf.DUMMYFUNCTION("split(F62,"" ,:;.?!"")"),"психиатру")</f>
        <v>психиатру</v>
      </c>
    </row>
    <row r="63" ht="14.25" customHeight="1">
      <c r="A63" s="1" t="s">
        <v>630</v>
      </c>
      <c r="B63" s="1" t="s">
        <v>631</v>
      </c>
      <c r="C63" s="2" t="s">
        <v>632</v>
      </c>
      <c r="D63" s="7" t="s">
        <v>633</v>
      </c>
      <c r="E63" s="1" t="s">
        <v>25</v>
      </c>
      <c r="F63" s="4" t="s">
        <v>634</v>
      </c>
      <c r="G63" s="4" t="s">
        <v>633</v>
      </c>
      <c r="H63" s="8" t="s">
        <v>635</v>
      </c>
      <c r="I63" s="4" t="s">
        <v>615</v>
      </c>
      <c r="J63" s="1" t="s">
        <v>616</v>
      </c>
      <c r="K63" s="1" t="s">
        <v>617</v>
      </c>
      <c r="L63" s="1" t="s">
        <v>618</v>
      </c>
      <c r="M63" s="1" t="s">
        <v>619</v>
      </c>
      <c r="N63" s="1" t="s">
        <v>139</v>
      </c>
      <c r="O63" s="1" t="s">
        <v>284</v>
      </c>
      <c r="Q63" s="1" t="s">
        <v>620</v>
      </c>
      <c r="R63" s="1" t="s">
        <v>583</v>
      </c>
      <c r="S63" s="1" t="s">
        <v>272</v>
      </c>
      <c r="T63" s="1" t="s">
        <v>36</v>
      </c>
      <c r="U63" s="4" t="s">
        <v>636</v>
      </c>
      <c r="X63" s="1" t="str">
        <f>IFERROR(__xludf.DUMMYFUNCTION("split(F63,"" ,:;.?!"")"),"супругам")</f>
        <v>супругам</v>
      </c>
      <c r="Y63" s="1" t="str">
        <f>IFERROR(__xludf.DUMMYFUNCTION("""COMPUTED_VALUE"""),"давно")</f>
        <v>давно</v>
      </c>
      <c r="Z63" s="1" t="str">
        <f>IFERROR(__xludf.DUMMYFUNCTION("""COMPUTED_VALUE"""),"пора")</f>
        <v>пора</v>
      </c>
      <c r="AA63" s="1" t="str">
        <f>IFERROR(__xludf.DUMMYFUNCTION("""COMPUTED_VALUE"""),"перейти")</f>
        <v>перейти</v>
      </c>
      <c r="AB63" s="1" t="str">
        <f>IFERROR(__xludf.DUMMYFUNCTION("""COMPUTED_VALUE"""),"на")</f>
        <v>на</v>
      </c>
      <c r="AC63" s="1" t="str">
        <f>IFERROR(__xludf.DUMMYFUNCTION("""COMPUTED_VALUE"""),"""ты""")</f>
        <v>"ты"</v>
      </c>
    </row>
    <row r="64" ht="14.25" customHeight="1">
      <c r="A64" s="1" t="s">
        <v>637</v>
      </c>
      <c r="B64" s="1" t="s">
        <v>638</v>
      </c>
      <c r="C64" s="2" t="s">
        <v>639</v>
      </c>
      <c r="D64" s="7" t="s">
        <v>640</v>
      </c>
      <c r="E64" s="1" t="s">
        <v>25</v>
      </c>
      <c r="F64" s="4" t="s">
        <v>641</v>
      </c>
      <c r="G64" s="4" t="s">
        <v>640</v>
      </c>
      <c r="H64" s="8" t="s">
        <v>439</v>
      </c>
      <c r="I64" s="4" t="s">
        <v>642</v>
      </c>
      <c r="J64" s="1" t="s">
        <v>643</v>
      </c>
      <c r="K64" s="1" t="s">
        <v>644</v>
      </c>
      <c r="L64" s="1" t="s">
        <v>645</v>
      </c>
      <c r="M64" s="1" t="s">
        <v>619</v>
      </c>
      <c r="N64" s="1" t="s">
        <v>139</v>
      </c>
      <c r="O64" s="1" t="s">
        <v>284</v>
      </c>
      <c r="Q64" s="1" t="s">
        <v>646</v>
      </c>
      <c r="R64" s="1" t="s">
        <v>619</v>
      </c>
      <c r="S64" s="1" t="s">
        <v>272</v>
      </c>
      <c r="T64" s="1" t="s">
        <v>36</v>
      </c>
      <c r="U64" s="4" t="s">
        <v>647</v>
      </c>
      <c r="X64" s="1" t="str">
        <f>IFERROR(__xludf.DUMMYFUNCTION("split(F64,"" ,:;.?!"")"),"состоянию")</f>
        <v>состоянию</v>
      </c>
      <c r="Y64" s="1" t="str">
        <f>IFERROR(__xludf.DUMMYFUNCTION("""COMPUTED_VALUE"""),"земной")</f>
        <v>земной</v>
      </c>
      <c r="Z64" s="1" t="str">
        <f>IFERROR(__xludf.DUMMYFUNCTION("""COMPUTED_VALUE"""),"поверхности")</f>
        <v>поверхности</v>
      </c>
      <c r="AA64" s="1" t="str">
        <f>IFERROR(__xludf.DUMMYFUNCTION("""COMPUTED_VALUE"""),"отечества")</f>
        <v>отечества</v>
      </c>
      <c r="AB64" s="1" t="str">
        <f>IFERROR(__xludf.DUMMYFUNCTION("""COMPUTED_VALUE"""),"нашего")</f>
        <v>нашего</v>
      </c>
    </row>
    <row r="65" ht="14.25" customHeight="1">
      <c r="A65" s="1" t="s">
        <v>648</v>
      </c>
      <c r="B65" s="1" t="s">
        <v>493</v>
      </c>
      <c r="C65" s="2" t="s">
        <v>649</v>
      </c>
      <c r="D65" s="7" t="s">
        <v>495</v>
      </c>
      <c r="E65" s="1" t="s">
        <v>25</v>
      </c>
      <c r="F65" s="4" t="s">
        <v>650</v>
      </c>
      <c r="G65" s="4" t="s">
        <v>495</v>
      </c>
      <c r="H65" s="8" t="s">
        <v>651</v>
      </c>
      <c r="I65" s="4" t="s">
        <v>642</v>
      </c>
      <c r="J65" s="1" t="s">
        <v>643</v>
      </c>
      <c r="K65" s="1" t="s">
        <v>644</v>
      </c>
      <c r="L65" s="1" t="s">
        <v>645</v>
      </c>
      <c r="M65" s="1" t="s">
        <v>619</v>
      </c>
      <c r="N65" s="1" t="s">
        <v>139</v>
      </c>
      <c r="O65" s="1" t="s">
        <v>284</v>
      </c>
      <c r="Q65" s="1" t="s">
        <v>646</v>
      </c>
      <c r="R65" s="1" t="s">
        <v>619</v>
      </c>
      <c r="S65" s="1" t="s">
        <v>272</v>
      </c>
      <c r="T65" s="1" t="s">
        <v>36</v>
      </c>
      <c r="U65" s="4" t="s">
        <v>652</v>
      </c>
      <c r="X65" s="1" t="str">
        <f>IFERROR(__xludf.DUMMYFUNCTION("split(F65,"" ,:;.?!"")"),"чудесам")</f>
        <v>чудесам</v>
      </c>
      <c r="Y65" s="1" t="str">
        <f>IFERROR(__xludf.DUMMYFUNCTION("""COMPUTED_VALUE"""),"европейской")</f>
        <v>европейской</v>
      </c>
      <c r="Z65" s="1" t="str">
        <f>IFERROR(__xludf.DUMMYFUNCTION("""COMPUTED_VALUE"""),"техники")</f>
        <v>техники</v>
      </c>
      <c r="AA65" s="1" t="str">
        <f>IFERROR(__xludf.DUMMYFUNCTION("""COMPUTED_VALUE"""),"заволновался")</f>
        <v>заволновался</v>
      </c>
      <c r="AB65" s="1" t="str">
        <f>IFERROR(__xludf.DUMMYFUNCTION("""COMPUTED_VALUE"""),"потребовал")</f>
        <v>потребовал</v>
      </c>
      <c r="AC65" s="1" t="str">
        <f>IFERROR(__xludf.DUMMYFUNCTION("""COMPUTED_VALUE"""),"принести")</f>
        <v>принести</v>
      </c>
    </row>
    <row r="66" ht="14.25" customHeight="1">
      <c r="A66" s="1" t="s">
        <v>653</v>
      </c>
      <c r="B66" s="1" t="s">
        <v>654</v>
      </c>
      <c r="C66" s="2" t="s">
        <v>655</v>
      </c>
      <c r="D66" s="7" t="s">
        <v>656</v>
      </c>
      <c r="E66" s="1" t="s">
        <v>25</v>
      </c>
      <c r="F66" s="4" t="s">
        <v>657</v>
      </c>
      <c r="G66" s="4" t="s">
        <v>656</v>
      </c>
      <c r="H66" s="8" t="s">
        <v>658</v>
      </c>
      <c r="I66" s="4" t="s">
        <v>642</v>
      </c>
      <c r="J66" s="1" t="s">
        <v>643</v>
      </c>
      <c r="K66" s="1" t="s">
        <v>644</v>
      </c>
      <c r="L66" s="1" t="s">
        <v>645</v>
      </c>
      <c r="M66" s="1" t="s">
        <v>619</v>
      </c>
      <c r="N66" s="1" t="s">
        <v>139</v>
      </c>
      <c r="O66" s="1" t="s">
        <v>284</v>
      </c>
      <c r="Q66" s="1" t="s">
        <v>646</v>
      </c>
      <c r="R66" s="1" t="s">
        <v>619</v>
      </c>
      <c r="S66" s="1" t="s">
        <v>272</v>
      </c>
      <c r="T66" s="1" t="s">
        <v>36</v>
      </c>
      <c r="U66" s="4" t="s">
        <v>659</v>
      </c>
      <c r="X66" s="1" t="str">
        <f>IFERROR(__xludf.DUMMYFUNCTION("split(F66,"" ,:;.?!"")"),"окружающим")</f>
        <v>окружающим</v>
      </c>
      <c r="Y66" s="1" t="str">
        <f>IFERROR(__xludf.DUMMYFUNCTION("""COMPUTED_VALUE"""),"ужасалось")</f>
        <v>ужасалось</v>
      </c>
      <c r="Z66" s="1" t="str">
        <f>IFERROR(__xludf.DUMMYFUNCTION("""COMPUTED_VALUE"""),"отзывалось")</f>
        <v>отзывалось</v>
      </c>
      <c r="AA66" s="1" t="str">
        <f>IFERROR(__xludf.DUMMYFUNCTION("""COMPUTED_VALUE"""),"на")</f>
        <v>на</v>
      </c>
      <c r="AB66" s="1" t="str">
        <f>IFERROR(__xludf.DUMMYFUNCTION("""COMPUTED_VALUE"""),"рыдания")</f>
        <v>рыдания</v>
      </c>
      <c r="AC66" s="1" t="str">
        <f>IFERROR(__xludf.DUMMYFUNCTION("""COMPUTED_VALUE"""),"и")</f>
        <v>и</v>
      </c>
    </row>
    <row r="67" ht="14.25" customHeight="1">
      <c r="A67" s="1" t="s">
        <v>660</v>
      </c>
      <c r="B67" s="1" t="s">
        <v>661</v>
      </c>
      <c r="C67" s="2" t="s">
        <v>662</v>
      </c>
      <c r="D67" s="7" t="s">
        <v>663</v>
      </c>
      <c r="E67" s="1" t="s">
        <v>25</v>
      </c>
      <c r="F67" s="4" t="s">
        <v>664</v>
      </c>
      <c r="G67" s="4" t="s">
        <v>663</v>
      </c>
      <c r="H67" s="8" t="s">
        <v>665</v>
      </c>
      <c r="I67" s="4" t="s">
        <v>642</v>
      </c>
      <c r="J67" s="1" t="s">
        <v>643</v>
      </c>
      <c r="K67" s="1" t="s">
        <v>644</v>
      </c>
      <c r="L67" s="1" t="s">
        <v>645</v>
      </c>
      <c r="M67" s="1" t="s">
        <v>619</v>
      </c>
      <c r="N67" s="1" t="s">
        <v>139</v>
      </c>
      <c r="O67" s="1" t="s">
        <v>284</v>
      </c>
      <c r="Q67" s="1" t="s">
        <v>646</v>
      </c>
      <c r="R67" s="1" t="s">
        <v>619</v>
      </c>
      <c r="S67" s="1" t="s">
        <v>272</v>
      </c>
      <c r="T67" s="1" t="s">
        <v>36</v>
      </c>
      <c r="U67" s="4" t="s">
        <v>666</v>
      </c>
      <c r="X67" s="1" t="str">
        <f>IFERROR(__xludf.DUMMYFUNCTION("split(F67,"" ,:;.?!"")"),"возмездию")</f>
        <v>возмездию</v>
      </c>
    </row>
    <row r="68" ht="14.25" customHeight="1">
      <c r="A68" s="1" t="s">
        <v>667</v>
      </c>
      <c r="B68" s="1" t="s">
        <v>181</v>
      </c>
      <c r="C68" s="2" t="s">
        <v>668</v>
      </c>
      <c r="D68" s="7" t="s">
        <v>183</v>
      </c>
      <c r="E68" s="1" t="s">
        <v>25</v>
      </c>
      <c r="F68" s="4" t="s">
        <v>669</v>
      </c>
      <c r="G68" s="4" t="s">
        <v>183</v>
      </c>
      <c r="H68" s="8" t="s">
        <v>670</v>
      </c>
      <c r="I68" s="4" t="s">
        <v>671</v>
      </c>
      <c r="J68" s="1" t="s">
        <v>672</v>
      </c>
      <c r="K68" s="1" t="s">
        <v>409</v>
      </c>
      <c r="L68" s="1" t="s">
        <v>673</v>
      </c>
      <c r="M68" s="1" t="s">
        <v>619</v>
      </c>
      <c r="N68" s="1" t="s">
        <v>139</v>
      </c>
      <c r="O68" s="1" t="s">
        <v>366</v>
      </c>
      <c r="Q68" s="1" t="s">
        <v>674</v>
      </c>
      <c r="R68" s="1" t="s">
        <v>502</v>
      </c>
      <c r="S68" s="1" t="s">
        <v>272</v>
      </c>
      <c r="T68" s="1" t="s">
        <v>36</v>
      </c>
      <c r="U68" s="4" t="s">
        <v>675</v>
      </c>
      <c r="X68" s="1" t="str">
        <f>IFERROR(__xludf.DUMMYFUNCTION("split(F68,"" ,:;.?!"")"),"крепости")</f>
        <v>крепости</v>
      </c>
      <c r="Y68" s="1" t="str">
        <f>IFERROR(__xludf.DUMMYFUNCTION("""COMPUTED_VALUE"""),"его")</f>
        <v>его</v>
      </c>
      <c r="Z68" s="1" t="str">
        <f>IFERROR(__xludf.DUMMYFUNCTION("""COMPUTED_VALUE"""),"зубов")</f>
        <v>зубов</v>
      </c>
    </row>
    <row r="69" ht="14.25" customHeight="1">
      <c r="A69" s="1" t="s">
        <v>676</v>
      </c>
      <c r="B69" s="1" t="s">
        <v>677</v>
      </c>
      <c r="C69" s="2" t="s">
        <v>678</v>
      </c>
      <c r="D69" s="7" t="s">
        <v>679</v>
      </c>
      <c r="E69" s="1" t="s">
        <v>25</v>
      </c>
      <c r="F69" s="4" t="s">
        <v>680</v>
      </c>
      <c r="G69" s="4" t="s">
        <v>679</v>
      </c>
      <c r="H69" s="8" t="s">
        <v>681</v>
      </c>
      <c r="I69" s="4" t="s">
        <v>671</v>
      </c>
      <c r="J69" s="1" t="s">
        <v>672</v>
      </c>
      <c r="K69" s="1" t="s">
        <v>409</v>
      </c>
      <c r="L69" s="1" t="s">
        <v>673</v>
      </c>
      <c r="M69" s="1" t="s">
        <v>619</v>
      </c>
      <c r="N69" s="1" t="s">
        <v>139</v>
      </c>
      <c r="O69" s="1" t="s">
        <v>366</v>
      </c>
      <c r="Q69" s="1" t="s">
        <v>674</v>
      </c>
      <c r="R69" s="1" t="s">
        <v>502</v>
      </c>
      <c r="S69" s="1" t="s">
        <v>272</v>
      </c>
      <c r="T69" s="1" t="s">
        <v>36</v>
      </c>
      <c r="U69" s="4" t="s">
        <v>682</v>
      </c>
      <c r="X69" s="1" t="str">
        <f>IFERROR(__xludf.DUMMYFUNCTION("split(F69,"" ,:;.?!"")"),"жителям")</f>
        <v>жителям</v>
      </c>
      <c r="Y69" s="1" t="str">
        <f>IFERROR(__xludf.DUMMYFUNCTION("""COMPUTED_VALUE"""),"Союза")</f>
        <v>Союза</v>
      </c>
      <c r="Z69" s="1" t="str">
        <f>IFERROR(__xludf.DUMMYFUNCTION("""COMPUTED_VALUE"""),"Советских")</f>
        <v>Советских</v>
      </c>
      <c r="AA69" s="1" t="str">
        <f>IFERROR(__xludf.DUMMYFUNCTION("""COMPUTED_VALUE"""),"и")</f>
        <v>и</v>
      </c>
      <c r="AB69" s="1" t="str">
        <f>IFERROR(__xludf.DUMMYFUNCTION("""COMPUTED_VALUE"""),"одинаково")</f>
        <v>одинаково</v>
      </c>
      <c r="AC69" s="1" t="str">
        <f>IFERROR(__xludf.DUMMYFUNCTION("""COMPUTED_VALUE"""),"принять")</f>
        <v>принять</v>
      </c>
    </row>
    <row r="70" ht="14.25" customHeight="1">
      <c r="A70" s="1" t="s">
        <v>683</v>
      </c>
      <c r="B70" s="1" t="s">
        <v>684</v>
      </c>
      <c r="C70" s="2" t="s">
        <v>685</v>
      </c>
      <c r="D70" s="7" t="s">
        <v>686</v>
      </c>
      <c r="E70" s="1" t="s">
        <v>25</v>
      </c>
      <c r="F70" s="4" t="s">
        <v>687</v>
      </c>
      <c r="G70" s="4" t="s">
        <v>686</v>
      </c>
      <c r="H70" s="8" t="s">
        <v>688</v>
      </c>
      <c r="I70" s="4" t="s">
        <v>689</v>
      </c>
      <c r="J70" s="1" t="s">
        <v>690</v>
      </c>
      <c r="K70" s="1" t="s">
        <v>691</v>
      </c>
      <c r="L70" s="1" t="s">
        <v>692</v>
      </c>
      <c r="M70" s="1" t="s">
        <v>693</v>
      </c>
      <c r="N70" s="1" t="s">
        <v>139</v>
      </c>
      <c r="O70" s="1" t="s">
        <v>284</v>
      </c>
      <c r="Q70" s="1" t="s">
        <v>694</v>
      </c>
      <c r="R70" s="1" t="s">
        <v>695</v>
      </c>
      <c r="S70" s="1" t="s">
        <v>272</v>
      </c>
      <c r="T70" s="1" t="s">
        <v>36</v>
      </c>
      <c r="U70" s="4" t="s">
        <v>696</v>
      </c>
      <c r="X70" s="1" t="str">
        <f>IFERROR(__xludf.DUMMYFUNCTION("split(F70,"" ,:;.?!"")"),"отпору")</f>
        <v>отпору</v>
      </c>
    </row>
    <row r="71" ht="14.25" customHeight="1">
      <c r="A71" s="1" t="s">
        <v>697</v>
      </c>
      <c r="B71" s="1" t="s">
        <v>698</v>
      </c>
      <c r="C71" s="2" t="s">
        <v>699</v>
      </c>
      <c r="D71" s="7" t="s">
        <v>700</v>
      </c>
      <c r="E71" s="1" t="s">
        <v>25</v>
      </c>
      <c r="F71" s="4" t="s">
        <v>701</v>
      </c>
      <c r="G71" s="4" t="s">
        <v>700</v>
      </c>
      <c r="H71" s="8" t="s">
        <v>702</v>
      </c>
      <c r="I71" s="4" t="s">
        <v>689</v>
      </c>
      <c r="J71" s="1" t="s">
        <v>690</v>
      </c>
      <c r="K71" s="1" t="s">
        <v>691</v>
      </c>
      <c r="L71" s="1" t="s">
        <v>692</v>
      </c>
      <c r="M71" s="1" t="s">
        <v>693</v>
      </c>
      <c r="N71" s="1" t="s">
        <v>139</v>
      </c>
      <c r="O71" s="1" t="s">
        <v>284</v>
      </c>
      <c r="Q71" s="1" t="s">
        <v>694</v>
      </c>
      <c r="R71" s="1" t="s">
        <v>695</v>
      </c>
      <c r="S71" s="1" t="s">
        <v>272</v>
      </c>
      <c r="T71" s="1" t="s">
        <v>36</v>
      </c>
      <c r="U71" s="4" t="s">
        <v>703</v>
      </c>
      <c r="X71" s="1" t="str">
        <f>IFERROR(__xludf.DUMMYFUNCTION("split(F71,"" ,:;.?!"")"),"движению")</f>
        <v>движению</v>
      </c>
      <c r="Y71" s="1" t="str">
        <f>IFERROR(__xludf.DUMMYFUNCTION("""COMPUTED_VALUE"""),"жизни")</f>
        <v>жизни</v>
      </c>
      <c r="Z71" s="1" t="str">
        <f>IFERROR(__xludf.DUMMYFUNCTION("""COMPUTED_VALUE"""),"в")</f>
        <v>в</v>
      </c>
      <c r="AA71" s="1" t="str">
        <f>IFERROR(__xludf.DUMMYFUNCTION("""COMPUTED_VALUE"""),"целом")</f>
        <v>целом</v>
      </c>
    </row>
    <row r="72" ht="14.25" customHeight="1">
      <c r="A72" s="1" t="s">
        <v>704</v>
      </c>
      <c r="B72" s="1" t="s">
        <v>705</v>
      </c>
      <c r="C72" s="2" t="s">
        <v>706</v>
      </c>
      <c r="D72" s="7" t="s">
        <v>707</v>
      </c>
      <c r="E72" s="1" t="s">
        <v>708</v>
      </c>
      <c r="F72" s="4" t="s">
        <v>709</v>
      </c>
      <c r="G72" s="4" t="s">
        <v>707</v>
      </c>
      <c r="H72" s="8" t="s">
        <v>710</v>
      </c>
      <c r="I72" s="4" t="s">
        <v>711</v>
      </c>
      <c r="J72" s="1" t="s">
        <v>712</v>
      </c>
      <c r="K72" s="1" t="s">
        <v>713</v>
      </c>
      <c r="L72" s="1" t="s">
        <v>714</v>
      </c>
      <c r="M72" s="1" t="s">
        <v>715</v>
      </c>
      <c r="N72" s="1" t="s">
        <v>139</v>
      </c>
      <c r="O72" s="1" t="s">
        <v>284</v>
      </c>
      <c r="Q72" s="1" t="s">
        <v>716</v>
      </c>
      <c r="R72" s="1" t="s">
        <v>536</v>
      </c>
      <c r="S72" s="1" t="s">
        <v>70</v>
      </c>
      <c r="T72" s="1" t="s">
        <v>36</v>
      </c>
      <c r="U72" s="4" t="s">
        <v>717</v>
      </c>
      <c r="X72" s="1" t="str">
        <f>IFERROR(__xludf.DUMMYFUNCTION("split(F72,"" ,:;.?!"")"),"пробуждению")</f>
        <v>пробуждению</v>
      </c>
      <c r="Y72" s="1" t="str">
        <f>IFERROR(__xludf.DUMMYFUNCTION("""COMPUTED_VALUE"""),"сознательного")</f>
        <v>сознательного</v>
      </c>
      <c r="Z72" s="1" t="str">
        <f>IFERROR(__xludf.DUMMYFUNCTION("""COMPUTED_VALUE"""),"народного")</f>
        <v>народного</v>
      </c>
      <c r="AA72" s="1" t="str">
        <f>IFERROR(__xludf.DUMMYFUNCTION("""COMPUTED_VALUE"""),"гнева""")</f>
        <v>гнева"</v>
      </c>
      <c r="AB72" s="1" t="str">
        <f>IFERROR(__xludf.DUMMYFUNCTION("""COMPUTED_VALUE"""),"ощутили")</f>
        <v>ощутили</v>
      </c>
      <c r="AC72" s="1" t="str">
        <f>IFERROR(__xludf.DUMMYFUNCTION("""COMPUTED_VALUE"""),"этот")</f>
        <v>этот</v>
      </c>
    </row>
    <row r="73" ht="14.25" customHeight="1">
      <c r="A73" s="1" t="s">
        <v>718</v>
      </c>
      <c r="B73" s="1" t="s">
        <v>719</v>
      </c>
      <c r="C73" s="2" t="s">
        <v>720</v>
      </c>
      <c r="D73" s="7" t="s">
        <v>721</v>
      </c>
      <c r="E73" s="1" t="s">
        <v>25</v>
      </c>
      <c r="F73" s="4" t="s">
        <v>722</v>
      </c>
      <c r="G73" s="4" t="s">
        <v>721</v>
      </c>
      <c r="H73" s="8" t="s">
        <v>723</v>
      </c>
      <c r="I73" s="4" t="s">
        <v>711</v>
      </c>
      <c r="J73" s="1" t="s">
        <v>712</v>
      </c>
      <c r="K73" s="1" t="s">
        <v>713</v>
      </c>
      <c r="L73" s="1" t="s">
        <v>714</v>
      </c>
      <c r="M73" s="1" t="s">
        <v>715</v>
      </c>
      <c r="N73" s="1" t="s">
        <v>139</v>
      </c>
      <c r="O73" s="1" t="s">
        <v>284</v>
      </c>
      <c r="Q73" s="1" t="s">
        <v>716</v>
      </c>
      <c r="R73" s="1" t="s">
        <v>536</v>
      </c>
      <c r="S73" s="1" t="s">
        <v>70</v>
      </c>
      <c r="T73" s="1" t="s">
        <v>36</v>
      </c>
      <c r="U73" s="4" t="s">
        <v>724</v>
      </c>
      <c r="X73" s="1" t="str">
        <f>IFERROR(__xludf.DUMMYFUNCTION("split(F73,"" ,:;.?!"")"),"Аркадию")</f>
        <v>Аркадию</v>
      </c>
      <c r="Y73" s="1" t="str">
        <f>IFERROR(__xludf.DUMMYFUNCTION("""COMPUTED_VALUE"""),"Лукьяновичу")</f>
        <v>Лукьяновичу</v>
      </c>
      <c r="Z73" s="1" t="str">
        <f>IFERROR(__xludf.DUMMYFUNCTION("""COMPUTED_VALUE"""),"кричать")</f>
        <v>кричать</v>
      </c>
      <c r="AA73" s="1" t="str">
        <f>IFERROR(__xludf.DUMMYFUNCTION("""COMPUTED_VALUE"""),"точно")</f>
        <v>точно</v>
      </c>
      <c r="AB73" s="1" t="str">
        <f>IFERROR(__xludf.DUMMYFUNCTION("""COMPUTED_VALUE"""),"опять")</f>
        <v>опять</v>
      </c>
      <c r="AC73" s="1" t="str">
        <f>IFERROR(__xludf.DUMMYFUNCTION("""COMPUTED_VALUE"""),"в")</f>
        <v>в</v>
      </c>
    </row>
    <row r="74" ht="14.25" customHeight="1">
      <c r="A74" s="1" t="s">
        <v>725</v>
      </c>
      <c r="B74" s="1" t="s">
        <v>397</v>
      </c>
      <c r="C74" s="2" t="s">
        <v>726</v>
      </c>
      <c r="D74" s="7" t="s">
        <v>399</v>
      </c>
      <c r="E74" s="1" t="s">
        <v>25</v>
      </c>
      <c r="F74" s="4" t="s">
        <v>727</v>
      </c>
      <c r="G74" s="4" t="s">
        <v>399</v>
      </c>
      <c r="H74" s="8" t="s">
        <v>728</v>
      </c>
      <c r="I74" s="4" t="s">
        <v>729</v>
      </c>
      <c r="J74" s="1" t="s">
        <v>730</v>
      </c>
      <c r="K74" s="1" t="s">
        <v>319</v>
      </c>
      <c r="L74" s="1" t="s">
        <v>731</v>
      </c>
      <c r="M74" s="1" t="s">
        <v>732</v>
      </c>
      <c r="N74" s="1" t="s">
        <v>139</v>
      </c>
      <c r="O74" s="1" t="s">
        <v>284</v>
      </c>
      <c r="Q74" s="1" t="s">
        <v>733</v>
      </c>
      <c r="R74" s="1" t="s">
        <v>734</v>
      </c>
      <c r="S74" s="1" t="s">
        <v>272</v>
      </c>
      <c r="T74" s="1" t="s">
        <v>36</v>
      </c>
      <c r="U74" s="4" t="s">
        <v>735</v>
      </c>
      <c r="X74" s="1" t="str">
        <f>IFERROR(__xludf.DUMMYFUNCTION("split(F74,"" ,:;.?!"")"),"признакам")</f>
        <v>признакам</v>
      </c>
      <c r="Y74" s="1" t="str">
        <f>IFERROR(__xludf.DUMMYFUNCTION("""COMPUTED_VALUE"""),"выздоровления")</f>
        <v>выздоровления</v>
      </c>
    </row>
    <row r="75" ht="14.25" customHeight="1">
      <c r="A75" s="1" t="s">
        <v>25</v>
      </c>
      <c r="B75" s="1" t="s">
        <v>736</v>
      </c>
      <c r="C75" s="2"/>
      <c r="D75" s="7" t="s">
        <v>737</v>
      </c>
      <c r="E75" s="1" t="s">
        <v>25</v>
      </c>
      <c r="F75" s="4" t="s">
        <v>738</v>
      </c>
      <c r="G75" s="4" t="s">
        <v>737</v>
      </c>
      <c r="H75" s="8" t="s">
        <v>739</v>
      </c>
      <c r="I75" s="4" t="s">
        <v>740</v>
      </c>
      <c r="J75" s="1" t="s">
        <v>741</v>
      </c>
      <c r="K75" s="1" t="s">
        <v>742</v>
      </c>
      <c r="L75" s="1" t="s">
        <v>743</v>
      </c>
      <c r="M75" s="1" t="s">
        <v>744</v>
      </c>
      <c r="N75" s="1" t="s">
        <v>139</v>
      </c>
      <c r="O75" s="1" t="s">
        <v>366</v>
      </c>
      <c r="Q75" s="1" t="s">
        <v>745</v>
      </c>
      <c r="R75" s="1" t="s">
        <v>746</v>
      </c>
      <c r="S75" s="1" t="s">
        <v>272</v>
      </c>
      <c r="T75" s="1" t="s">
        <v>36</v>
      </c>
      <c r="U75" s="4" t="s">
        <v>747</v>
      </c>
      <c r="X75" s="1" t="str">
        <f>IFERROR(__xludf.DUMMYFUNCTION("split(F75,"" ,:;.?!"")"),"убийцам")</f>
        <v>убийцам</v>
      </c>
      <c r="Y75" s="1" t="str">
        <f>IFERROR(__xludf.DUMMYFUNCTION("""COMPUTED_VALUE"""),"Сергея")</f>
        <v>Сергея</v>
      </c>
      <c r="Z75" s="1" t="str">
        <f>IFERROR(__xludf.DUMMYFUNCTION("""COMPUTED_VALUE"""),"Мироновича")</f>
        <v>Мироновича</v>
      </c>
      <c r="AA75" s="1" t="str">
        <f>IFERROR(__xludf.DUMMYFUNCTION("""COMPUTED_VALUE"""),"Кирова")</f>
        <v>Кирова</v>
      </c>
    </row>
    <row r="76" ht="14.25" customHeight="1">
      <c r="A76" s="1" t="s">
        <v>25</v>
      </c>
      <c r="B76" s="1" t="s">
        <v>748</v>
      </c>
      <c r="C76" s="2"/>
      <c r="D76" s="7" t="s">
        <v>749</v>
      </c>
      <c r="E76" s="1" t="s">
        <v>25</v>
      </c>
      <c r="F76" s="4" t="s">
        <v>750</v>
      </c>
      <c r="G76" s="4" t="s">
        <v>749</v>
      </c>
      <c r="H76" s="8" t="s">
        <v>751</v>
      </c>
      <c r="I76" s="4" t="s">
        <v>752</v>
      </c>
      <c r="J76" s="1" t="s">
        <v>741</v>
      </c>
      <c r="K76" s="1" t="s">
        <v>742</v>
      </c>
      <c r="L76" s="1" t="s">
        <v>753</v>
      </c>
      <c r="M76" s="1" t="s">
        <v>744</v>
      </c>
      <c r="N76" s="1" t="s">
        <v>139</v>
      </c>
      <c r="O76" s="1" t="s">
        <v>366</v>
      </c>
      <c r="Q76" s="1" t="s">
        <v>745</v>
      </c>
      <c r="R76" s="1" t="s">
        <v>746</v>
      </c>
      <c r="S76" s="1" t="s">
        <v>272</v>
      </c>
      <c r="T76" s="1" t="s">
        <v>36</v>
      </c>
      <c r="U76" s="4" t="s">
        <v>754</v>
      </c>
      <c r="X76" s="1" t="str">
        <f>IFERROR(__xludf.DUMMYFUNCTION("split(F76,"" ,:;.?!"")"),"приказу")</f>
        <v>приказу</v>
      </c>
      <c r="Y76" s="1" t="str">
        <f>IFERROR(__xludf.DUMMYFUNCTION("""COMPUTED_VALUE"""),"наркома")</f>
        <v>наркома</v>
      </c>
      <c r="Z76" s="1" t="str">
        <f>IFERROR(__xludf.DUMMYFUNCTION("""COMPUTED_VALUE"""),"об")</f>
        <v>об</v>
      </c>
      <c r="AA76" s="1" t="str">
        <f>IFERROR(__xludf.DUMMYFUNCTION("""COMPUTED_VALUE"""),"активных")</f>
        <v>активных</v>
      </c>
      <c r="AB76" s="1" t="str">
        <f>IFERROR(__xludf.DUMMYFUNCTION("""COMPUTED_VALUE"""),"методах")</f>
        <v>методах</v>
      </c>
      <c r="AC76" s="1" t="str">
        <f>IFERROR(__xludf.DUMMYFUNCTION("""COMPUTED_VALUE"""),"допроса")</f>
        <v>допроса</v>
      </c>
    </row>
    <row r="77" ht="14.25" customHeight="1">
      <c r="A77" s="1" t="s">
        <v>755</v>
      </c>
      <c r="B77" s="1" t="s">
        <v>756</v>
      </c>
      <c r="C77" s="2" t="s">
        <v>757</v>
      </c>
      <c r="D77" s="7" t="s">
        <v>758</v>
      </c>
      <c r="E77" s="1" t="s">
        <v>25</v>
      </c>
      <c r="F77" s="4" t="s">
        <v>759</v>
      </c>
      <c r="G77" s="4" t="s">
        <v>758</v>
      </c>
      <c r="H77" s="8" t="s">
        <v>760</v>
      </c>
      <c r="I77" s="4" t="s">
        <v>761</v>
      </c>
      <c r="J77" s="1" t="s">
        <v>762</v>
      </c>
      <c r="K77" s="1" t="s">
        <v>763</v>
      </c>
      <c r="L77" s="1" t="s">
        <v>764</v>
      </c>
      <c r="M77" s="1" t="s">
        <v>765</v>
      </c>
      <c r="N77" s="1" t="s">
        <v>139</v>
      </c>
      <c r="O77" s="1" t="s">
        <v>366</v>
      </c>
      <c r="Q77" s="1" t="s">
        <v>766</v>
      </c>
      <c r="R77" s="1" t="s">
        <v>715</v>
      </c>
      <c r="S77" s="1" t="s">
        <v>272</v>
      </c>
      <c r="T77" s="1" t="s">
        <v>36</v>
      </c>
      <c r="U77" s="4" t="s">
        <v>767</v>
      </c>
      <c r="X77" s="1" t="str">
        <f>IFERROR(__xludf.DUMMYFUNCTION("split(F77,"" ,:;.?!"")"),"папе")</f>
        <v>папе</v>
      </c>
      <c r="Y77" s="1" t="str">
        <f>IFERROR(__xludf.DUMMYFUNCTION("""COMPUTED_VALUE"""),"все")</f>
        <v>все</v>
      </c>
      <c r="Z77" s="1" t="str">
        <f>IFERROR(__xludf.DUMMYFUNCTION("""COMPUTED_VALUE"""),"хотели")</f>
        <v>хотели</v>
      </c>
      <c r="AA77" s="1" t="str">
        <f>IFERROR(__xludf.DUMMYFUNCTION("""COMPUTED_VALUE"""),"помочь")</f>
        <v>помочь</v>
      </c>
      <c r="AB77" s="1" t="str">
        <f>IFERROR(__xludf.DUMMYFUNCTION("""COMPUTED_VALUE"""),"и")</f>
        <v>и</v>
      </c>
      <c r="AC77" s="1" t="str">
        <f>IFERROR(__xludf.DUMMYFUNCTION("""COMPUTED_VALUE"""),"речь")</f>
        <v>речь</v>
      </c>
    </row>
    <row r="78" ht="14.25" customHeight="1">
      <c r="A78" s="1" t="s">
        <v>768</v>
      </c>
      <c r="B78" s="1" t="s">
        <v>769</v>
      </c>
      <c r="C78" s="2" t="s">
        <v>770</v>
      </c>
      <c r="D78" s="7" t="s">
        <v>771</v>
      </c>
      <c r="E78" s="1" t="s">
        <v>25</v>
      </c>
      <c r="F78" s="4" t="s">
        <v>772</v>
      </c>
      <c r="G78" s="4" t="s">
        <v>771</v>
      </c>
      <c r="H78" s="8" t="s">
        <v>773</v>
      </c>
      <c r="I78" s="4" t="s">
        <v>761</v>
      </c>
      <c r="J78" s="1" t="s">
        <v>762</v>
      </c>
      <c r="K78" s="1" t="s">
        <v>763</v>
      </c>
      <c r="L78" s="1" t="s">
        <v>764</v>
      </c>
      <c r="M78" s="1" t="s">
        <v>765</v>
      </c>
      <c r="N78" s="1" t="s">
        <v>139</v>
      </c>
      <c r="O78" s="1" t="s">
        <v>366</v>
      </c>
      <c r="Q78" s="1" t="s">
        <v>766</v>
      </c>
      <c r="R78" s="1" t="s">
        <v>715</v>
      </c>
      <c r="S78" s="1" t="s">
        <v>272</v>
      </c>
      <c r="T78" s="1" t="s">
        <v>36</v>
      </c>
      <c r="U78" s="4" t="s">
        <v>774</v>
      </c>
      <c r="X78" s="1" t="str">
        <f>IFERROR(__xludf.DUMMYFUNCTION("split(F78,"" ,:;.?!"")"),"партизанам")</f>
        <v>партизанам</v>
      </c>
      <c r="Y78" s="1" t="str">
        <f>IFERROR(__xludf.DUMMYFUNCTION("""COMPUTED_VALUE"""),"ненавидела")</f>
        <v>ненавидела</v>
      </c>
      <c r="Z78" s="1" t="str">
        <f>IFERROR(__xludf.DUMMYFUNCTION("""COMPUTED_VALUE"""),"немцев")</f>
        <v>немцев</v>
      </c>
      <c r="AA78" s="1" t="str">
        <f>IFERROR(__xludf.DUMMYFUNCTION("""COMPUTED_VALUE"""),"но")</f>
        <v>но</v>
      </c>
      <c r="AB78" s="1" t="str">
        <f>IFERROR(__xludf.DUMMYFUNCTION("""COMPUTED_VALUE"""),"считала")</f>
        <v>считала</v>
      </c>
      <c r="AC78" s="1" t="str">
        <f>IFERROR(__xludf.DUMMYFUNCTION("""COMPUTED_VALUE"""),"нашего")</f>
        <v>нашего</v>
      </c>
    </row>
    <row r="79" ht="14.25" customHeight="1">
      <c r="A79" s="1" t="s">
        <v>775</v>
      </c>
      <c r="B79" s="1" t="s">
        <v>776</v>
      </c>
      <c r="C79" s="2" t="s">
        <v>777</v>
      </c>
      <c r="D79" s="7" t="s">
        <v>778</v>
      </c>
      <c r="E79" s="1" t="s">
        <v>25</v>
      </c>
      <c r="F79" s="4" t="s">
        <v>779</v>
      </c>
      <c r="G79" s="4" t="s">
        <v>778</v>
      </c>
      <c r="H79" s="8" t="s">
        <v>780</v>
      </c>
      <c r="I79" s="4" t="s">
        <v>781</v>
      </c>
      <c r="J79" s="1" t="s">
        <v>782</v>
      </c>
      <c r="K79" s="1" t="s">
        <v>783</v>
      </c>
      <c r="L79" s="1" t="s">
        <v>784</v>
      </c>
      <c r="M79" s="1" t="s">
        <v>765</v>
      </c>
      <c r="N79" s="1" t="s">
        <v>139</v>
      </c>
      <c r="O79" s="1" t="s">
        <v>366</v>
      </c>
      <c r="Q79" s="1" t="s">
        <v>785</v>
      </c>
      <c r="R79" s="1" t="s">
        <v>517</v>
      </c>
      <c r="S79" s="1" t="s">
        <v>272</v>
      </c>
      <c r="T79" s="1" t="s">
        <v>36</v>
      </c>
      <c r="U79" s="4" t="s">
        <v>786</v>
      </c>
      <c r="X79" s="1" t="str">
        <f>IFERROR(__xludf.DUMMYFUNCTION("split(F79,"" ,:;.?!"")"),"слонёнку")</f>
        <v>слонёнку</v>
      </c>
    </row>
    <row r="80" ht="14.25" customHeight="1">
      <c r="A80" s="1" t="s">
        <v>787</v>
      </c>
      <c r="B80" s="1" t="s">
        <v>94</v>
      </c>
      <c r="C80" s="2" t="s">
        <v>788</v>
      </c>
      <c r="D80" s="7" t="s">
        <v>96</v>
      </c>
      <c r="E80" s="1" t="s">
        <v>197</v>
      </c>
      <c r="F80" s="4" t="s">
        <v>789</v>
      </c>
      <c r="G80" s="4" t="s">
        <v>96</v>
      </c>
      <c r="H80" s="8" t="s">
        <v>790</v>
      </c>
      <c r="I80" s="4" t="s">
        <v>791</v>
      </c>
      <c r="J80" s="1" t="s">
        <v>792</v>
      </c>
      <c r="K80" s="1" t="s">
        <v>534</v>
      </c>
      <c r="L80" s="1" t="s">
        <v>793</v>
      </c>
      <c r="M80" s="1" t="s">
        <v>794</v>
      </c>
      <c r="N80" s="1" t="s">
        <v>139</v>
      </c>
      <c r="O80" s="1" t="s">
        <v>284</v>
      </c>
      <c r="Q80" s="1" t="s">
        <v>795</v>
      </c>
      <c r="R80" s="1" t="s">
        <v>796</v>
      </c>
      <c r="S80" s="1" t="s">
        <v>272</v>
      </c>
      <c r="T80" s="1" t="s">
        <v>36</v>
      </c>
      <c r="U80" s="4" t="s">
        <v>797</v>
      </c>
      <c r="X80" s="1" t="str">
        <f>IFERROR(__xludf.DUMMYFUNCTION("split(F80,"" ,:;.?!"")"),"подлецам")</f>
        <v>подлецам</v>
      </c>
      <c r="Y80" s="1" t="str">
        <f>IFERROR(__xludf.DUMMYFUNCTION("""COMPUTED_VALUE"""),"выглянуть")</f>
        <v>выглянуть</v>
      </c>
      <c r="Z80" s="1" t="str">
        <f>IFERROR(__xludf.DUMMYFUNCTION("""COMPUTED_VALUE"""),"хоть")</f>
        <v>хоть</v>
      </c>
      <c r="AA80" s="1" t="str">
        <f>IFERROR(__xludf.DUMMYFUNCTION("""COMPUTED_VALUE"""),"на")</f>
        <v>на</v>
      </c>
      <c r="AB80" s="1" t="str">
        <f>IFERROR(__xludf.DUMMYFUNCTION("""COMPUTED_VALUE"""),"секунду")</f>
        <v>секунду</v>
      </c>
    </row>
    <row r="81" ht="14.25" customHeight="1">
      <c r="A81" s="1" t="s">
        <v>798</v>
      </c>
      <c r="B81" s="1" t="s">
        <v>369</v>
      </c>
      <c r="C81" s="2" t="s">
        <v>799</v>
      </c>
      <c r="D81" s="7" t="s">
        <v>371</v>
      </c>
      <c r="E81" s="1" t="s">
        <v>25</v>
      </c>
      <c r="F81" s="4" t="s">
        <v>800</v>
      </c>
      <c r="G81" s="4" t="s">
        <v>371</v>
      </c>
      <c r="H81" s="8" t="s">
        <v>801</v>
      </c>
      <c r="I81" s="4" t="s">
        <v>791</v>
      </c>
      <c r="J81" s="1" t="s">
        <v>792</v>
      </c>
      <c r="K81" s="1" t="s">
        <v>534</v>
      </c>
      <c r="L81" s="1" t="s">
        <v>793</v>
      </c>
      <c r="M81" s="1" t="s">
        <v>794</v>
      </c>
      <c r="N81" s="1" t="s">
        <v>139</v>
      </c>
      <c r="O81" s="1" t="s">
        <v>284</v>
      </c>
      <c r="Q81" s="1" t="s">
        <v>795</v>
      </c>
      <c r="R81" s="1" t="s">
        <v>796</v>
      </c>
      <c r="S81" s="1" t="s">
        <v>272</v>
      </c>
      <c r="T81" s="1" t="s">
        <v>36</v>
      </c>
      <c r="U81" s="4" t="s">
        <v>802</v>
      </c>
      <c r="X81" s="1" t="str">
        <f>IFERROR(__xludf.DUMMYFUNCTION("split(F81,"" ,:;.?!"")"),"девчонке")</f>
        <v>девчонке</v>
      </c>
      <c r="Y81" s="1" t="str">
        <f>IFERROR(__xludf.DUMMYFUNCTION("""COMPUTED_VALUE"""),"под")</f>
        <v>под</v>
      </c>
      <c r="Z81" s="1" t="str">
        <f>IFERROR(__xludf.DUMMYFUNCTION("""COMPUTED_VALUE"""),"одеяло")</f>
        <v>одеяло</v>
      </c>
      <c r="AA81" s="1" t="str">
        <f>IFERROR(__xludf.DUMMYFUNCTION("""COMPUTED_VALUE"""),"во")</f>
        <v>во</v>
      </c>
      <c r="AB81" s="1" t="str">
        <f>IFERROR(__xludf.DUMMYFUNCTION("""COMPUTED_VALUE"""),"время")</f>
        <v>время</v>
      </c>
      <c r="AC81" s="1" t="str">
        <f>IFERROR(__xludf.DUMMYFUNCTION("""COMPUTED_VALUE"""),"грозы")</f>
        <v>грозы</v>
      </c>
    </row>
    <row r="82" ht="14.25" customHeight="1">
      <c r="A82" s="1" t="s">
        <v>803</v>
      </c>
      <c r="B82" s="1" t="s">
        <v>556</v>
      </c>
      <c r="C82" s="2" t="s">
        <v>804</v>
      </c>
      <c r="D82" s="7" t="s">
        <v>558</v>
      </c>
      <c r="E82" s="1" t="s">
        <v>25</v>
      </c>
      <c r="F82" s="4" t="s">
        <v>805</v>
      </c>
      <c r="G82" s="4" t="s">
        <v>558</v>
      </c>
      <c r="H82" s="8" t="s">
        <v>806</v>
      </c>
      <c r="I82" s="4" t="s">
        <v>807</v>
      </c>
      <c r="J82" s="1" t="s">
        <v>808</v>
      </c>
      <c r="K82" s="1" t="s">
        <v>581</v>
      </c>
      <c r="L82" s="1" t="s">
        <v>809</v>
      </c>
      <c r="M82" s="1" t="s">
        <v>810</v>
      </c>
      <c r="N82" s="1" t="s">
        <v>139</v>
      </c>
      <c r="O82" s="1" t="s">
        <v>811</v>
      </c>
      <c r="Q82" s="1" t="s">
        <v>812</v>
      </c>
      <c r="R82" s="1" t="s">
        <v>113</v>
      </c>
      <c r="S82" s="1" t="s">
        <v>272</v>
      </c>
      <c r="T82" s="1" t="s">
        <v>36</v>
      </c>
      <c r="U82" s="4" t="s">
        <v>813</v>
      </c>
      <c r="X82" s="1" t="str">
        <f>IFERROR(__xludf.DUMMYFUNCTION("split(F82,"" ,:;.?!"")"),"Егору")</f>
        <v>Егору</v>
      </c>
      <c r="Y82" s="1" t="str">
        <f>IFERROR(__xludf.DUMMYFUNCTION("""COMPUTED_VALUE"""),"скуластенькая")</f>
        <v>скуластенькая</v>
      </c>
      <c r="Z82" s="1" t="str">
        <f>IFERROR(__xludf.DUMMYFUNCTION("""COMPUTED_VALUE"""),"женщина")</f>
        <v>женщина</v>
      </c>
      <c r="AA82" s="1" t="str">
        <f>IFERROR(__xludf.DUMMYFUNCTION("""COMPUTED_VALUE"""),"с")</f>
        <v>с</v>
      </c>
      <c r="AB82" s="1" t="str">
        <f>IFERROR(__xludf.DUMMYFUNCTION("""COMPUTED_VALUE"""),"гитарой")</f>
        <v>гитарой</v>
      </c>
    </row>
    <row r="83" ht="14.25" customHeight="1">
      <c r="A83" s="1" t="s">
        <v>814</v>
      </c>
      <c r="B83" s="1" t="s">
        <v>815</v>
      </c>
      <c r="C83" s="2" t="s">
        <v>816</v>
      </c>
      <c r="D83" s="7" t="s">
        <v>817</v>
      </c>
      <c r="E83" s="1" t="s">
        <v>25</v>
      </c>
      <c r="F83" s="4" t="s">
        <v>818</v>
      </c>
      <c r="G83" s="4" t="s">
        <v>817</v>
      </c>
      <c r="H83" s="8" t="s">
        <v>819</v>
      </c>
      <c r="I83" s="4" t="s">
        <v>820</v>
      </c>
      <c r="J83" s="1" t="s">
        <v>580</v>
      </c>
      <c r="K83" s="1" t="s">
        <v>581</v>
      </c>
      <c r="L83" s="1" t="s">
        <v>821</v>
      </c>
      <c r="M83" s="1" t="s">
        <v>810</v>
      </c>
      <c r="N83" s="1" t="s">
        <v>139</v>
      </c>
      <c r="O83" s="1" t="s">
        <v>457</v>
      </c>
      <c r="Q83" s="1" t="s">
        <v>595</v>
      </c>
      <c r="R83" s="1" t="s">
        <v>596</v>
      </c>
      <c r="S83" s="1" t="s">
        <v>272</v>
      </c>
      <c r="T83" s="1" t="s">
        <v>36</v>
      </c>
      <c r="U83" s="4" t="s">
        <v>822</v>
      </c>
      <c r="X83" s="1" t="str">
        <f>IFERROR(__xludf.DUMMYFUNCTION("split(F83,"" ,:;.?!"")"),"домохозяйкам")</f>
        <v>домохозяйкам</v>
      </c>
      <c r="Y83" s="1" t="str">
        <f>IFERROR(__xludf.DUMMYFUNCTION("""COMPUTED_VALUE"""),"на")</f>
        <v>на</v>
      </c>
      <c r="Z83" s="1" t="str">
        <f>IFERROR(__xludf.DUMMYFUNCTION("""COMPUTED_VALUE"""),"их")</f>
        <v>их</v>
      </c>
      <c r="AA83" s="1" t="str">
        <f>IFERROR(__xludf.DUMMYFUNCTION("""COMPUTED_VALUE"""),"бельё")</f>
        <v>бельё</v>
      </c>
      <c r="AB83" s="1" t="str">
        <f>IFERROR(__xludf.DUMMYFUNCTION("""COMPUTED_VALUE"""),"и")</f>
        <v>и</v>
      </c>
      <c r="AC83" s="1" t="str">
        <f>IFERROR(__xludf.DUMMYFUNCTION("""COMPUTED_VALUE"""),"сам")</f>
        <v>сам</v>
      </c>
    </row>
    <row r="84" ht="14.25" customHeight="1">
      <c r="A84" s="1" t="s">
        <v>823</v>
      </c>
      <c r="B84" s="1" t="s">
        <v>325</v>
      </c>
      <c r="C84" s="2" t="s">
        <v>824</v>
      </c>
      <c r="D84" s="7" t="s">
        <v>327</v>
      </c>
      <c r="E84" s="1" t="s">
        <v>25</v>
      </c>
      <c r="F84" s="4" t="s">
        <v>825</v>
      </c>
      <c r="G84" s="4" t="s">
        <v>327</v>
      </c>
      <c r="H84" s="8" t="s">
        <v>292</v>
      </c>
      <c r="I84" s="4" t="s">
        <v>826</v>
      </c>
      <c r="J84" s="1" t="s">
        <v>827</v>
      </c>
      <c r="K84" s="1" t="s">
        <v>480</v>
      </c>
      <c r="L84" s="1" t="s">
        <v>828</v>
      </c>
      <c r="M84" s="1" t="s">
        <v>829</v>
      </c>
      <c r="N84" s="1" t="s">
        <v>139</v>
      </c>
      <c r="O84" s="1" t="s">
        <v>457</v>
      </c>
      <c r="Q84" s="1" t="s">
        <v>830</v>
      </c>
      <c r="R84" s="1" t="s">
        <v>232</v>
      </c>
      <c r="S84" s="1" t="s">
        <v>272</v>
      </c>
      <c r="T84" s="1" t="s">
        <v>36</v>
      </c>
      <c r="U84" s="4" t="s">
        <v>831</v>
      </c>
      <c r="X84" s="1" t="str">
        <f>IFERROR(__xludf.DUMMYFUNCTION("split(F84,"" ,:;.?!"")"),"встрече")</f>
        <v>встрече</v>
      </c>
      <c r="Y84" s="1" t="str">
        <f>IFERROR(__xludf.DUMMYFUNCTION("""COMPUTED_VALUE"""),"как")</f>
        <v>как</v>
      </c>
      <c r="Z84" s="1" t="str">
        <f>IFERROR(__xludf.DUMMYFUNCTION("""COMPUTED_VALUE"""),"будто")</f>
        <v>будто</v>
      </c>
      <c r="AA84" s="1" t="str">
        <f>IFERROR(__xludf.DUMMYFUNCTION("""COMPUTED_VALUE"""),"мы")</f>
        <v>мы</v>
      </c>
      <c r="AB84" s="1" t="str">
        <f>IFERROR(__xludf.DUMMYFUNCTION("""COMPUTED_VALUE"""),"и")</f>
        <v>и</v>
      </c>
      <c r="AC84" s="1" t="str">
        <f>IFERROR(__xludf.DUMMYFUNCTION("""COMPUTED_VALUE"""),"прежде")</f>
        <v>прежде</v>
      </c>
    </row>
    <row r="85" ht="14.25" customHeight="1">
      <c r="A85" s="1" t="s">
        <v>832</v>
      </c>
      <c r="B85" s="1" t="s">
        <v>413</v>
      </c>
      <c r="C85" s="2" t="s">
        <v>833</v>
      </c>
      <c r="D85" s="7" t="s">
        <v>415</v>
      </c>
      <c r="E85" s="1" t="s">
        <v>25</v>
      </c>
      <c r="F85" s="4" t="s">
        <v>834</v>
      </c>
      <c r="G85" s="4" t="s">
        <v>415</v>
      </c>
      <c r="H85" s="8" t="s">
        <v>835</v>
      </c>
      <c r="I85" s="4" t="s">
        <v>836</v>
      </c>
      <c r="J85" s="1" t="s">
        <v>808</v>
      </c>
      <c r="K85" s="1" t="s">
        <v>581</v>
      </c>
      <c r="L85" s="1" t="s">
        <v>837</v>
      </c>
      <c r="M85" s="1" t="s">
        <v>838</v>
      </c>
      <c r="N85" s="1" t="s">
        <v>139</v>
      </c>
      <c r="O85" s="1" t="s">
        <v>811</v>
      </c>
      <c r="Q85" s="1" t="s">
        <v>812</v>
      </c>
      <c r="R85" s="1" t="s">
        <v>113</v>
      </c>
      <c r="S85" s="1" t="s">
        <v>272</v>
      </c>
      <c r="T85" s="1" t="s">
        <v>36</v>
      </c>
      <c r="U85" s="4" t="s">
        <v>839</v>
      </c>
      <c r="X85" s="1" t="str">
        <f>IFERROR(__xludf.DUMMYFUNCTION("split(F85,"" ,:;.?!"")"),"воле")</f>
        <v>воле</v>
      </c>
    </row>
    <row r="86" ht="14.25" customHeight="1">
      <c r="A86" s="1" t="s">
        <v>840</v>
      </c>
      <c r="B86" s="1" t="s">
        <v>841</v>
      </c>
      <c r="C86" s="2" t="s">
        <v>842</v>
      </c>
      <c r="D86" s="7" t="s">
        <v>843</v>
      </c>
      <c r="E86" s="1" t="s">
        <v>25</v>
      </c>
      <c r="F86" s="4" t="s">
        <v>844</v>
      </c>
      <c r="G86" s="4" t="s">
        <v>843</v>
      </c>
      <c r="H86" s="8" t="s">
        <v>845</v>
      </c>
      <c r="I86" s="4" t="s">
        <v>846</v>
      </c>
      <c r="J86" s="1" t="s">
        <v>580</v>
      </c>
      <c r="K86" s="1" t="s">
        <v>581</v>
      </c>
      <c r="L86" s="1" t="s">
        <v>847</v>
      </c>
      <c r="M86" s="1" t="s">
        <v>848</v>
      </c>
      <c r="N86" s="1" t="s">
        <v>139</v>
      </c>
      <c r="O86" s="1" t="s">
        <v>457</v>
      </c>
      <c r="Q86" s="1" t="s">
        <v>584</v>
      </c>
      <c r="R86" s="1" t="s">
        <v>517</v>
      </c>
      <c r="S86" s="1" t="s">
        <v>272</v>
      </c>
      <c r="T86" s="1" t="s">
        <v>36</v>
      </c>
      <c r="U86" s="4" t="s">
        <v>849</v>
      </c>
      <c r="X86" s="1" t="str">
        <f>IFERROR(__xludf.DUMMYFUNCTION("split(F86,"" ,:;.?!"")"),"злости")</f>
        <v>злости</v>
      </c>
      <c r="Y86" s="1" t="str">
        <f>IFERROR(__xludf.DUMMYFUNCTION("""COMPUTED_VALUE"""),"непонятной")</f>
        <v>непонятной</v>
      </c>
      <c r="Z86" s="1" t="str">
        <f>IFERROR(__xludf.DUMMYFUNCTION("""COMPUTED_VALUE"""),"жестокости")</f>
        <v>жестокости</v>
      </c>
    </row>
    <row r="87" ht="14.25" customHeight="1">
      <c r="A87" s="1" t="s">
        <v>850</v>
      </c>
      <c r="B87" s="1" t="s">
        <v>851</v>
      </c>
      <c r="C87" s="2" t="s">
        <v>852</v>
      </c>
      <c r="D87" s="7" t="s">
        <v>853</v>
      </c>
      <c r="E87" s="1" t="s">
        <v>197</v>
      </c>
      <c r="F87" s="4" t="s">
        <v>854</v>
      </c>
      <c r="G87" s="4" t="s">
        <v>853</v>
      </c>
      <c r="H87" s="8" t="s">
        <v>855</v>
      </c>
      <c r="I87" s="4" t="s">
        <v>856</v>
      </c>
      <c r="J87" s="1" t="s">
        <v>792</v>
      </c>
      <c r="K87" s="1" t="s">
        <v>534</v>
      </c>
      <c r="L87" s="1" t="s">
        <v>857</v>
      </c>
      <c r="M87" s="1" t="s">
        <v>848</v>
      </c>
      <c r="N87" s="1" t="s">
        <v>139</v>
      </c>
      <c r="O87" s="1" t="s">
        <v>284</v>
      </c>
      <c r="Q87" s="1" t="s">
        <v>858</v>
      </c>
      <c r="R87" s="1" t="s">
        <v>744</v>
      </c>
      <c r="S87" s="1" t="s">
        <v>272</v>
      </c>
      <c r="T87" s="1" t="s">
        <v>36</v>
      </c>
      <c r="U87" s="4" t="s">
        <v>859</v>
      </c>
      <c r="X87" s="1" t="str">
        <f>IFERROR(__xludf.DUMMYFUNCTION("split(F87,"" ,:;.?!"")"),"Дмитриеву")</f>
        <v>Дмитриеву</v>
      </c>
      <c r="Y87" s="1" t="str">
        <f>IFERROR(__xludf.DUMMYFUNCTION("""COMPUTED_VALUE"""),"""Сегодня")</f>
        <v>"Сегодня</v>
      </c>
      <c r="Z87" s="1" t="str">
        <f>IFERROR(__xludf.DUMMYFUNCTION("""COMPUTED_VALUE"""),"приходил")</f>
        <v>приходил</v>
      </c>
      <c r="AA87" s="1" t="str">
        <f>IFERROR(__xludf.DUMMYFUNCTION("""COMPUTED_VALUE"""),"какой-то")</f>
        <v>какой-то</v>
      </c>
      <c r="AB87" s="1" t="str">
        <f>IFERROR(__xludf.DUMMYFUNCTION("""COMPUTED_VALUE"""),"рабочий")</f>
        <v>рабочий</v>
      </c>
      <c r="AC87" s="1" t="str">
        <f>IFERROR(__xludf.DUMMYFUNCTION("""COMPUTED_VALUE"""),"перетягивать")</f>
        <v>перетягивать</v>
      </c>
    </row>
    <row r="88" ht="14.25" customHeight="1">
      <c r="A88" s="1" t="s">
        <v>860</v>
      </c>
      <c r="B88" s="1" t="s">
        <v>413</v>
      </c>
      <c r="C88" s="2" t="s">
        <v>861</v>
      </c>
      <c r="D88" s="7" t="s">
        <v>415</v>
      </c>
      <c r="E88" s="1" t="s">
        <v>25</v>
      </c>
      <c r="F88" s="4" t="s">
        <v>862</v>
      </c>
      <c r="G88" s="4" t="s">
        <v>415</v>
      </c>
      <c r="H88" s="8" t="s">
        <v>863</v>
      </c>
      <c r="I88" s="4" t="s">
        <v>864</v>
      </c>
      <c r="J88" s="1" t="s">
        <v>865</v>
      </c>
      <c r="K88" s="1" t="s">
        <v>866</v>
      </c>
      <c r="L88" s="1" t="s">
        <v>867</v>
      </c>
      <c r="M88" s="1" t="s">
        <v>868</v>
      </c>
      <c r="N88" s="1" t="s">
        <v>51</v>
      </c>
      <c r="O88" s="1" t="s">
        <v>270</v>
      </c>
      <c r="P88" s="1" t="s">
        <v>53</v>
      </c>
      <c r="Q88" s="1" t="s">
        <v>869</v>
      </c>
      <c r="R88" s="1" t="s">
        <v>321</v>
      </c>
      <c r="S88" s="1" t="s">
        <v>272</v>
      </c>
      <c r="T88" s="1" t="s">
        <v>36</v>
      </c>
      <c r="U88" s="4" t="s">
        <v>870</v>
      </c>
      <c r="X88" s="1" t="str">
        <f>IFERROR(__xludf.DUMMYFUNCTION("split(F88,"" ,:;.?!"")"),"солнцу")</f>
        <v>солнцу</v>
      </c>
      <c r="Y88" s="1" t="str">
        <f>IFERROR(__xludf.DUMMYFUNCTION("""COMPUTED_VALUE"""),"и")</f>
        <v>и</v>
      </c>
      <c r="Z88" s="1" t="str">
        <f>IFERROR(__xludf.DUMMYFUNCTION("""COMPUTED_VALUE"""),"ветру")</f>
        <v>ветру</v>
      </c>
      <c r="AA88" s="1" t="str">
        <f>IFERROR(__xludf.DUMMYFUNCTION("""COMPUTED_VALUE"""),"неожиданно")</f>
        <v>неожиданно</v>
      </c>
      <c r="AB88" s="1" t="str">
        <f>IFERROR(__xludf.DUMMYFUNCTION("""COMPUTED_VALUE"""),"для")</f>
        <v>для</v>
      </c>
      <c r="AC88" s="1" t="str">
        <f>IFERROR(__xludf.DUMMYFUNCTION("""COMPUTED_VALUE"""),"себя")</f>
        <v>себя</v>
      </c>
    </row>
    <row r="89" ht="14.25" customHeight="1">
      <c r="A89" s="1" t="s">
        <v>871</v>
      </c>
      <c r="B89" s="1" t="s">
        <v>719</v>
      </c>
      <c r="C89" s="2" t="s">
        <v>872</v>
      </c>
      <c r="D89" s="7" t="s">
        <v>721</v>
      </c>
      <c r="E89" s="1" t="s">
        <v>25</v>
      </c>
      <c r="F89" s="4" t="s">
        <v>873</v>
      </c>
      <c r="G89" s="4" t="s">
        <v>721</v>
      </c>
      <c r="H89" s="8" t="s">
        <v>874</v>
      </c>
      <c r="I89" s="4" t="s">
        <v>875</v>
      </c>
      <c r="J89" s="1" t="s">
        <v>876</v>
      </c>
      <c r="K89" s="1" t="s">
        <v>877</v>
      </c>
      <c r="L89" s="1" t="s">
        <v>878</v>
      </c>
      <c r="M89" s="1" t="s">
        <v>879</v>
      </c>
      <c r="N89" s="1" t="s">
        <v>139</v>
      </c>
      <c r="O89" s="1" t="s">
        <v>366</v>
      </c>
      <c r="Q89" s="1" t="s">
        <v>285</v>
      </c>
      <c r="R89" s="1" t="s">
        <v>583</v>
      </c>
      <c r="S89" s="1" t="s">
        <v>70</v>
      </c>
      <c r="T89" s="1" t="s">
        <v>36</v>
      </c>
      <c r="U89" s="4" t="s">
        <v>880</v>
      </c>
      <c r="X89" s="1" t="str">
        <f>IFERROR(__xludf.DUMMYFUNCTION("split(F89,"" ,:;.?!"")"),"Осколупову")</f>
        <v>Осколупову</v>
      </c>
    </row>
    <row r="90" ht="14.25" customHeight="1">
      <c r="A90" s="1" t="s">
        <v>881</v>
      </c>
      <c r="B90" s="1" t="s">
        <v>288</v>
      </c>
      <c r="C90" s="2" t="s">
        <v>882</v>
      </c>
      <c r="D90" s="7" t="s">
        <v>290</v>
      </c>
      <c r="E90" s="1" t="s">
        <v>25</v>
      </c>
      <c r="F90" s="4" t="s">
        <v>883</v>
      </c>
      <c r="G90" s="4" t="s">
        <v>290</v>
      </c>
      <c r="H90" s="8" t="s">
        <v>884</v>
      </c>
      <c r="I90" s="4" t="s">
        <v>885</v>
      </c>
      <c r="J90" s="1" t="s">
        <v>886</v>
      </c>
      <c r="K90" s="1" t="s">
        <v>644</v>
      </c>
      <c r="L90" s="1" t="s">
        <v>887</v>
      </c>
      <c r="M90" s="1" t="s">
        <v>888</v>
      </c>
      <c r="N90" s="1" t="s">
        <v>51</v>
      </c>
      <c r="O90" s="1" t="s">
        <v>889</v>
      </c>
      <c r="P90" s="1" t="s">
        <v>890</v>
      </c>
      <c r="Q90" s="1" t="s">
        <v>891</v>
      </c>
      <c r="R90" s="1" t="s">
        <v>732</v>
      </c>
      <c r="S90" s="1" t="s">
        <v>272</v>
      </c>
      <c r="T90" s="1" t="s">
        <v>36</v>
      </c>
      <c r="U90" s="4" t="s">
        <v>892</v>
      </c>
      <c r="X90" s="1" t="str">
        <f>IFERROR(__xludf.DUMMYFUNCTION("split(F90,"" ,:;.?!"")"),"одинаковости")</f>
        <v>одинаковости</v>
      </c>
      <c r="Y90" s="1" t="str">
        <f>IFERROR(__xludf.DUMMYFUNCTION("""COMPUTED_VALUE"""),"каких-то")</f>
        <v>каких-то</v>
      </c>
      <c r="Z90" s="1" t="str">
        <f>IFERROR(__xludf.DUMMYFUNCTION("""COMPUTED_VALUE"""),"сомнений")</f>
        <v>сомнений</v>
      </c>
    </row>
    <row r="91" ht="14.25" customHeight="1">
      <c r="A91" s="1" t="s">
        <v>893</v>
      </c>
      <c r="B91" s="1" t="s">
        <v>288</v>
      </c>
      <c r="C91" s="2" t="s">
        <v>894</v>
      </c>
      <c r="D91" s="7" t="s">
        <v>290</v>
      </c>
      <c r="E91" s="1" t="s">
        <v>25</v>
      </c>
      <c r="F91" s="4" t="s">
        <v>895</v>
      </c>
      <c r="G91" s="4" t="s">
        <v>290</v>
      </c>
      <c r="H91" s="8" t="s">
        <v>86</v>
      </c>
      <c r="I91" s="4" t="s">
        <v>885</v>
      </c>
      <c r="J91" s="1" t="s">
        <v>886</v>
      </c>
      <c r="K91" s="1" t="s">
        <v>644</v>
      </c>
      <c r="L91" s="1" t="s">
        <v>887</v>
      </c>
      <c r="M91" s="1" t="s">
        <v>888</v>
      </c>
      <c r="N91" s="1" t="s">
        <v>51</v>
      </c>
      <c r="O91" s="1" t="s">
        <v>889</v>
      </c>
      <c r="P91" s="1" t="s">
        <v>890</v>
      </c>
      <c r="Q91" s="1" t="s">
        <v>891</v>
      </c>
      <c r="R91" s="1" t="s">
        <v>732</v>
      </c>
      <c r="S91" s="1" t="s">
        <v>272</v>
      </c>
      <c r="T91" s="1" t="s">
        <v>36</v>
      </c>
      <c r="U91" s="4" t="s">
        <v>896</v>
      </c>
      <c r="X91" s="1" t="str">
        <f>IFERROR(__xludf.DUMMYFUNCTION("split(F91,"" ,:;.?!"")"),"жизни")</f>
        <v>жизни</v>
      </c>
      <c r="Y91" s="1" t="str">
        <f>IFERROR(__xludf.DUMMYFUNCTION("""COMPUTED_VALUE"""),"вместе")</f>
        <v>вместе</v>
      </c>
      <c r="Z91" s="1" t="str">
        <f>IFERROR(__xludf.DUMMYFUNCTION("""COMPUTED_VALUE"""),"со")</f>
        <v>со</v>
      </c>
      <c r="AA91" s="1" t="str">
        <f>IFERROR(__xludf.DUMMYFUNCTION("""COMPUTED_VALUE"""),"всеми")</f>
        <v>всеми</v>
      </c>
      <c r="AB91" s="1" t="str">
        <f>IFERROR(__xludf.DUMMYFUNCTION("""COMPUTED_VALUE"""),"своими")</f>
        <v>своими</v>
      </c>
      <c r="AC91" s="1" t="str">
        <f>IFERROR(__xludf.DUMMYFUNCTION("""COMPUTED_VALUE"""),"кишками")</f>
        <v>кишками</v>
      </c>
    </row>
    <row r="92" ht="14.25" customHeight="1">
      <c r="A92" s="1" t="s">
        <v>897</v>
      </c>
      <c r="B92" s="1" t="s">
        <v>719</v>
      </c>
      <c r="C92" s="2" t="s">
        <v>898</v>
      </c>
      <c r="D92" s="7" t="s">
        <v>721</v>
      </c>
      <c r="E92" s="1" t="s">
        <v>25</v>
      </c>
      <c r="F92" s="4" t="s">
        <v>899</v>
      </c>
      <c r="G92" s="4" t="s">
        <v>721</v>
      </c>
      <c r="H92" s="8" t="s">
        <v>900</v>
      </c>
      <c r="I92" s="4" t="s">
        <v>901</v>
      </c>
      <c r="J92" s="1" t="s">
        <v>741</v>
      </c>
      <c r="K92" s="1" t="s">
        <v>742</v>
      </c>
      <c r="L92" s="1" t="s">
        <v>902</v>
      </c>
      <c r="M92" s="1" t="s">
        <v>903</v>
      </c>
      <c r="N92" s="1" t="s">
        <v>139</v>
      </c>
      <c r="O92" s="1" t="s">
        <v>366</v>
      </c>
      <c r="Q92" s="1" t="s">
        <v>904</v>
      </c>
      <c r="R92" s="1" t="s">
        <v>746</v>
      </c>
      <c r="S92" s="1" t="s">
        <v>272</v>
      </c>
      <c r="T92" s="1" t="s">
        <v>36</v>
      </c>
      <c r="U92" s="4" t="s">
        <v>905</v>
      </c>
      <c r="X92" s="1" t="str">
        <f>IFERROR(__xludf.DUMMYFUNCTION("split(F92,"" ,:;.?!"")"),"прокурору")</f>
        <v>прокурору</v>
      </c>
      <c r="Y92" s="1" t="str">
        <f>IFERROR(__xludf.DUMMYFUNCTION("""COMPUTED_VALUE"""),"хорошей")</f>
        <v>хорошей</v>
      </c>
      <c r="Z92" s="1" t="str">
        <f>IFERROR(__xludf.DUMMYFUNCTION("""COMPUTED_VALUE"""),"быстрой")</f>
        <v>быстрой</v>
      </c>
      <c r="AA92" s="1" t="str">
        <f>IFERROR(__xludf.DUMMYFUNCTION("""COMPUTED_VALUE"""),"весёлой")</f>
        <v>весёлой</v>
      </c>
      <c r="AB92" s="1" t="str">
        <f>IFERROR(__xludf.DUMMYFUNCTION("""COMPUTED_VALUE"""),"войны")</f>
        <v>войны</v>
      </c>
    </row>
    <row r="93" ht="14.25" customHeight="1">
      <c r="A93" s="1" t="s">
        <v>906</v>
      </c>
      <c r="B93" s="1" t="s">
        <v>381</v>
      </c>
      <c r="C93" s="2" t="s">
        <v>430</v>
      </c>
      <c r="D93" s="7" t="s">
        <v>383</v>
      </c>
      <c r="E93" s="1" t="s">
        <v>25</v>
      </c>
      <c r="F93" s="4" t="s">
        <v>907</v>
      </c>
      <c r="G93" s="4" t="s">
        <v>383</v>
      </c>
      <c r="H93" s="8" t="s">
        <v>908</v>
      </c>
      <c r="I93" s="4" t="s">
        <v>909</v>
      </c>
      <c r="J93" s="1" t="s">
        <v>910</v>
      </c>
      <c r="K93" s="1" t="s">
        <v>911</v>
      </c>
      <c r="L93" s="1" t="s">
        <v>912</v>
      </c>
      <c r="M93" s="1" t="s">
        <v>913</v>
      </c>
      <c r="N93" s="1" t="s">
        <v>139</v>
      </c>
      <c r="O93" s="1" t="s">
        <v>284</v>
      </c>
      <c r="Q93" s="1" t="s">
        <v>716</v>
      </c>
      <c r="R93" s="1" t="s">
        <v>594</v>
      </c>
      <c r="S93" s="1" t="s">
        <v>70</v>
      </c>
      <c r="T93" s="1" t="s">
        <v>36</v>
      </c>
      <c r="U93" s="4" t="s">
        <v>914</v>
      </c>
      <c r="X93" s="1" t="str">
        <f>IFERROR(__xludf.DUMMYFUNCTION("split(F93,"" ,:;.?!"")"),"чувству")</f>
        <v>чувству</v>
      </c>
      <c r="Y93" s="1" t="str">
        <f>IFERROR(__xludf.DUMMYFUNCTION("""COMPUTED_VALUE"""),"покоя")</f>
        <v>покоя</v>
      </c>
      <c r="Z93" s="1" t="str">
        <f>IFERROR(__xludf.DUMMYFUNCTION("""COMPUTED_VALUE"""),"когда")</f>
        <v>когда</v>
      </c>
      <c r="AA93" s="1" t="str">
        <f>IFERROR(__xludf.DUMMYFUNCTION("""COMPUTED_VALUE"""),"очутился")</f>
        <v>очутился</v>
      </c>
      <c r="AB93" s="1" t="str">
        <f>IFERROR(__xludf.DUMMYFUNCTION("""COMPUTED_VALUE"""),"в")</f>
        <v>в</v>
      </c>
      <c r="AC93" s="1" t="str">
        <f>IFERROR(__xludf.DUMMYFUNCTION("""COMPUTED_VALUE"""),"холодном")</f>
        <v>холодном</v>
      </c>
    </row>
    <row r="94" ht="14.25" customHeight="1">
      <c r="A94" s="1" t="s">
        <v>915</v>
      </c>
      <c r="B94" s="1" t="s">
        <v>381</v>
      </c>
      <c r="C94" s="2" t="s">
        <v>916</v>
      </c>
      <c r="D94" s="7" t="s">
        <v>383</v>
      </c>
      <c r="E94" s="1" t="s">
        <v>25</v>
      </c>
      <c r="F94" s="4" t="s">
        <v>917</v>
      </c>
      <c r="G94" s="4" t="s">
        <v>383</v>
      </c>
      <c r="H94" s="8" t="s">
        <v>918</v>
      </c>
      <c r="I94" s="4" t="s">
        <v>909</v>
      </c>
      <c r="J94" s="1" t="s">
        <v>910</v>
      </c>
      <c r="K94" s="1" t="s">
        <v>911</v>
      </c>
      <c r="L94" s="1" t="s">
        <v>912</v>
      </c>
      <c r="M94" s="1" t="s">
        <v>913</v>
      </c>
      <c r="N94" s="1" t="s">
        <v>139</v>
      </c>
      <c r="O94" s="1" t="s">
        <v>284</v>
      </c>
      <c r="Q94" s="1" t="s">
        <v>716</v>
      </c>
      <c r="R94" s="1" t="s">
        <v>594</v>
      </c>
      <c r="S94" s="1" t="s">
        <v>70</v>
      </c>
      <c r="T94" s="1" t="s">
        <v>36</v>
      </c>
      <c r="U94" s="4" t="s">
        <v>919</v>
      </c>
      <c r="X94" s="1" t="str">
        <f>IFERROR(__xludf.DUMMYFUNCTION("split(F94,"" ,:;.?!"")"),"покою")</f>
        <v>покою</v>
      </c>
      <c r="Y94" s="1" t="str">
        <f>IFERROR(__xludf.DUMMYFUNCTION("""COMPUTED_VALUE"""),"и")</f>
        <v>и</v>
      </c>
      <c r="Z94" s="1" t="str">
        <f>IFERROR(__xludf.DUMMYFUNCTION("""COMPUTED_VALUE"""),"лёгкости")</f>
        <v>лёгкости</v>
      </c>
      <c r="AA94" s="1" t="str">
        <f>IFERROR(__xludf.DUMMYFUNCTION("""COMPUTED_VALUE"""),"в")</f>
        <v>в</v>
      </c>
      <c r="AB94" s="1" t="str">
        <f>IFERROR(__xludf.DUMMYFUNCTION("""COMPUTED_VALUE"""),"вагоне")</f>
        <v>вагоне</v>
      </c>
      <c r="AC94" s="1" t="str">
        <f>IFERROR(__xludf.DUMMYFUNCTION("""COMPUTED_VALUE"""),"ночного")</f>
        <v>ночного</v>
      </c>
    </row>
    <row r="95" ht="14.25" customHeight="1">
      <c r="A95" s="1" t="s">
        <v>920</v>
      </c>
      <c r="B95" s="1" t="s">
        <v>921</v>
      </c>
      <c r="C95" s="2" t="s">
        <v>922</v>
      </c>
      <c r="D95" s="7" t="s">
        <v>923</v>
      </c>
      <c r="E95" s="1" t="s">
        <v>25</v>
      </c>
      <c r="F95" s="4" t="s">
        <v>924</v>
      </c>
      <c r="G95" s="4" t="s">
        <v>923</v>
      </c>
      <c r="H95" s="8" t="s">
        <v>925</v>
      </c>
      <c r="I95" s="4" t="s">
        <v>909</v>
      </c>
      <c r="J95" s="1" t="s">
        <v>910</v>
      </c>
      <c r="K95" s="1" t="s">
        <v>911</v>
      </c>
      <c r="L95" s="1" t="s">
        <v>912</v>
      </c>
      <c r="M95" s="1" t="s">
        <v>913</v>
      </c>
      <c r="N95" s="1" t="s">
        <v>139</v>
      </c>
      <c r="O95" s="1" t="s">
        <v>284</v>
      </c>
      <c r="Q95" s="1" t="s">
        <v>716</v>
      </c>
      <c r="R95" s="1" t="s">
        <v>594</v>
      </c>
      <c r="S95" s="1" t="s">
        <v>70</v>
      </c>
      <c r="T95" s="1" t="s">
        <v>36</v>
      </c>
      <c r="U95" s="4" t="s">
        <v>926</v>
      </c>
      <c r="X95" s="1" t="str">
        <f>IFERROR(__xludf.DUMMYFUNCTION("split(F95,"" ,:;.?!"")"),"детям")</f>
        <v>детям</v>
      </c>
      <c r="Y95" s="1" t="str">
        <f>IFERROR(__xludf.DUMMYFUNCTION("""COMPUTED_VALUE"""),"помочь")</f>
        <v>помочь</v>
      </c>
    </row>
    <row r="96" ht="14.25" customHeight="1">
      <c r="A96" s="1" t="s">
        <v>927</v>
      </c>
      <c r="B96" s="1" t="s">
        <v>94</v>
      </c>
      <c r="C96" s="2" t="s">
        <v>928</v>
      </c>
      <c r="D96" s="7" t="s">
        <v>96</v>
      </c>
      <c r="E96" s="1" t="s">
        <v>25</v>
      </c>
      <c r="F96" s="4" t="s">
        <v>929</v>
      </c>
      <c r="G96" s="4" t="s">
        <v>96</v>
      </c>
      <c r="H96" s="8" t="s">
        <v>930</v>
      </c>
      <c r="I96" s="4" t="s">
        <v>931</v>
      </c>
      <c r="J96" s="1" t="s">
        <v>876</v>
      </c>
      <c r="K96" s="1" t="s">
        <v>877</v>
      </c>
      <c r="L96" s="1" t="s">
        <v>932</v>
      </c>
      <c r="M96" s="1" t="s">
        <v>933</v>
      </c>
      <c r="N96" s="1" t="s">
        <v>139</v>
      </c>
      <c r="O96" s="1" t="s">
        <v>457</v>
      </c>
      <c r="Q96" s="1" t="s">
        <v>934</v>
      </c>
      <c r="R96" s="1" t="s">
        <v>365</v>
      </c>
      <c r="S96" s="1" t="s">
        <v>272</v>
      </c>
      <c r="T96" s="1" t="s">
        <v>36</v>
      </c>
      <c r="U96" s="4" t="s">
        <v>935</v>
      </c>
      <c r="X96" s="1" t="str">
        <f>IFERROR(__xludf.DUMMYFUNCTION("split(F96,"" ,:;.?!"")"),"Шухову")</f>
        <v>Шухову</v>
      </c>
      <c r="Y96" s="1" t="str">
        <f>IFERROR(__xludf.DUMMYFUNCTION("""COMPUTED_VALUE"""),"спросить")</f>
        <v>спросить</v>
      </c>
      <c r="Z96" s="1" t="str">
        <f>IFERROR(__xludf.DUMMYFUNCTION("""COMPUTED_VALUE"""),"бригадира")</f>
        <v>бригадира</v>
      </c>
      <c r="AA96" s="1" t="str">
        <f>IFERROR(__xludf.DUMMYFUNCTION("""COMPUTED_VALUE"""),"там")</f>
        <v>там</v>
      </c>
      <c r="AB96" s="1" t="str">
        <f>IFERROR(__xludf.DUMMYFUNCTION("""COMPUTED_VALUE"""),"же")</f>
        <v>же</v>
      </c>
      <c r="AC96" s="1" t="str">
        <f>IFERROR(__xludf.DUMMYFUNCTION("""COMPUTED_VALUE"""),"ли")</f>
        <v>ли</v>
      </c>
    </row>
    <row r="97" ht="14.25" customHeight="1">
      <c r="A97" s="1" t="s">
        <v>936</v>
      </c>
      <c r="B97" s="1" t="s">
        <v>719</v>
      </c>
      <c r="C97" s="2" t="s">
        <v>937</v>
      </c>
      <c r="D97" s="7" t="s">
        <v>721</v>
      </c>
      <c r="E97" s="1" t="s">
        <v>25</v>
      </c>
      <c r="F97" s="4" t="s">
        <v>938</v>
      </c>
      <c r="G97" s="4" t="s">
        <v>721</v>
      </c>
      <c r="H97" s="8" t="s">
        <v>930</v>
      </c>
      <c r="I97" s="4" t="s">
        <v>931</v>
      </c>
      <c r="J97" s="1" t="s">
        <v>876</v>
      </c>
      <c r="K97" s="1" t="s">
        <v>877</v>
      </c>
      <c r="L97" s="1" t="s">
        <v>932</v>
      </c>
      <c r="M97" s="1" t="s">
        <v>933</v>
      </c>
      <c r="N97" s="1" t="s">
        <v>139</v>
      </c>
      <c r="O97" s="1" t="s">
        <v>457</v>
      </c>
      <c r="Q97" s="1" t="s">
        <v>934</v>
      </c>
      <c r="R97" s="1" t="s">
        <v>365</v>
      </c>
      <c r="S97" s="1" t="s">
        <v>272</v>
      </c>
      <c r="T97" s="1" t="s">
        <v>36</v>
      </c>
      <c r="U97" s="4" t="s">
        <v>939</v>
      </c>
      <c r="X97" s="1" t="str">
        <f>IFERROR(__xludf.DUMMYFUNCTION("split(F97,"" ,:;.?!"")"),"Шухову")</f>
        <v>Шухову</v>
      </c>
      <c r="Y97" s="1" t="str">
        <f>IFERROR(__xludf.DUMMYFUNCTION("""COMPUTED_VALUE"""),"горше")</f>
        <v>горше</v>
      </c>
      <c r="Z97" s="1" t="str">
        <f>IFERROR(__xludf.DUMMYFUNCTION("""COMPUTED_VALUE"""),"смерти")</f>
        <v>смерти</v>
      </c>
    </row>
    <row r="98" ht="14.25" customHeight="1">
      <c r="A98" s="1" t="s">
        <v>940</v>
      </c>
      <c r="B98" s="1" t="s">
        <v>776</v>
      </c>
      <c r="C98" s="2" t="s">
        <v>941</v>
      </c>
      <c r="D98" s="7" t="s">
        <v>778</v>
      </c>
      <c r="E98" s="1" t="s">
        <v>25</v>
      </c>
      <c r="F98" s="4" t="s">
        <v>942</v>
      </c>
      <c r="G98" s="4" t="s">
        <v>778</v>
      </c>
      <c r="H98" s="8" t="s">
        <v>943</v>
      </c>
      <c r="I98" s="4" t="s">
        <v>944</v>
      </c>
      <c r="J98" s="1" t="s">
        <v>945</v>
      </c>
      <c r="K98" s="1" t="s">
        <v>713</v>
      </c>
      <c r="L98" s="1" t="s">
        <v>946</v>
      </c>
      <c r="M98" s="1" t="s">
        <v>933</v>
      </c>
      <c r="N98" s="1" t="s">
        <v>139</v>
      </c>
      <c r="O98" s="1" t="s">
        <v>366</v>
      </c>
      <c r="Q98" s="1" t="s">
        <v>947</v>
      </c>
      <c r="R98" s="1" t="s">
        <v>933</v>
      </c>
      <c r="S98" s="1" t="s">
        <v>70</v>
      </c>
      <c r="T98" s="1" t="s">
        <v>36</v>
      </c>
      <c r="U98" s="4" t="s">
        <v>948</v>
      </c>
      <c r="X98" s="1" t="str">
        <f>IFERROR(__xludf.DUMMYFUNCTION("split(F98,"" ,:;.?!"")"),"занятию")</f>
        <v>занятию</v>
      </c>
      <c r="Y98" s="1" t="str">
        <f>IFERROR(__xludf.DUMMYFUNCTION("""COMPUTED_VALUE"""),"лечь")</f>
        <v>лечь</v>
      </c>
      <c r="Z98" s="1" t="str">
        <f>IFERROR(__xludf.DUMMYFUNCTION("""COMPUTED_VALUE"""),"спиной")</f>
        <v>спиной</v>
      </c>
      <c r="AA98" s="1" t="str">
        <f>IFERROR(__xludf.DUMMYFUNCTION("""COMPUTED_VALUE"""),"на")</f>
        <v>на</v>
      </c>
      <c r="AB98" s="1" t="str">
        <f>IFERROR(__xludf.DUMMYFUNCTION("""COMPUTED_VALUE"""),"подоконник")</f>
        <v>подоконник</v>
      </c>
      <c r="AC98" s="1" t="str">
        <f>IFERROR(__xludf.DUMMYFUNCTION("""COMPUTED_VALUE"""),"положить")</f>
        <v>положить</v>
      </c>
    </row>
    <row r="99" ht="14.25" customHeight="1">
      <c r="A99" s="1" t="s">
        <v>25</v>
      </c>
      <c r="B99" s="1" t="s">
        <v>949</v>
      </c>
      <c r="C99" s="2"/>
      <c r="D99" s="7" t="s">
        <v>950</v>
      </c>
      <c r="E99" s="1" t="s">
        <v>25</v>
      </c>
      <c r="F99" s="4" t="s">
        <v>951</v>
      </c>
      <c r="G99" s="4" t="s">
        <v>950</v>
      </c>
      <c r="H99" s="9" t="s">
        <v>952</v>
      </c>
      <c r="I99" s="4" t="s">
        <v>944</v>
      </c>
      <c r="J99" s="1" t="s">
        <v>945</v>
      </c>
      <c r="K99" s="1" t="s">
        <v>713</v>
      </c>
      <c r="L99" s="1" t="s">
        <v>946</v>
      </c>
      <c r="M99" s="1" t="s">
        <v>933</v>
      </c>
      <c r="N99" s="1" t="s">
        <v>139</v>
      </c>
      <c r="O99" s="1" t="s">
        <v>366</v>
      </c>
      <c r="Q99" s="1" t="s">
        <v>947</v>
      </c>
      <c r="R99" s="1" t="s">
        <v>933</v>
      </c>
      <c r="S99" s="1" t="s">
        <v>70</v>
      </c>
      <c r="T99" s="1" t="s">
        <v>36</v>
      </c>
      <c r="U99" s="4" t="s">
        <v>953</v>
      </c>
      <c r="X99" s="1" t="str">
        <f>IFERROR(__xludf.DUMMYFUNCTION("split(F99,"" ,:;.?!"")"),"молодёжи""")</f>
        <v>молодёжи"</v>
      </c>
    </row>
    <row r="100" ht="14.25" customHeight="1">
      <c r="A100" s="1" t="s">
        <v>954</v>
      </c>
      <c r="B100" s="1" t="s">
        <v>156</v>
      </c>
      <c r="C100" s="2" t="s">
        <v>955</v>
      </c>
      <c r="D100" s="7" t="s">
        <v>158</v>
      </c>
      <c r="E100" s="1" t="s">
        <v>25</v>
      </c>
      <c r="F100" s="4" t="s">
        <v>956</v>
      </c>
      <c r="G100" s="4" t="s">
        <v>158</v>
      </c>
      <c r="H100" s="8" t="s">
        <v>957</v>
      </c>
      <c r="I100" s="4" t="s">
        <v>958</v>
      </c>
      <c r="J100" s="1" t="s">
        <v>959</v>
      </c>
      <c r="K100" s="1" t="s">
        <v>617</v>
      </c>
      <c r="L100" s="1" t="s">
        <v>960</v>
      </c>
      <c r="M100" s="1" t="s">
        <v>961</v>
      </c>
      <c r="N100" s="1" t="s">
        <v>139</v>
      </c>
      <c r="O100" s="1" t="s">
        <v>962</v>
      </c>
      <c r="Q100" s="1" t="s">
        <v>963</v>
      </c>
      <c r="R100" s="1" t="s">
        <v>502</v>
      </c>
      <c r="S100" s="1" t="s">
        <v>272</v>
      </c>
      <c r="T100" s="1" t="s">
        <v>36</v>
      </c>
      <c r="U100" s="4" t="s">
        <v>964</v>
      </c>
      <c r="X100" s="1" t="str">
        <f>IFERROR(__xludf.DUMMYFUNCTION("split(F100,"" ,:;.?!"")"),"малому")</f>
        <v>малому</v>
      </c>
    </row>
    <row r="101" ht="14.25" customHeight="1">
      <c r="A101" s="1" t="s">
        <v>965</v>
      </c>
      <c r="B101" s="1" t="s">
        <v>356</v>
      </c>
      <c r="C101" s="2" t="s">
        <v>966</v>
      </c>
      <c r="D101" s="7" t="s">
        <v>358</v>
      </c>
      <c r="E101" s="1" t="s">
        <v>25</v>
      </c>
      <c r="F101" s="4" t="s">
        <v>967</v>
      </c>
      <c r="G101" s="4" t="s">
        <v>358</v>
      </c>
      <c r="H101" s="8" t="s">
        <v>968</v>
      </c>
      <c r="I101" s="4" t="s">
        <v>958</v>
      </c>
      <c r="J101" s="1" t="s">
        <v>959</v>
      </c>
      <c r="K101" s="1" t="s">
        <v>617</v>
      </c>
      <c r="L101" s="1" t="s">
        <v>960</v>
      </c>
      <c r="M101" s="1" t="s">
        <v>961</v>
      </c>
      <c r="N101" s="1" t="s">
        <v>139</v>
      </c>
      <c r="O101" s="1" t="s">
        <v>962</v>
      </c>
      <c r="Q101" s="1" t="s">
        <v>963</v>
      </c>
      <c r="R101" s="1" t="s">
        <v>502</v>
      </c>
      <c r="S101" s="1" t="s">
        <v>272</v>
      </c>
      <c r="T101" s="1" t="s">
        <v>36</v>
      </c>
      <c r="U101" s="4" t="s">
        <v>969</v>
      </c>
      <c r="X101" s="1" t="str">
        <f>IFERROR(__xludf.DUMMYFUNCTION("split(F101,"" ,:;.?!"")"),"прочности")</f>
        <v>прочности</v>
      </c>
      <c r="Y101" s="1" t="str">
        <f>IFERROR(__xludf.DUMMYFUNCTION("""COMPUTED_VALUE"""),"своего")</f>
        <v>своего</v>
      </c>
      <c r="Z101" s="1" t="str">
        <f>IFERROR(__xludf.DUMMYFUNCTION("""COMPUTED_VALUE"""),"чувства")</f>
        <v>чувства</v>
      </c>
    </row>
    <row r="102" ht="14.25" customHeight="1">
      <c r="A102" s="1" t="s">
        <v>970</v>
      </c>
      <c r="B102" s="1" t="s">
        <v>719</v>
      </c>
      <c r="C102" s="2" t="s">
        <v>971</v>
      </c>
      <c r="D102" s="7" t="s">
        <v>721</v>
      </c>
      <c r="E102" s="1" t="s">
        <v>25</v>
      </c>
      <c r="F102" s="4" t="s">
        <v>972</v>
      </c>
      <c r="G102" s="4" t="s">
        <v>721</v>
      </c>
      <c r="H102" s="8" t="s">
        <v>973</v>
      </c>
      <c r="I102" s="4" t="s">
        <v>958</v>
      </c>
      <c r="J102" s="1" t="s">
        <v>959</v>
      </c>
      <c r="K102" s="1" t="s">
        <v>617</v>
      </c>
      <c r="L102" s="1" t="s">
        <v>960</v>
      </c>
      <c r="M102" s="1" t="s">
        <v>961</v>
      </c>
      <c r="N102" s="1" t="s">
        <v>139</v>
      </c>
      <c r="O102" s="1" t="s">
        <v>962</v>
      </c>
      <c r="Q102" s="1" t="s">
        <v>963</v>
      </c>
      <c r="R102" s="1" t="s">
        <v>502</v>
      </c>
      <c r="S102" s="1" t="s">
        <v>272</v>
      </c>
      <c r="T102" s="1" t="s">
        <v>36</v>
      </c>
      <c r="U102" s="4" t="s">
        <v>974</v>
      </c>
      <c r="X102" s="1" t="str">
        <f>IFERROR(__xludf.DUMMYFUNCTION("split(F102,"" ,:;.?!"")"),"телу")</f>
        <v>телу</v>
      </c>
      <c r="Y102" s="1" t="str">
        <f>IFERROR(__xludf.DUMMYFUNCTION("""COMPUTED_VALUE"""),"разогнуться")</f>
        <v>разогнуться</v>
      </c>
      <c r="Z102" s="1" t="str">
        <f>IFERROR(__xludf.DUMMYFUNCTION("""COMPUTED_VALUE"""),"хоть")</f>
        <v>хоть</v>
      </c>
      <c r="AA102" s="1" t="str">
        <f>IFERROR(__xludf.DUMMYFUNCTION("""COMPUTED_VALUE"""),"на")</f>
        <v>на</v>
      </c>
      <c r="AB102" s="1" t="str">
        <f>IFERROR(__xludf.DUMMYFUNCTION("""COMPUTED_VALUE"""),"секунду")</f>
        <v>секунду</v>
      </c>
    </row>
    <row r="103" ht="14.25" customHeight="1">
      <c r="A103" s="1" t="s">
        <v>975</v>
      </c>
      <c r="B103" s="1" t="s">
        <v>345</v>
      </c>
      <c r="C103" s="2" t="s">
        <v>976</v>
      </c>
      <c r="D103" s="7" t="s">
        <v>347</v>
      </c>
      <c r="E103" s="1" t="s">
        <v>25</v>
      </c>
      <c r="F103" s="4" t="s">
        <v>977</v>
      </c>
      <c r="G103" s="4" t="s">
        <v>347</v>
      </c>
      <c r="H103" s="8" t="s">
        <v>292</v>
      </c>
      <c r="I103" s="4" t="s">
        <v>978</v>
      </c>
      <c r="J103" s="1" t="s">
        <v>910</v>
      </c>
      <c r="K103" s="1" t="s">
        <v>911</v>
      </c>
      <c r="L103" s="1" t="s">
        <v>979</v>
      </c>
      <c r="M103" s="1" t="s">
        <v>980</v>
      </c>
      <c r="N103" s="1" t="s">
        <v>139</v>
      </c>
      <c r="O103" s="1" t="s">
        <v>366</v>
      </c>
      <c r="Q103" s="1" t="s">
        <v>981</v>
      </c>
      <c r="R103" s="1" t="s">
        <v>746</v>
      </c>
      <c r="S103" s="1" t="s">
        <v>272</v>
      </c>
      <c r="T103" s="1" t="s">
        <v>36</v>
      </c>
      <c r="U103" s="4" t="s">
        <v>982</v>
      </c>
      <c r="X103" s="1" t="str">
        <f>IFERROR(__xludf.DUMMYFUNCTION("split(F103,"" ,:;.?!"")"),"встрече")</f>
        <v>встрече</v>
      </c>
      <c r="Y103" s="1" t="str">
        <f>IFERROR(__xludf.DUMMYFUNCTION("""COMPUTED_VALUE"""),"нашли")</f>
        <v>нашли</v>
      </c>
      <c r="Z103" s="1" t="str">
        <f>IFERROR(__xludf.DUMMYFUNCTION("""COMPUTED_VALUE"""),"близкую")</f>
        <v>близкую</v>
      </c>
      <c r="AA103" s="1" t="str">
        <f>IFERROR(__xludf.DUMMYFUNCTION("""COMPUTED_VALUE"""),"им")</f>
        <v>им</v>
      </c>
      <c r="AB103" s="1" t="str">
        <f>IFERROR(__xludf.DUMMYFUNCTION("""COMPUTED_VALUE"""),"обоим")</f>
        <v>обоим</v>
      </c>
      <c r="AC103" s="1" t="str">
        <f>IFERROR(__xludf.DUMMYFUNCTION("""COMPUTED_VALUE"""),"тему")</f>
        <v>тему</v>
      </c>
    </row>
    <row r="104" ht="14.25" customHeight="1">
      <c r="A104" s="1" t="s">
        <v>983</v>
      </c>
      <c r="B104" s="1" t="s">
        <v>131</v>
      </c>
      <c r="C104" s="2" t="s">
        <v>984</v>
      </c>
      <c r="D104" s="7" t="s">
        <v>133</v>
      </c>
      <c r="E104" s="1" t="s">
        <v>25</v>
      </c>
      <c r="F104" s="4" t="s">
        <v>985</v>
      </c>
      <c r="G104" s="4" t="s">
        <v>133</v>
      </c>
      <c r="H104" s="8" t="s">
        <v>986</v>
      </c>
      <c r="I104" s="4" t="s">
        <v>978</v>
      </c>
      <c r="J104" s="1" t="s">
        <v>910</v>
      </c>
      <c r="K104" s="1" t="s">
        <v>911</v>
      </c>
      <c r="L104" s="1" t="s">
        <v>979</v>
      </c>
      <c r="M104" s="1" t="s">
        <v>980</v>
      </c>
      <c r="N104" s="1" t="s">
        <v>139</v>
      </c>
      <c r="O104" s="1" t="s">
        <v>366</v>
      </c>
      <c r="Q104" s="1" t="s">
        <v>981</v>
      </c>
      <c r="R104" s="1" t="s">
        <v>746</v>
      </c>
      <c r="S104" s="1" t="s">
        <v>272</v>
      </c>
      <c r="T104" s="1" t="s">
        <v>36</v>
      </c>
      <c r="U104" s="4" t="s">
        <v>987</v>
      </c>
      <c r="X104" s="1" t="str">
        <f>IFERROR(__xludf.DUMMYFUNCTION("split(F104,"" ,:;.?!"")"),"Крымову")</f>
        <v>Крымову</v>
      </c>
    </row>
    <row r="105" ht="14.25" customHeight="1">
      <c r="A105" s="1" t="s">
        <v>988</v>
      </c>
      <c r="B105" s="1" t="s">
        <v>325</v>
      </c>
      <c r="C105" s="2" t="s">
        <v>989</v>
      </c>
      <c r="D105" s="7" t="s">
        <v>327</v>
      </c>
      <c r="E105" s="1" t="s">
        <v>25</v>
      </c>
      <c r="F105" s="4" t="s">
        <v>990</v>
      </c>
      <c r="G105" s="4" t="s">
        <v>327</v>
      </c>
      <c r="H105" s="8" t="s">
        <v>991</v>
      </c>
      <c r="I105" s="4" t="s">
        <v>978</v>
      </c>
      <c r="J105" s="1" t="s">
        <v>910</v>
      </c>
      <c r="K105" s="1" t="s">
        <v>911</v>
      </c>
      <c r="L105" s="1" t="s">
        <v>979</v>
      </c>
      <c r="M105" s="1" t="s">
        <v>980</v>
      </c>
      <c r="N105" s="1" t="s">
        <v>139</v>
      </c>
      <c r="O105" s="1" t="s">
        <v>366</v>
      </c>
      <c r="Q105" s="1" t="s">
        <v>981</v>
      </c>
      <c r="R105" s="1" t="s">
        <v>746</v>
      </c>
      <c r="S105" s="1" t="s">
        <v>272</v>
      </c>
      <c r="T105" s="1" t="s">
        <v>36</v>
      </c>
      <c r="U105" s="4" t="s">
        <v>992</v>
      </c>
      <c r="X105" s="1" t="str">
        <f>IFERROR(__xludf.DUMMYFUNCTION("split(F105,"" ,:;.?!"")"),"успеху")</f>
        <v>успеху</v>
      </c>
      <c r="Y105" s="1" t="str">
        <f>IFERROR(__xludf.DUMMYFUNCTION("""COMPUTED_VALUE"""),"поздравлял")</f>
        <v>поздравлял</v>
      </c>
      <c r="Z105" s="1" t="str">
        <f>IFERROR(__xludf.DUMMYFUNCTION("""COMPUTED_VALUE"""),"Соколова")</f>
        <v>Соколова</v>
      </c>
    </row>
    <row r="106" ht="14.25" customHeight="1">
      <c r="A106" s="1" t="s">
        <v>993</v>
      </c>
      <c r="B106" s="1" t="s">
        <v>994</v>
      </c>
      <c r="C106" s="2" t="s">
        <v>995</v>
      </c>
      <c r="D106" s="7" t="s">
        <v>996</v>
      </c>
      <c r="E106" s="1" t="s">
        <v>25</v>
      </c>
      <c r="F106" s="4" t="s">
        <v>997</v>
      </c>
      <c r="G106" s="4" t="s">
        <v>996</v>
      </c>
      <c r="H106" s="8" t="s">
        <v>998</v>
      </c>
      <c r="I106" s="4" t="s">
        <v>999</v>
      </c>
      <c r="J106" s="1" t="s">
        <v>910</v>
      </c>
      <c r="K106" s="1" t="s">
        <v>911</v>
      </c>
      <c r="L106" s="1" t="s">
        <v>1000</v>
      </c>
      <c r="M106" s="1" t="s">
        <v>980</v>
      </c>
      <c r="N106" s="1" t="s">
        <v>139</v>
      </c>
      <c r="O106" s="1" t="s">
        <v>366</v>
      </c>
      <c r="Q106" s="1" t="s">
        <v>981</v>
      </c>
      <c r="R106" s="1" t="s">
        <v>746</v>
      </c>
      <c r="S106" s="1" t="s">
        <v>272</v>
      </c>
      <c r="T106" s="1" t="s">
        <v>36</v>
      </c>
      <c r="U106" s="4" t="s">
        <v>1001</v>
      </c>
      <c r="X106" s="1" t="str">
        <f>IFERROR(__xludf.DUMMYFUNCTION("split(F106,"" ,:;.?!"")"),"подаркам")</f>
        <v>подаркам</v>
      </c>
    </row>
    <row r="107" ht="14.25" customHeight="1">
      <c r="A107" s="1" t="s">
        <v>1002</v>
      </c>
      <c r="B107" s="1" t="s">
        <v>1003</v>
      </c>
      <c r="C107" s="2" t="s">
        <v>1004</v>
      </c>
      <c r="D107" s="7" t="s">
        <v>1005</v>
      </c>
      <c r="E107" s="1" t="s">
        <v>25</v>
      </c>
      <c r="F107" s="4" t="s">
        <v>1006</v>
      </c>
      <c r="G107" s="4" t="s">
        <v>1005</v>
      </c>
      <c r="H107" s="8" t="s">
        <v>1007</v>
      </c>
      <c r="I107" s="4" t="s">
        <v>999</v>
      </c>
      <c r="J107" s="1" t="s">
        <v>910</v>
      </c>
      <c r="K107" s="1" t="s">
        <v>911</v>
      </c>
      <c r="L107" s="1" t="s">
        <v>1000</v>
      </c>
      <c r="M107" s="1" t="s">
        <v>980</v>
      </c>
      <c r="N107" s="1" t="s">
        <v>139</v>
      </c>
      <c r="O107" s="1" t="s">
        <v>366</v>
      </c>
      <c r="Q107" s="1" t="s">
        <v>981</v>
      </c>
      <c r="R107" s="1" t="s">
        <v>746</v>
      </c>
      <c r="S107" s="1" t="s">
        <v>272</v>
      </c>
      <c r="T107" s="1" t="s">
        <v>36</v>
      </c>
      <c r="U107" s="4" t="s">
        <v>1008</v>
      </c>
      <c r="X107" s="1" t="str">
        <f>IFERROR(__xludf.DUMMYFUNCTION("split(F107,"" ,:;.?!"")"),"теплу")</f>
        <v>теплу</v>
      </c>
      <c r="Y107" s="1" t="str">
        <f>IFERROR(__xludf.DUMMYFUNCTION("""COMPUTED_VALUE"""),"очага")</f>
        <v>очага</v>
      </c>
      <c r="Z107" s="1" t="str">
        <f>IFERROR(__xludf.DUMMYFUNCTION("""COMPUTED_VALUE"""),"после")</f>
        <v>после</v>
      </c>
      <c r="AA107" s="1" t="str">
        <f>IFERROR(__xludf.DUMMYFUNCTION("""COMPUTED_VALUE"""),"трудового")</f>
        <v>трудового</v>
      </c>
      <c r="AB107" s="1" t="str">
        <f>IFERROR(__xludf.DUMMYFUNCTION("""COMPUTED_VALUE"""),"дня")</f>
        <v>дня</v>
      </c>
      <c r="AC107" s="1" t="str">
        <f>IFERROR(__xludf.DUMMYFUNCTION("""COMPUTED_VALUE"""),"работы")</f>
        <v>работы</v>
      </c>
    </row>
    <row r="108" ht="14.25" customHeight="1">
      <c r="A108" s="1" t="s">
        <v>1009</v>
      </c>
      <c r="B108" s="1" t="s">
        <v>288</v>
      </c>
      <c r="C108" s="2" t="s">
        <v>1010</v>
      </c>
      <c r="D108" s="7" t="s">
        <v>290</v>
      </c>
      <c r="E108" s="1" t="s">
        <v>25</v>
      </c>
      <c r="F108" s="4" t="s">
        <v>1011</v>
      </c>
      <c r="G108" s="4" t="s">
        <v>290</v>
      </c>
      <c r="H108" s="8" t="s">
        <v>1012</v>
      </c>
      <c r="I108" s="4" t="s">
        <v>1013</v>
      </c>
      <c r="J108" s="1" t="s">
        <v>910</v>
      </c>
      <c r="K108" s="1" t="s">
        <v>911</v>
      </c>
      <c r="L108" s="1" t="s">
        <v>1014</v>
      </c>
      <c r="M108" s="1" t="s">
        <v>980</v>
      </c>
      <c r="N108" s="1" t="s">
        <v>139</v>
      </c>
      <c r="O108" s="1" t="s">
        <v>366</v>
      </c>
      <c r="Q108" s="1" t="s">
        <v>981</v>
      </c>
      <c r="R108" s="1" t="s">
        <v>746</v>
      </c>
      <c r="S108" s="1" t="s">
        <v>272</v>
      </c>
      <c r="T108" s="1" t="s">
        <v>36</v>
      </c>
      <c r="U108" s="4" t="s">
        <v>1015</v>
      </c>
      <c r="X108" s="1" t="str">
        <f>IFERROR(__xludf.DUMMYFUNCTION("split(F108,"" ,:;.?!"")"),"избавлению")</f>
        <v>избавлению</v>
      </c>
      <c r="Y108" s="1" t="str">
        <f>IFERROR(__xludf.DUMMYFUNCTION("""COMPUTED_VALUE"""),"от")</f>
        <v>от</v>
      </c>
      <c r="Z108" s="1" t="str">
        <f>IFERROR(__xludf.DUMMYFUNCTION("""COMPUTED_VALUE"""),"жизни")</f>
        <v>жизни</v>
      </c>
      <c r="AA108" s="1" t="str">
        <f>IFERROR(__xludf.DUMMYFUNCTION("""COMPUTED_VALUE"""),"в")</f>
        <v>в</v>
      </c>
      <c r="AB108" s="1" t="str">
        <f>IFERROR(__xludf.DUMMYFUNCTION("""COMPUTED_VALUE"""),"эвакуации")</f>
        <v>эвакуации</v>
      </c>
    </row>
    <row r="109" ht="14.25" customHeight="1">
      <c r="A109" s="1" t="s">
        <v>1016</v>
      </c>
      <c r="B109" s="1" t="s">
        <v>325</v>
      </c>
      <c r="C109" s="2" t="s">
        <v>1017</v>
      </c>
      <c r="D109" s="7" t="s">
        <v>327</v>
      </c>
      <c r="E109" s="1" t="s">
        <v>25</v>
      </c>
      <c r="F109" s="4" t="s">
        <v>1018</v>
      </c>
      <c r="G109" s="4" t="s">
        <v>327</v>
      </c>
      <c r="H109" s="8" t="s">
        <v>1019</v>
      </c>
      <c r="I109" s="4" t="s">
        <v>1013</v>
      </c>
      <c r="J109" s="1" t="s">
        <v>910</v>
      </c>
      <c r="K109" s="1" t="s">
        <v>911</v>
      </c>
      <c r="L109" s="1" t="s">
        <v>1014</v>
      </c>
      <c r="M109" s="1" t="s">
        <v>980</v>
      </c>
      <c r="N109" s="1" t="s">
        <v>139</v>
      </c>
      <c r="O109" s="1" t="s">
        <v>366</v>
      </c>
      <c r="Q109" s="1" t="s">
        <v>981</v>
      </c>
      <c r="R109" s="1" t="s">
        <v>746</v>
      </c>
      <c r="S109" s="1" t="s">
        <v>272</v>
      </c>
      <c r="T109" s="1" t="s">
        <v>36</v>
      </c>
      <c r="U109" s="4" t="s">
        <v>1020</v>
      </c>
      <c r="X109" s="1" t="str">
        <f>IFERROR(__xludf.DUMMYFUNCTION("split(F109,"" ,:;.?!"")"),"торжеству")</f>
        <v>торжеству</v>
      </c>
      <c r="Y109" s="1" t="str">
        <f>IFERROR(__xludf.DUMMYFUNCTION("""COMPUTED_VALUE"""),"своей")</f>
        <v>своей</v>
      </c>
      <c r="Z109" s="1" t="str">
        <f>IFERROR(__xludf.DUMMYFUNCTION("""COMPUTED_VALUE"""),"работы")</f>
        <v>работы</v>
      </c>
      <c r="AA109" s="1" t="str">
        <f>IFERROR(__xludf.DUMMYFUNCTION("""COMPUTED_VALUE"""),"которую")</f>
        <v>которую</v>
      </c>
      <c r="AB109" s="1" t="str">
        <f>IFERROR(__xludf.DUMMYFUNCTION("""COMPUTED_VALUE"""),"казалось")</f>
        <v>казалось</v>
      </c>
      <c r="AC109" s="1" t="str">
        <f>IFERROR(__xludf.DUMMYFUNCTION("""COMPUTED_VALUE"""),"загнали")</f>
        <v>загнали</v>
      </c>
    </row>
    <row r="110" ht="14.25" customHeight="1">
      <c r="A110" s="1" t="s">
        <v>1021</v>
      </c>
      <c r="B110" s="1" t="s">
        <v>325</v>
      </c>
      <c r="C110" s="2" t="s">
        <v>989</v>
      </c>
      <c r="D110" s="7" t="s">
        <v>327</v>
      </c>
      <c r="E110" s="1" t="s">
        <v>25</v>
      </c>
      <c r="F110" s="4" t="s">
        <v>1022</v>
      </c>
      <c r="G110" s="4" t="s">
        <v>327</v>
      </c>
      <c r="H110" s="8" t="s">
        <v>1023</v>
      </c>
      <c r="I110" s="4" t="s">
        <v>1013</v>
      </c>
      <c r="J110" s="1" t="s">
        <v>910</v>
      </c>
      <c r="K110" s="1" t="s">
        <v>911</v>
      </c>
      <c r="L110" s="1" t="s">
        <v>1014</v>
      </c>
      <c r="M110" s="1" t="s">
        <v>980</v>
      </c>
      <c r="N110" s="1" t="s">
        <v>139</v>
      </c>
      <c r="O110" s="1" t="s">
        <v>366</v>
      </c>
      <c r="Q110" s="1" t="s">
        <v>981</v>
      </c>
      <c r="R110" s="1" t="s">
        <v>746</v>
      </c>
      <c r="S110" s="1" t="s">
        <v>272</v>
      </c>
      <c r="T110" s="1" t="s">
        <v>36</v>
      </c>
      <c r="U110" s="4" t="s">
        <v>1024</v>
      </c>
      <c r="X110" s="1" t="str">
        <f>IFERROR(__xludf.DUMMYFUNCTION("split(F110,"" ,:;.?!"")"),"победе")</f>
        <v>победе</v>
      </c>
      <c r="Y110" s="1" t="str">
        <f>IFERROR(__xludf.DUMMYFUNCTION("""COMPUTED_VALUE"""),"―")</f>
        <v>―</v>
      </c>
      <c r="Z110" s="1" t="str">
        <f>IFERROR(__xludf.DUMMYFUNCTION("""COMPUTED_VALUE"""),"его")</f>
        <v>его</v>
      </c>
      <c r="AA110" s="1" t="str">
        <f>IFERROR(__xludf.DUMMYFUNCTION("""COMPUTED_VALUE"""),"душевная")</f>
        <v>душевная</v>
      </c>
      <c r="AB110" s="1" t="str">
        <f>IFERROR(__xludf.DUMMYFUNCTION("""COMPUTED_VALUE"""),"сила")</f>
        <v>сила</v>
      </c>
      <c r="AC110" s="1" t="str">
        <f>IFERROR(__xludf.DUMMYFUNCTION("""COMPUTED_VALUE"""),"его")</f>
        <v>его</v>
      </c>
      <c r="AD110" s="1" t="str">
        <f>IFERROR(__xludf.DUMMYFUNCTION("""COMPUTED_VALUE"""),"башка")</f>
        <v>башка</v>
      </c>
    </row>
    <row r="111" ht="14.25" customHeight="1">
      <c r="A111" s="1" t="s">
        <v>906</v>
      </c>
      <c r="B111" s="1" t="s">
        <v>325</v>
      </c>
      <c r="C111" s="2" t="s">
        <v>430</v>
      </c>
      <c r="D111" s="7" t="s">
        <v>327</v>
      </c>
      <c r="E111" s="1" t="s">
        <v>25</v>
      </c>
      <c r="F111" s="4" t="s">
        <v>1025</v>
      </c>
      <c r="G111" s="4" t="s">
        <v>327</v>
      </c>
      <c r="H111" s="8" t="s">
        <v>522</v>
      </c>
      <c r="I111" s="4" t="s">
        <v>1013</v>
      </c>
      <c r="J111" s="1" t="s">
        <v>910</v>
      </c>
      <c r="K111" s="1" t="s">
        <v>911</v>
      </c>
      <c r="L111" s="1" t="s">
        <v>1014</v>
      </c>
      <c r="M111" s="1" t="s">
        <v>980</v>
      </c>
      <c r="N111" s="1" t="s">
        <v>139</v>
      </c>
      <c r="O111" s="1" t="s">
        <v>366</v>
      </c>
      <c r="Q111" s="1" t="s">
        <v>981</v>
      </c>
      <c r="R111" s="1" t="s">
        <v>746</v>
      </c>
      <c r="S111" s="1" t="s">
        <v>272</v>
      </c>
      <c r="T111" s="1" t="s">
        <v>36</v>
      </c>
      <c r="U111" s="4" t="s">
        <v>1026</v>
      </c>
      <c r="X111" s="1" t="str">
        <f>IFERROR(__xludf.DUMMYFUNCTION("split(F111,"" ,:;.?!"")"),"успехам")</f>
        <v>успехам</v>
      </c>
      <c r="Y111" s="1" t="str">
        <f>IFERROR(__xludf.DUMMYFUNCTION("""COMPUTED_VALUE"""),"Соколова")</f>
        <v>Соколова</v>
      </c>
    </row>
    <row r="112" ht="14.25" customHeight="1">
      <c r="A112" s="1" t="s">
        <v>1027</v>
      </c>
      <c r="B112" s="1" t="s">
        <v>105</v>
      </c>
      <c r="C112" s="2" t="s">
        <v>1028</v>
      </c>
      <c r="D112" s="7" t="s">
        <v>107</v>
      </c>
      <c r="E112" s="1" t="s">
        <v>25</v>
      </c>
      <c r="F112" s="4" t="s">
        <v>1029</v>
      </c>
      <c r="G112" s="4" t="s">
        <v>107</v>
      </c>
      <c r="H112" s="8" t="s">
        <v>739</v>
      </c>
      <c r="I112" s="4" t="s">
        <v>1013</v>
      </c>
      <c r="J112" s="1" t="s">
        <v>910</v>
      </c>
      <c r="K112" s="1" t="s">
        <v>911</v>
      </c>
      <c r="L112" s="1" t="s">
        <v>1014</v>
      </c>
      <c r="M112" s="1" t="s">
        <v>980</v>
      </c>
      <c r="N112" s="1" t="s">
        <v>139</v>
      </c>
      <c r="O112" s="1" t="s">
        <v>366</v>
      </c>
      <c r="Q112" s="1" t="s">
        <v>981</v>
      </c>
      <c r="R112" s="1" t="s">
        <v>746</v>
      </c>
      <c r="S112" s="1" t="s">
        <v>272</v>
      </c>
      <c r="T112" s="1" t="s">
        <v>36</v>
      </c>
      <c r="U112" s="4" t="s">
        <v>1030</v>
      </c>
      <c r="X112" s="1" t="str">
        <f>IFERROR(__xludf.DUMMYFUNCTION("split(F112,"" ,:;.?!"")"),"убийцам")</f>
        <v>убийцам</v>
      </c>
      <c r="Y112" s="1" t="str">
        <f>IFERROR(__xludf.DUMMYFUNCTION("""COMPUTED_VALUE"""),"Горького")</f>
        <v>Горького</v>
      </c>
    </row>
    <row r="113" ht="14.25" customHeight="1">
      <c r="A113" s="1" t="s">
        <v>1031</v>
      </c>
      <c r="B113" s="1" t="s">
        <v>413</v>
      </c>
      <c r="C113" s="2" t="s">
        <v>1032</v>
      </c>
      <c r="D113" s="7" t="s">
        <v>415</v>
      </c>
      <c r="E113" s="1" t="s">
        <v>25</v>
      </c>
      <c r="F113" s="4" t="s">
        <v>1033</v>
      </c>
      <c r="G113" s="4" t="s">
        <v>415</v>
      </c>
      <c r="H113" s="8" t="s">
        <v>1034</v>
      </c>
      <c r="I113" s="4" t="s">
        <v>1035</v>
      </c>
      <c r="J113" s="1" t="s">
        <v>741</v>
      </c>
      <c r="K113" s="1" t="s">
        <v>742</v>
      </c>
      <c r="L113" s="1" t="s">
        <v>1036</v>
      </c>
      <c r="M113" s="1" t="s">
        <v>1037</v>
      </c>
      <c r="N113" s="1" t="s">
        <v>139</v>
      </c>
      <c r="O113" s="1" t="s">
        <v>366</v>
      </c>
      <c r="Q113" s="1" t="s">
        <v>1038</v>
      </c>
      <c r="R113" s="1" t="s">
        <v>746</v>
      </c>
      <c r="S113" s="1" t="s">
        <v>272</v>
      </c>
      <c r="T113" s="1" t="s">
        <v>36</v>
      </c>
      <c r="U113" s="4" t="s">
        <v>1039</v>
      </c>
      <c r="X113" s="1" t="str">
        <f>IFERROR(__xludf.DUMMYFUNCTION("split(F113,"" ,:;.?!"")"),"предлогу")</f>
        <v>предлогу</v>
      </c>
      <c r="Y113" s="1" t="str">
        <f>IFERROR(__xludf.DUMMYFUNCTION("""COMPUTED_VALUE"""),"начать")</f>
        <v>начать</v>
      </c>
      <c r="Z113" s="1" t="str">
        <f>IFERROR(__xludf.DUMMYFUNCTION("""COMPUTED_VALUE"""),"разговор")</f>
        <v>разговор</v>
      </c>
      <c r="AA113" s="1" t="str">
        <f>IFERROR(__xludf.DUMMYFUNCTION("""COMPUTED_VALUE"""),"с")</f>
        <v>с</v>
      </c>
      <c r="AB113" s="1" t="str">
        <f>IFERROR(__xludf.DUMMYFUNCTION("""COMPUTED_VALUE"""),"Куртом")</f>
        <v>Куртом</v>
      </c>
    </row>
    <row r="114" ht="14.25" customHeight="1">
      <c r="A114" s="1" t="s">
        <v>1040</v>
      </c>
      <c r="B114" s="1" t="s">
        <v>719</v>
      </c>
      <c r="C114" s="2" t="s">
        <v>1041</v>
      </c>
      <c r="D114" s="7" t="s">
        <v>721</v>
      </c>
      <c r="E114" s="1" t="s">
        <v>25</v>
      </c>
      <c r="F114" s="4" t="s">
        <v>1042</v>
      </c>
      <c r="G114" s="4" t="s">
        <v>721</v>
      </c>
      <c r="H114" s="8" t="s">
        <v>1043</v>
      </c>
      <c r="I114" s="4" t="s">
        <v>1035</v>
      </c>
      <c r="J114" s="1" t="s">
        <v>741</v>
      </c>
      <c r="K114" s="1" t="s">
        <v>742</v>
      </c>
      <c r="L114" s="1" t="s">
        <v>1036</v>
      </c>
      <c r="M114" s="1" t="s">
        <v>1037</v>
      </c>
      <c r="N114" s="1" t="s">
        <v>139</v>
      </c>
      <c r="O114" s="1" t="s">
        <v>366</v>
      </c>
      <c r="Q114" s="1" t="s">
        <v>1038</v>
      </c>
      <c r="R114" s="1" t="s">
        <v>746</v>
      </c>
      <c r="S114" s="1" t="s">
        <v>272</v>
      </c>
      <c r="T114" s="1" t="s">
        <v>36</v>
      </c>
      <c r="U114" s="4" t="s">
        <v>1044</v>
      </c>
      <c r="X114" s="1" t="str">
        <f>IFERROR(__xludf.DUMMYFUNCTION("split(F114,"" ,:;.?!"")"),"Ланэ")</f>
        <v>Ланэ</v>
      </c>
      <c r="Y114" s="1" t="str">
        <f>IFERROR(__xludf.DUMMYFUNCTION("""COMPUTED_VALUE"""),"в")</f>
        <v>в</v>
      </c>
      <c r="Z114" s="1" t="str">
        <f>IFERROR(__xludf.DUMMYFUNCTION("""COMPUTED_VALUE"""),"ту")</f>
        <v>ту</v>
      </c>
      <c r="AA114" s="1" t="str">
        <f>IFERROR(__xludf.DUMMYFUNCTION("""COMPUTED_VALUE"""),"пору")</f>
        <v>пору</v>
      </c>
      <c r="AB114" s="1" t="str">
        <f>IFERROR(__xludf.DUMMYFUNCTION("""COMPUTED_VALUE"""),"показать")</f>
        <v>показать</v>
      </c>
      <c r="AC114" s="1" t="str">
        <f>IFERROR(__xludf.DUMMYFUNCTION("""COMPUTED_VALUE"""),"профессору")</f>
        <v>профессору</v>
      </c>
    </row>
    <row r="115" ht="14.25" customHeight="1">
      <c r="A115" s="1" t="s">
        <v>1045</v>
      </c>
      <c r="B115" s="1" t="s">
        <v>413</v>
      </c>
      <c r="C115" s="2" t="s">
        <v>1046</v>
      </c>
      <c r="D115" s="7" t="s">
        <v>415</v>
      </c>
      <c r="E115" s="1" t="s">
        <v>25</v>
      </c>
      <c r="F115" s="4" t="s">
        <v>1047</v>
      </c>
      <c r="G115" s="4" t="s">
        <v>415</v>
      </c>
      <c r="H115" s="8" t="s">
        <v>1034</v>
      </c>
      <c r="I115" s="4" t="s">
        <v>1035</v>
      </c>
      <c r="J115" s="1" t="s">
        <v>741</v>
      </c>
      <c r="K115" s="1" t="s">
        <v>742</v>
      </c>
      <c r="L115" s="1" t="s">
        <v>1036</v>
      </c>
      <c r="M115" s="1" t="s">
        <v>1037</v>
      </c>
      <c r="N115" s="1" t="s">
        <v>139</v>
      </c>
      <c r="O115" s="1" t="s">
        <v>366</v>
      </c>
      <c r="Q115" s="1" t="s">
        <v>1038</v>
      </c>
      <c r="R115" s="1" t="s">
        <v>746</v>
      </c>
      <c r="S115" s="1" t="s">
        <v>272</v>
      </c>
      <c r="T115" s="1" t="s">
        <v>36</v>
      </c>
      <c r="U115" s="4" t="s">
        <v>1048</v>
      </c>
      <c r="X115" s="1" t="str">
        <f>IFERROR(__xludf.DUMMYFUNCTION("split(F115,"" ,:;.?!"")"),"предлогу")</f>
        <v>предлогу</v>
      </c>
      <c r="Y115" s="1" t="str">
        <f>IFERROR(__xludf.DUMMYFUNCTION("""COMPUTED_VALUE"""),"закончить")</f>
        <v>закончить</v>
      </c>
      <c r="Z115" s="1" t="str">
        <f>IFERROR(__xludf.DUMMYFUNCTION("""COMPUTED_VALUE"""),"допрос")</f>
        <v>допрос</v>
      </c>
      <c r="AA115" s="1" t="str">
        <f>IFERROR(__xludf.DUMMYFUNCTION("""COMPUTED_VALUE"""),"и")</f>
        <v>и</v>
      </c>
      <c r="AB115" s="1" t="str">
        <f>IFERROR(__xludf.DUMMYFUNCTION("""COMPUTED_VALUE"""),"отдать")</f>
        <v>отдать</v>
      </c>
      <c r="AC115" s="1" t="str">
        <f>IFERROR(__xludf.DUMMYFUNCTION("""COMPUTED_VALUE"""),"гестапо")</f>
        <v>гестапо</v>
      </c>
    </row>
    <row r="116" ht="14.25" customHeight="1">
      <c r="A116" s="1" t="s">
        <v>1049</v>
      </c>
      <c r="B116" s="1" t="s">
        <v>776</v>
      </c>
      <c r="C116" s="2" t="s">
        <v>1050</v>
      </c>
      <c r="D116" s="7" t="s">
        <v>778</v>
      </c>
      <c r="E116" s="1" t="s">
        <v>25</v>
      </c>
      <c r="F116" s="4" t="s">
        <v>1051</v>
      </c>
      <c r="G116" s="4" t="s">
        <v>778</v>
      </c>
      <c r="H116" s="8" t="s">
        <v>1052</v>
      </c>
      <c r="I116" s="4" t="s">
        <v>1053</v>
      </c>
      <c r="J116" s="1" t="s">
        <v>1054</v>
      </c>
      <c r="K116" s="1" t="s">
        <v>1055</v>
      </c>
      <c r="L116" s="1" t="s">
        <v>1056</v>
      </c>
      <c r="M116" s="1" t="s">
        <v>525</v>
      </c>
      <c r="N116" s="1" t="s">
        <v>139</v>
      </c>
      <c r="O116" s="1" t="s">
        <v>284</v>
      </c>
      <c r="Q116" s="1" t="s">
        <v>1057</v>
      </c>
      <c r="R116" s="1" t="s">
        <v>363</v>
      </c>
      <c r="S116" s="1" t="s">
        <v>272</v>
      </c>
      <c r="T116" s="1" t="s">
        <v>36</v>
      </c>
      <c r="U116" s="4" t="s">
        <v>1058</v>
      </c>
      <c r="X116" s="1" t="str">
        <f>IFERROR(__xludf.DUMMYFUNCTION("split(F116,"" ,:;.?!"")"),"предмету")</f>
        <v>предмету</v>
      </c>
    </row>
    <row r="117" ht="14.25" customHeight="1">
      <c r="A117" s="1" t="s">
        <v>1059</v>
      </c>
      <c r="B117" s="1" t="s">
        <v>413</v>
      </c>
      <c r="C117" s="2" t="s">
        <v>1060</v>
      </c>
      <c r="D117" s="7" t="s">
        <v>415</v>
      </c>
      <c r="E117" s="1" t="s">
        <v>25</v>
      </c>
      <c r="F117" s="4" t="s">
        <v>1061</v>
      </c>
      <c r="G117" s="4" t="s">
        <v>415</v>
      </c>
      <c r="H117" s="8" t="s">
        <v>1062</v>
      </c>
      <c r="I117" s="4" t="s">
        <v>1063</v>
      </c>
      <c r="J117" s="1" t="s">
        <v>1064</v>
      </c>
      <c r="K117" s="1" t="s">
        <v>617</v>
      </c>
      <c r="L117" s="1" t="s">
        <v>1065</v>
      </c>
      <c r="M117" s="1" t="s">
        <v>1066</v>
      </c>
      <c r="N117" s="1" t="s">
        <v>139</v>
      </c>
      <c r="O117" s="1" t="s">
        <v>457</v>
      </c>
      <c r="Q117" s="1" t="s">
        <v>1067</v>
      </c>
      <c r="R117" s="1" t="s">
        <v>363</v>
      </c>
      <c r="S117" s="1" t="s">
        <v>272</v>
      </c>
      <c r="T117" s="1" t="s">
        <v>36</v>
      </c>
      <c r="U117" s="4" t="s">
        <v>1068</v>
      </c>
      <c r="X117" s="1" t="str">
        <f>IFERROR(__xludf.DUMMYFUNCTION("split(F117,"" ,:;.?!"")"),"недоумению")</f>
        <v>недоумению</v>
      </c>
      <c r="Y117" s="1" t="str">
        <f>IFERROR(__xludf.DUMMYFUNCTION("""COMPUTED_VALUE"""),"доктора")</f>
        <v>доктора</v>
      </c>
      <c r="Z117" s="1" t="str">
        <f>IFERROR(__xludf.DUMMYFUNCTION("""COMPUTED_VALUE"""),"и")</f>
        <v>и</v>
      </c>
      <c r="AA117" s="1" t="str">
        <f>IFERROR(__xludf.DUMMYFUNCTION("""COMPUTED_VALUE"""),"сбежал")</f>
        <v>сбежал</v>
      </c>
      <c r="AB117" s="1" t="str">
        <f>IFERROR(__xludf.DUMMYFUNCTION("""COMPUTED_VALUE"""),"с")</f>
        <v>с</v>
      </c>
      <c r="AC117" s="1" t="str">
        <f>IFERROR(__xludf.DUMMYFUNCTION("""COMPUTED_VALUE"""),"лестницы")</f>
        <v>лестницы</v>
      </c>
    </row>
    <row r="118" ht="14.25" customHeight="1">
      <c r="A118" s="1" t="s">
        <v>1069</v>
      </c>
      <c r="B118" s="1" t="s">
        <v>1070</v>
      </c>
      <c r="C118" s="2" t="s">
        <v>1071</v>
      </c>
      <c r="D118" s="7" t="s">
        <v>1072</v>
      </c>
      <c r="E118" s="1" t="s">
        <v>25</v>
      </c>
      <c r="F118" s="4" t="s">
        <v>1073</v>
      </c>
      <c r="G118" s="4" t="s">
        <v>1072</v>
      </c>
      <c r="H118" s="8" t="s">
        <v>1074</v>
      </c>
      <c r="I118" s="4" t="s">
        <v>1075</v>
      </c>
      <c r="J118" s="1" t="s">
        <v>1076</v>
      </c>
      <c r="K118" s="1" t="s">
        <v>1077</v>
      </c>
      <c r="L118" s="1" t="s">
        <v>1078</v>
      </c>
      <c r="M118" s="1" t="s">
        <v>1079</v>
      </c>
      <c r="N118" s="1" t="s">
        <v>139</v>
      </c>
      <c r="O118" s="1" t="s">
        <v>366</v>
      </c>
      <c r="Q118" s="1" t="s">
        <v>1080</v>
      </c>
      <c r="R118" s="1" t="s">
        <v>888</v>
      </c>
      <c r="S118" s="1" t="s">
        <v>272</v>
      </c>
      <c r="T118" s="1" t="s">
        <v>36</v>
      </c>
      <c r="U118" s="4" t="s">
        <v>1081</v>
      </c>
      <c r="X118" s="1" t="str">
        <f>IFERROR(__xludf.DUMMYFUNCTION("split(F118,"" ,:;.?!"")"),"товарищу")</f>
        <v>товарищу</v>
      </c>
      <c r="Y118" s="1" t="str">
        <f>IFERROR(__xludf.DUMMYFUNCTION("""COMPUTED_VALUE"""),"пару")</f>
        <v>пару</v>
      </c>
      <c r="Z118" s="1" t="str">
        <f>IFERROR(__xludf.DUMMYFUNCTION("""COMPUTED_VALUE"""),"слов")</f>
        <v>слов</v>
      </c>
      <c r="AA118" s="1" t="str">
        <f>IFERROR(__xludf.DUMMYFUNCTION("""COMPUTED_VALUE"""),"сказать")</f>
        <v>сказать</v>
      </c>
    </row>
    <row r="119" ht="14.25" customHeight="1">
      <c r="A119" s="1" t="s">
        <v>1082</v>
      </c>
      <c r="B119" s="1" t="s">
        <v>1083</v>
      </c>
      <c r="C119" s="2" t="s">
        <v>1084</v>
      </c>
      <c r="D119" s="7" t="s">
        <v>1085</v>
      </c>
      <c r="E119" s="1" t="s">
        <v>25</v>
      </c>
      <c r="F119" s="4" t="s">
        <v>1086</v>
      </c>
      <c r="G119" s="4" t="s">
        <v>1085</v>
      </c>
      <c r="H119" s="8" t="s">
        <v>1087</v>
      </c>
      <c r="I119" s="4" t="s">
        <v>1075</v>
      </c>
      <c r="J119" s="1" t="s">
        <v>1076</v>
      </c>
      <c r="K119" s="1" t="s">
        <v>1077</v>
      </c>
      <c r="L119" s="1" t="s">
        <v>1078</v>
      </c>
      <c r="M119" s="1" t="s">
        <v>1079</v>
      </c>
      <c r="N119" s="1" t="s">
        <v>139</v>
      </c>
      <c r="O119" s="1" t="s">
        <v>366</v>
      </c>
      <c r="Q119" s="1" t="s">
        <v>1080</v>
      </c>
      <c r="R119" s="1" t="s">
        <v>888</v>
      </c>
      <c r="S119" s="1" t="s">
        <v>272</v>
      </c>
      <c r="T119" s="1" t="s">
        <v>36</v>
      </c>
      <c r="U119" s="4" t="s">
        <v>1088</v>
      </c>
      <c r="X119" s="1" t="str">
        <f>IFERROR(__xludf.DUMMYFUNCTION("split(F119,"" ,:;.?!"")"),"осведомлённости")</f>
        <v>осведомлённости</v>
      </c>
      <c r="Y119" s="1" t="str">
        <f>IFERROR(__xludf.DUMMYFUNCTION("""COMPUTED_VALUE"""),"прокуратора")</f>
        <v>прокуратора</v>
      </c>
      <c r="Z119" s="1" t="str">
        <f>IFERROR(__xludf.DUMMYFUNCTION("""COMPUTED_VALUE"""),"продолжал")</f>
        <v>продолжал</v>
      </c>
      <c r="AA119" s="1" t="str">
        <f>IFERROR(__xludf.DUMMYFUNCTION("""COMPUTED_VALUE"""),"Иешуа")</f>
        <v>Иешуа</v>
      </c>
      <c r="AB119" s="1" t="str">
        <f>IFERROR(__xludf.DUMMYFUNCTION("""COMPUTED_VALUE"""),"―")</f>
        <v>―</v>
      </c>
      <c r="AC119" s="1" t="str">
        <f>IFERROR(__xludf.DUMMYFUNCTION("""COMPUTED_VALUE"""),"попросил")</f>
        <v>попросил</v>
      </c>
      <c r="AD119" s="1" t="str">
        <f>IFERROR(__xludf.DUMMYFUNCTION("""COMPUTED_VALUE"""),"меня")</f>
        <v>меня</v>
      </c>
    </row>
    <row r="120" ht="14.25" customHeight="1">
      <c r="A120" s="1" t="s">
        <v>1089</v>
      </c>
      <c r="B120" s="1" t="s">
        <v>1090</v>
      </c>
      <c r="C120" s="2" t="s">
        <v>1091</v>
      </c>
      <c r="D120" s="7" t="s">
        <v>1092</v>
      </c>
      <c r="E120" s="1" t="s">
        <v>25</v>
      </c>
      <c r="F120" s="4" t="s">
        <v>1093</v>
      </c>
      <c r="G120" s="4" t="s">
        <v>1092</v>
      </c>
      <c r="H120" s="8" t="s">
        <v>1094</v>
      </c>
      <c r="I120" s="4" t="s">
        <v>1075</v>
      </c>
      <c r="J120" s="1" t="s">
        <v>1076</v>
      </c>
      <c r="K120" s="1" t="s">
        <v>1077</v>
      </c>
      <c r="L120" s="1" t="s">
        <v>1078</v>
      </c>
      <c r="M120" s="1" t="s">
        <v>1079</v>
      </c>
      <c r="N120" s="1" t="s">
        <v>139</v>
      </c>
      <c r="O120" s="1" t="s">
        <v>366</v>
      </c>
      <c r="Q120" s="1" t="s">
        <v>1080</v>
      </c>
      <c r="R120" s="1" t="s">
        <v>888</v>
      </c>
      <c r="S120" s="1" t="s">
        <v>272</v>
      </c>
      <c r="T120" s="1" t="s">
        <v>36</v>
      </c>
      <c r="U120" s="4" t="s">
        <v>1095</v>
      </c>
      <c r="X120" s="1" t="str">
        <f>IFERROR(__xludf.DUMMYFUNCTION("split(F120,"" ,:;.?!"")"),"контрамарке")</f>
        <v>контрамарке</v>
      </c>
    </row>
    <row r="121" ht="14.25" customHeight="1">
      <c r="A121" s="1" t="s">
        <v>1096</v>
      </c>
      <c r="B121" s="1" t="s">
        <v>118</v>
      </c>
      <c r="C121" s="2" t="s">
        <v>1097</v>
      </c>
      <c r="D121" s="7" t="s">
        <v>120</v>
      </c>
      <c r="E121" s="1" t="s">
        <v>25</v>
      </c>
      <c r="F121" s="4" t="s">
        <v>1098</v>
      </c>
      <c r="G121" s="4" t="s">
        <v>120</v>
      </c>
      <c r="H121" s="8" t="s">
        <v>1099</v>
      </c>
      <c r="I121" s="4" t="s">
        <v>1075</v>
      </c>
      <c r="J121" s="1" t="s">
        <v>1076</v>
      </c>
      <c r="K121" s="1" t="s">
        <v>1077</v>
      </c>
      <c r="L121" s="1" t="s">
        <v>1078</v>
      </c>
      <c r="M121" s="1" t="s">
        <v>1079</v>
      </c>
      <c r="N121" s="1" t="s">
        <v>139</v>
      </c>
      <c r="O121" s="1" t="s">
        <v>366</v>
      </c>
      <c r="Q121" s="1" t="s">
        <v>1080</v>
      </c>
      <c r="R121" s="1" t="s">
        <v>888</v>
      </c>
      <c r="S121" s="1" t="s">
        <v>272</v>
      </c>
      <c r="T121" s="1" t="s">
        <v>36</v>
      </c>
      <c r="U121" s="4" t="s">
        <v>1100</v>
      </c>
      <c r="X121" s="1" t="str">
        <f>IFERROR(__xludf.DUMMYFUNCTION("split(F121,"" ,:;.?!"")"),"перемене")</f>
        <v>перемене</v>
      </c>
      <c r="Y121" s="1" t="str">
        <f>IFERROR(__xludf.DUMMYFUNCTION("""COMPUTED_VALUE"""),"происшедшей")</f>
        <v>происшедшей</v>
      </c>
      <c r="Z121" s="1" t="str">
        <f>IFERROR(__xludf.DUMMYFUNCTION("""COMPUTED_VALUE"""),"в")</f>
        <v>в</v>
      </c>
      <c r="AA121" s="1" t="str">
        <f>IFERROR(__xludf.DUMMYFUNCTION("""COMPUTED_VALUE"""),"этом")</f>
        <v>этом</v>
      </c>
      <c r="AB121" s="1" t="str">
        <f>IFERROR(__xludf.DUMMYFUNCTION("""COMPUTED_VALUE"""),"лице")</f>
        <v>лице</v>
      </c>
    </row>
    <row r="122" ht="14.25" customHeight="1">
      <c r="A122" s="1" t="s">
        <v>1101</v>
      </c>
      <c r="B122" s="1" t="s">
        <v>698</v>
      </c>
      <c r="C122" s="2" t="s">
        <v>1102</v>
      </c>
      <c r="D122" s="7" t="s">
        <v>700</v>
      </c>
      <c r="E122" s="1" t="s">
        <v>25</v>
      </c>
      <c r="F122" s="4" t="s">
        <v>1103</v>
      </c>
      <c r="G122" s="4" t="s">
        <v>700</v>
      </c>
      <c r="H122" s="8" t="s">
        <v>1104</v>
      </c>
      <c r="I122" s="4" t="s">
        <v>1075</v>
      </c>
      <c r="J122" s="1" t="s">
        <v>1076</v>
      </c>
      <c r="K122" s="1" t="s">
        <v>1077</v>
      </c>
      <c r="L122" s="1" t="s">
        <v>1078</v>
      </c>
      <c r="M122" s="1" t="s">
        <v>1079</v>
      </c>
      <c r="N122" s="1" t="s">
        <v>139</v>
      </c>
      <c r="O122" s="1" t="s">
        <v>366</v>
      </c>
      <c r="Q122" s="1" t="s">
        <v>1080</v>
      </c>
      <c r="R122" s="1" t="s">
        <v>888</v>
      </c>
      <c r="S122" s="1" t="s">
        <v>272</v>
      </c>
      <c r="T122" s="1" t="s">
        <v>36</v>
      </c>
      <c r="U122" s="4" t="s">
        <v>1105</v>
      </c>
      <c r="X122" s="1" t="str">
        <f>IFERROR(__xludf.DUMMYFUNCTION("split(F122,"" ,:;.?!"")"),"гостю")</f>
        <v>гостю</v>
      </c>
      <c r="Y122" s="1" t="str">
        <f>IFERROR(__xludf.DUMMYFUNCTION("""COMPUTED_VALUE"""),"сострадал")</f>
        <v>сострадал</v>
      </c>
      <c r="Z122" s="1" t="str">
        <f>IFERROR(__xludf.DUMMYFUNCTION("""COMPUTED_VALUE"""),"ему")</f>
        <v>ему</v>
      </c>
    </row>
    <row r="123" ht="14.25" customHeight="1">
      <c r="A123" s="1" t="s">
        <v>1106</v>
      </c>
      <c r="B123" s="1" t="s">
        <v>397</v>
      </c>
      <c r="C123" s="2" t="s">
        <v>1107</v>
      </c>
      <c r="D123" s="7" t="s">
        <v>399</v>
      </c>
      <c r="E123" s="1" t="s">
        <v>25</v>
      </c>
      <c r="F123" s="4" t="s">
        <v>1108</v>
      </c>
      <c r="G123" s="4" t="s">
        <v>399</v>
      </c>
      <c r="H123" s="8" t="s">
        <v>1109</v>
      </c>
      <c r="I123" s="4" t="s">
        <v>1110</v>
      </c>
      <c r="J123" s="1" t="s">
        <v>1076</v>
      </c>
      <c r="K123" s="1" t="s">
        <v>1077</v>
      </c>
      <c r="L123" s="1" t="s">
        <v>1111</v>
      </c>
      <c r="M123" s="1" t="s">
        <v>1112</v>
      </c>
      <c r="N123" s="1" t="s">
        <v>139</v>
      </c>
      <c r="O123" s="1" t="s">
        <v>366</v>
      </c>
      <c r="Q123" s="1" t="s">
        <v>1113</v>
      </c>
      <c r="R123" s="1" t="s">
        <v>888</v>
      </c>
      <c r="S123" s="1" t="s">
        <v>272</v>
      </c>
      <c r="T123" s="1" t="s">
        <v>36</v>
      </c>
      <c r="U123" s="4" t="s">
        <v>1114</v>
      </c>
      <c r="X123" s="1" t="str">
        <f>IFERROR(__xludf.DUMMYFUNCTION("split(F123,"" ,:;.?!"")"),"солнышку")</f>
        <v>солнышку</v>
      </c>
      <c r="Y123" s="1" t="str">
        <f>IFERROR(__xludf.DUMMYFUNCTION("""COMPUTED_VALUE"""),"сосредоточилась")</f>
        <v>сосредоточилась</v>
      </c>
      <c r="Z123" s="1" t="str">
        <f>IFERROR(__xludf.DUMMYFUNCTION("""COMPUTED_VALUE"""),"в")</f>
        <v>в</v>
      </c>
      <c r="AA123" s="1" t="str">
        <f>IFERROR(__xludf.DUMMYFUNCTION("""COMPUTED_VALUE"""),"себе")</f>
        <v>себе</v>
      </c>
      <c r="AB123" s="1" t="str">
        <f>IFERROR(__xludf.DUMMYFUNCTION("""COMPUTED_VALUE"""),"что-то")</f>
        <v>что-то</v>
      </c>
      <c r="AC123" s="1" t="str">
        <f>IFERROR(__xludf.DUMMYFUNCTION("""COMPUTED_VALUE"""),"только")</f>
        <v>только</v>
      </c>
    </row>
    <row r="124" ht="14.25" customHeight="1">
      <c r="A124" s="1" t="s">
        <v>1115</v>
      </c>
      <c r="B124" s="1" t="s">
        <v>1116</v>
      </c>
      <c r="C124" s="2" t="s">
        <v>1117</v>
      </c>
      <c r="D124" s="7" t="s">
        <v>1118</v>
      </c>
      <c r="E124" s="1" t="s">
        <v>25</v>
      </c>
      <c r="F124" s="4" t="s">
        <v>1119</v>
      </c>
      <c r="G124" s="4" t="s">
        <v>1118</v>
      </c>
      <c r="H124" s="8" t="s">
        <v>1120</v>
      </c>
      <c r="I124" s="4" t="s">
        <v>1121</v>
      </c>
      <c r="J124" s="1" t="s">
        <v>1122</v>
      </c>
      <c r="K124" s="1" t="s">
        <v>1123</v>
      </c>
      <c r="L124" s="1" t="s">
        <v>1124</v>
      </c>
      <c r="M124" s="1" t="s">
        <v>1125</v>
      </c>
      <c r="N124" s="1" t="s">
        <v>139</v>
      </c>
      <c r="O124" s="1" t="s">
        <v>457</v>
      </c>
      <c r="Q124" s="1" t="s">
        <v>1126</v>
      </c>
      <c r="R124" s="1" t="s">
        <v>848</v>
      </c>
      <c r="S124" s="1" t="s">
        <v>272</v>
      </c>
      <c r="T124" s="1" t="s">
        <v>36</v>
      </c>
      <c r="U124" s="4" t="s">
        <v>1127</v>
      </c>
      <c r="X124" s="1" t="str">
        <f>IFERROR(__xludf.DUMMYFUNCTION("split(F124,"" ,:;.?!"")"),"мысли")</f>
        <v>мысли</v>
      </c>
    </row>
    <row r="125" ht="14.25" customHeight="1">
      <c r="A125" s="1" t="s">
        <v>1128</v>
      </c>
      <c r="B125" s="1" t="s">
        <v>1129</v>
      </c>
      <c r="C125" s="2" t="s">
        <v>1130</v>
      </c>
      <c r="D125" s="7" t="s">
        <v>1131</v>
      </c>
      <c r="E125" s="1" t="s">
        <v>612</v>
      </c>
      <c r="F125" s="4" t="s">
        <v>1132</v>
      </c>
      <c r="G125" s="4" t="s">
        <v>1131</v>
      </c>
      <c r="H125" s="8" t="s">
        <v>1133</v>
      </c>
      <c r="I125" s="4" t="s">
        <v>1134</v>
      </c>
      <c r="J125" s="1" t="s">
        <v>1135</v>
      </c>
      <c r="K125" s="1" t="s">
        <v>1136</v>
      </c>
      <c r="L125" s="1" t="s">
        <v>1137</v>
      </c>
      <c r="M125" s="1" t="s">
        <v>581</v>
      </c>
      <c r="N125" s="1" t="s">
        <v>139</v>
      </c>
      <c r="O125" s="1" t="s">
        <v>457</v>
      </c>
      <c r="Q125" s="1" t="s">
        <v>1138</v>
      </c>
      <c r="R125" s="1" t="s">
        <v>1139</v>
      </c>
      <c r="S125" s="1" t="s">
        <v>272</v>
      </c>
      <c r="T125" s="1" t="s">
        <v>36</v>
      </c>
      <c r="U125" s="4" t="s">
        <v>1140</v>
      </c>
      <c r="X125" s="1" t="str">
        <f>IFERROR(__xludf.DUMMYFUNCTION("split(F125,"" ,:;.?!"")"),"крестьянам")</f>
        <v>крестьянам</v>
      </c>
      <c r="Y125" s="1" t="str">
        <f>IFERROR(__xludf.DUMMYFUNCTION("""COMPUTED_VALUE"""),"нечем")</f>
        <v>нечем</v>
      </c>
      <c r="Z125" s="1" t="str">
        <f>IFERROR(__xludf.DUMMYFUNCTION("""COMPUTED_VALUE"""),"молоть")</f>
        <v>молоть</v>
      </c>
      <c r="AA125" s="1" t="str">
        <f>IFERROR(__xludf.DUMMYFUNCTION("""COMPUTED_VALUE"""),"зерно")</f>
        <v>зерно</v>
      </c>
      <c r="AB125" s="1" t="str">
        <f>IFERROR(__xludf.DUMMYFUNCTION("""COMPUTED_VALUE"""),"и")</f>
        <v>и</v>
      </c>
      <c r="AC125" s="1" t="str">
        <f>IFERROR(__xludf.DUMMYFUNCTION("""COMPUTED_VALUE"""),"над")</f>
        <v>над</v>
      </c>
    </row>
    <row r="126" ht="14.25" customHeight="1">
      <c r="A126" s="1" t="s">
        <v>1141</v>
      </c>
      <c r="B126" s="1" t="s">
        <v>638</v>
      </c>
      <c r="C126" s="2" t="s">
        <v>1142</v>
      </c>
      <c r="D126" s="7" t="s">
        <v>640</v>
      </c>
      <c r="E126" s="1" t="s">
        <v>25</v>
      </c>
      <c r="F126" s="4" t="s">
        <v>1143</v>
      </c>
      <c r="G126" s="4" t="s">
        <v>640</v>
      </c>
      <c r="H126" s="8" t="s">
        <v>1144</v>
      </c>
      <c r="I126" s="4" t="s">
        <v>1145</v>
      </c>
      <c r="J126" s="1" t="s">
        <v>1135</v>
      </c>
      <c r="K126" s="1" t="s">
        <v>1136</v>
      </c>
      <c r="L126" s="1" t="s">
        <v>1146</v>
      </c>
      <c r="M126" s="1" t="s">
        <v>1147</v>
      </c>
      <c r="N126" s="1" t="s">
        <v>139</v>
      </c>
      <c r="O126" s="1" t="s">
        <v>284</v>
      </c>
      <c r="Q126" s="1" t="s">
        <v>1148</v>
      </c>
      <c r="R126" s="1" t="s">
        <v>502</v>
      </c>
      <c r="S126" s="1" t="s">
        <v>272</v>
      </c>
      <c r="T126" s="1" t="s">
        <v>36</v>
      </c>
      <c r="U126" s="4" t="s">
        <v>1149</v>
      </c>
      <c r="X126" s="1" t="str">
        <f>IFERROR(__xludf.DUMMYFUNCTION("split(F126,"" ,:;.?!"")"),"затее")</f>
        <v>затее</v>
      </c>
      <c r="Y126" s="1" t="str">
        <f>IFERROR(__xludf.DUMMYFUNCTION("""COMPUTED_VALUE"""),"Петра")</f>
        <v>Петра</v>
      </c>
      <c r="Z126" s="1" t="str">
        <f>IFERROR(__xludf.DUMMYFUNCTION("""COMPUTED_VALUE"""),"так")</f>
        <v>так</v>
      </c>
      <c r="AA126" s="1" t="str">
        <f>IFERROR(__xludf.DUMMYFUNCTION("""COMPUTED_VALUE"""),"велика")</f>
        <v>велика</v>
      </c>
      <c r="AB126" s="1" t="str">
        <f>IFERROR(__xludf.DUMMYFUNCTION("""COMPUTED_VALUE"""),"оказалась")</f>
        <v>оказалась</v>
      </c>
      <c r="AC126" s="1" t="str">
        <f>IFERROR(__xludf.DUMMYFUNCTION("""COMPUTED_VALUE"""),"земля")</f>
        <v>земля</v>
      </c>
    </row>
    <row r="127" ht="14.25" customHeight="1">
      <c r="A127" s="1" t="s">
        <v>1150</v>
      </c>
      <c r="B127" s="1" t="s">
        <v>118</v>
      </c>
      <c r="C127" s="2" t="s">
        <v>1151</v>
      </c>
      <c r="D127" s="7" t="s">
        <v>120</v>
      </c>
      <c r="E127" s="1" t="s">
        <v>25</v>
      </c>
      <c r="F127" s="4" t="s">
        <v>1152</v>
      </c>
      <c r="G127" s="4" t="s">
        <v>120</v>
      </c>
      <c r="H127" s="8" t="s">
        <v>1153</v>
      </c>
      <c r="I127" s="4" t="s">
        <v>1154</v>
      </c>
      <c r="J127" s="1" t="s">
        <v>1155</v>
      </c>
      <c r="K127" s="1" t="s">
        <v>1156</v>
      </c>
      <c r="L127" s="1" t="s">
        <v>1157</v>
      </c>
      <c r="M127" s="1" t="s">
        <v>319</v>
      </c>
      <c r="N127" s="1" t="s">
        <v>139</v>
      </c>
      <c r="O127" s="1" t="s">
        <v>284</v>
      </c>
      <c r="Q127" s="1" t="s">
        <v>1158</v>
      </c>
      <c r="R127" s="1" t="s">
        <v>1159</v>
      </c>
      <c r="S127" s="1" t="s">
        <v>272</v>
      </c>
      <c r="T127" s="1" t="s">
        <v>36</v>
      </c>
      <c r="U127" s="4" t="s">
        <v>1160</v>
      </c>
      <c r="X127" s="1" t="str">
        <f>IFERROR(__xludf.DUMMYFUNCTION("split(F127,"" ,:;.?!"")"),"живучести")</f>
        <v>живучести</v>
      </c>
      <c r="Y127" s="1" t="str">
        <f>IFERROR(__xludf.DUMMYFUNCTION("""COMPUTED_VALUE"""),"таких")</f>
        <v>таких</v>
      </c>
      <c r="Z127" s="1" t="str">
        <f>IFERROR(__xludf.DUMMYFUNCTION("""COMPUTED_VALUE"""),"предубеждений")</f>
        <v>предубеждений</v>
      </c>
    </row>
    <row r="128" ht="14.25" customHeight="1">
      <c r="A128" s="1" t="s">
        <v>803</v>
      </c>
      <c r="B128" s="1" t="s">
        <v>325</v>
      </c>
      <c r="C128" s="2" t="s">
        <v>804</v>
      </c>
      <c r="D128" s="7" t="s">
        <v>327</v>
      </c>
      <c r="E128" s="1" t="s">
        <v>25</v>
      </c>
      <c r="F128" s="4" t="s">
        <v>1161</v>
      </c>
      <c r="G128" s="4" t="s">
        <v>327</v>
      </c>
      <c r="H128" s="8" t="s">
        <v>1162</v>
      </c>
      <c r="I128" s="4" t="s">
        <v>1163</v>
      </c>
      <c r="J128" s="1" t="s">
        <v>1164</v>
      </c>
      <c r="K128" s="1" t="s">
        <v>1165</v>
      </c>
      <c r="L128" s="1" t="s">
        <v>1166</v>
      </c>
      <c r="M128" s="1" t="s">
        <v>1167</v>
      </c>
      <c r="N128" s="1" t="s">
        <v>51</v>
      </c>
      <c r="O128" s="1" t="s">
        <v>270</v>
      </c>
      <c r="Q128" s="1" t="s">
        <v>1168</v>
      </c>
      <c r="R128" s="1" t="s">
        <v>596</v>
      </c>
      <c r="S128" s="1" t="s">
        <v>272</v>
      </c>
      <c r="T128" s="1" t="s">
        <v>36</v>
      </c>
      <c r="U128" s="4" t="s">
        <v>1169</v>
      </c>
      <c r="X128" s="1" t="str">
        <f>IFERROR(__xludf.DUMMYFUNCTION("split(F128,"" ,:;.?!"")"),"подарку")</f>
        <v>подарку</v>
      </c>
      <c r="Y128" s="1" t="str">
        <f>IFERROR(__xludf.DUMMYFUNCTION("""COMPUTED_VALUE"""),"и")</f>
        <v>и</v>
      </c>
      <c r="Z128" s="1" t="str">
        <f>IFERROR(__xludf.DUMMYFUNCTION("""COMPUTED_VALUE"""),"унёс")</f>
        <v>унёс</v>
      </c>
      <c r="AA128" s="1" t="str">
        <f>IFERROR(__xludf.DUMMYFUNCTION("""COMPUTED_VALUE"""),"завернув")</f>
        <v>завернув</v>
      </c>
      <c r="AB128" s="1" t="str">
        <f>IFERROR(__xludf.DUMMYFUNCTION("""COMPUTED_VALUE"""),"в")</f>
        <v>в</v>
      </c>
      <c r="AC128" s="1" t="str">
        <f>IFERROR(__xludf.DUMMYFUNCTION("""COMPUTED_VALUE"""),"носовой")</f>
        <v>носовой</v>
      </c>
    </row>
    <row r="129" ht="14.25" customHeight="1">
      <c r="A129" s="1" t="s">
        <v>1170</v>
      </c>
      <c r="B129" s="1" t="s">
        <v>345</v>
      </c>
      <c r="C129" s="2" t="s">
        <v>1171</v>
      </c>
      <c r="D129" s="7" t="s">
        <v>347</v>
      </c>
      <c r="E129" s="1" t="s">
        <v>25</v>
      </c>
      <c r="F129" s="4" t="s">
        <v>1172</v>
      </c>
      <c r="G129" s="4" t="s">
        <v>347</v>
      </c>
      <c r="H129" s="8" t="s">
        <v>1173</v>
      </c>
      <c r="I129" s="4" t="s">
        <v>1174</v>
      </c>
      <c r="J129" s="1" t="s">
        <v>1175</v>
      </c>
      <c r="K129" s="1" t="s">
        <v>1176</v>
      </c>
      <c r="L129" s="1" t="s">
        <v>1177</v>
      </c>
      <c r="M129" s="1" t="s">
        <v>1178</v>
      </c>
      <c r="N129" s="1" t="s">
        <v>139</v>
      </c>
      <c r="O129" s="1" t="s">
        <v>889</v>
      </c>
      <c r="Q129" s="1" t="s">
        <v>1179</v>
      </c>
      <c r="R129" s="1" t="s">
        <v>456</v>
      </c>
      <c r="S129" s="1" t="s">
        <v>272</v>
      </c>
      <c r="T129" s="1" t="s">
        <v>36</v>
      </c>
      <c r="U129" s="4" t="s">
        <v>1180</v>
      </c>
      <c r="X129" s="1" t="str">
        <f>IFERROR(__xludf.DUMMYFUNCTION("split(F129,"" ,:;.?!"")"),"блузочкам")</f>
        <v>блузочкам</v>
      </c>
      <c r="Y129" s="1" t="str">
        <f>IFERROR(__xludf.DUMMYFUNCTION("""COMPUTED_VALUE"""),"своим")</f>
        <v>своим</v>
      </c>
      <c r="Z129" s="1" t="str">
        <f>IFERROR(__xludf.DUMMYFUNCTION("""COMPUTED_VALUE"""),"легчайшим")</f>
        <v>легчайшим</v>
      </c>
    </row>
    <row r="130" ht="14.25" customHeight="1">
      <c r="A130" s="1" t="s">
        <v>1181</v>
      </c>
      <c r="B130" s="1" t="s">
        <v>994</v>
      </c>
      <c r="C130" s="2" t="s">
        <v>1182</v>
      </c>
      <c r="D130" s="7" t="s">
        <v>996</v>
      </c>
      <c r="E130" s="1" t="s">
        <v>25</v>
      </c>
      <c r="F130" s="4" t="s">
        <v>1183</v>
      </c>
      <c r="G130" s="4" t="s">
        <v>996</v>
      </c>
      <c r="H130" s="8" t="s">
        <v>1184</v>
      </c>
      <c r="I130" s="4" t="s">
        <v>1185</v>
      </c>
      <c r="J130" s="1" t="s">
        <v>1186</v>
      </c>
      <c r="K130" s="1" t="s">
        <v>1187</v>
      </c>
      <c r="L130" s="1" t="s">
        <v>1188</v>
      </c>
      <c r="M130" s="1" t="s">
        <v>877</v>
      </c>
      <c r="N130" s="1" t="s">
        <v>139</v>
      </c>
      <c r="O130" s="1" t="s">
        <v>457</v>
      </c>
      <c r="Q130" s="1" t="s">
        <v>1189</v>
      </c>
      <c r="R130" s="1" t="s">
        <v>583</v>
      </c>
      <c r="S130" s="1" t="s">
        <v>272</v>
      </c>
      <c r="T130" s="1" t="s">
        <v>36</v>
      </c>
      <c r="U130" s="4" t="s">
        <v>1190</v>
      </c>
      <c r="X130" s="1" t="str">
        <f>IFERROR(__xludf.DUMMYFUNCTION("split(F130,"" ,:;.?!"")"),"смерти")</f>
        <v>смерти</v>
      </c>
      <c r="Y130" s="1" t="str">
        <f>IFERROR(__xludf.DUMMYFUNCTION("""COMPUTED_VALUE"""),"―")</f>
        <v>―</v>
      </c>
      <c r="Z130" s="1" t="str">
        <f>IFERROR(__xludf.DUMMYFUNCTION("""COMPUTED_VALUE"""),"когда")</f>
        <v>когда</v>
      </c>
      <c r="AA130" s="1" t="str">
        <f>IFERROR(__xludf.DUMMYFUNCTION("""COMPUTED_VALUE"""),"смерть")</f>
        <v>смерть</v>
      </c>
      <c r="AB130" s="1" t="str">
        <f>IFERROR(__xludf.DUMMYFUNCTION("""COMPUTED_VALUE"""),"придёт…")</f>
        <v>придёт…</v>
      </c>
    </row>
    <row r="131" ht="14.25" customHeight="1">
      <c r="A131" s="1" t="s">
        <v>1191</v>
      </c>
      <c r="B131" s="1" t="s">
        <v>131</v>
      </c>
      <c r="C131" s="2" t="s">
        <v>1192</v>
      </c>
      <c r="D131" s="7" t="s">
        <v>133</v>
      </c>
      <c r="E131" s="1" t="s">
        <v>25</v>
      </c>
      <c r="F131" s="4" t="s">
        <v>1193</v>
      </c>
      <c r="G131" s="4" t="s">
        <v>133</v>
      </c>
      <c r="H131" s="8" t="s">
        <v>401</v>
      </c>
      <c r="I131" s="4" t="s">
        <v>1194</v>
      </c>
      <c r="J131" s="1" t="s">
        <v>1195</v>
      </c>
      <c r="K131" s="1" t="s">
        <v>1196</v>
      </c>
      <c r="L131" s="1" t="s">
        <v>1197</v>
      </c>
      <c r="M131" s="1" t="s">
        <v>1198</v>
      </c>
      <c r="N131" s="1" t="s">
        <v>139</v>
      </c>
      <c r="O131" s="1" t="s">
        <v>457</v>
      </c>
      <c r="Q131" s="1" t="s">
        <v>1199</v>
      </c>
      <c r="R131" s="1" t="s">
        <v>1139</v>
      </c>
      <c r="S131" s="1" t="s">
        <v>272</v>
      </c>
      <c r="T131" s="1" t="s">
        <v>36</v>
      </c>
      <c r="U131" s="4" t="s">
        <v>1200</v>
      </c>
      <c r="X131" s="1" t="str">
        <f>IFERROR(__xludf.DUMMYFUNCTION("split(F131,"" ,:;.?!"")"),"возможности")</f>
        <v>возможности</v>
      </c>
      <c r="Y131" s="1" t="str">
        <f>IFERROR(__xludf.DUMMYFUNCTION("""COMPUTED_VALUE"""),"продать")</f>
        <v>продать</v>
      </c>
      <c r="Z131" s="1" t="str">
        <f>IFERROR(__xludf.DUMMYFUNCTION("""COMPUTED_VALUE"""),"книги")</f>
        <v>книги</v>
      </c>
      <c r="AA131" s="1" t="str">
        <f>IFERROR(__xludf.DUMMYFUNCTION("""COMPUTED_VALUE"""),"и")</f>
        <v>и</v>
      </c>
      <c r="AB131" s="1" t="str">
        <f>IFERROR(__xludf.DUMMYFUNCTION("""COMPUTED_VALUE"""),"вообразил")</f>
        <v>вообразил</v>
      </c>
      <c r="AC131" s="1" t="str">
        <f>IFERROR(__xludf.DUMMYFUNCTION("""COMPUTED_VALUE"""),"что")</f>
        <v>что</v>
      </c>
    </row>
    <row r="132" ht="14.25" customHeight="1">
      <c r="A132" s="1" t="s">
        <v>1201</v>
      </c>
      <c r="B132" s="1" t="s">
        <v>1202</v>
      </c>
      <c r="C132" s="2" t="s">
        <v>1203</v>
      </c>
      <c r="D132" s="7" t="s">
        <v>1204</v>
      </c>
      <c r="E132" s="1" t="s">
        <v>197</v>
      </c>
      <c r="F132" s="4" t="s">
        <v>1205</v>
      </c>
      <c r="G132" s="4" t="s">
        <v>1204</v>
      </c>
      <c r="H132" s="8" t="s">
        <v>1206</v>
      </c>
      <c r="I132" s="4" t="s">
        <v>1207</v>
      </c>
      <c r="J132" s="1" t="s">
        <v>1208</v>
      </c>
      <c r="K132" s="1" t="s">
        <v>1196</v>
      </c>
      <c r="L132" s="1" t="s">
        <v>1209</v>
      </c>
      <c r="M132" s="1" t="s">
        <v>763</v>
      </c>
      <c r="N132" s="1" t="s">
        <v>139</v>
      </c>
      <c r="O132" s="1" t="s">
        <v>284</v>
      </c>
      <c r="Q132" s="1" t="s">
        <v>1210</v>
      </c>
      <c r="R132" s="1" t="s">
        <v>829</v>
      </c>
      <c r="S132" s="1" t="s">
        <v>272</v>
      </c>
      <c r="T132" s="1" t="s">
        <v>36</v>
      </c>
      <c r="U132" s="4" t="s">
        <v>1211</v>
      </c>
      <c r="X132" s="1" t="str">
        <f>IFERROR(__xludf.DUMMYFUNCTION("split(F132,"" ,:;.?!"")"),"прислуге")</f>
        <v>прислуге</v>
      </c>
      <c r="Y132" s="1" t="str">
        <f>IFERROR(__xludf.DUMMYFUNCTION("""COMPUTED_VALUE"""),"с")</f>
        <v>с</v>
      </c>
      <c r="Z132" s="1" t="str">
        <f>IFERROR(__xludf.DUMMYFUNCTION("""COMPUTED_VALUE"""),"которой")</f>
        <v>которой</v>
      </c>
      <c r="AA132" s="1" t="str">
        <f>IFERROR(__xludf.DUMMYFUNCTION("""COMPUTED_VALUE"""),"Вы")</f>
        <v>Вы</v>
      </c>
      <c r="AB132" s="1" t="str">
        <f>IFERROR(__xludf.DUMMYFUNCTION("""COMPUTED_VALUE"""),"говорите")</f>
        <v>говорите</v>
      </c>
    </row>
    <row r="133" ht="14.25" customHeight="1">
      <c r="A133" s="1" t="s">
        <v>1212</v>
      </c>
      <c r="B133" s="1" t="s">
        <v>719</v>
      </c>
      <c r="C133" s="2" t="s">
        <v>1213</v>
      </c>
      <c r="D133" s="7" t="s">
        <v>721</v>
      </c>
      <c r="E133" s="1" t="s">
        <v>25</v>
      </c>
      <c r="F133" s="4" t="s">
        <v>1214</v>
      </c>
      <c r="G133" s="4" t="s">
        <v>721</v>
      </c>
      <c r="H133" s="8" t="s">
        <v>1215</v>
      </c>
      <c r="I133" s="4" t="s">
        <v>1216</v>
      </c>
      <c r="J133" s="1" t="s">
        <v>1217</v>
      </c>
      <c r="K133" s="1" t="s">
        <v>1218</v>
      </c>
      <c r="L133" s="1" t="s">
        <v>1219</v>
      </c>
      <c r="M133" s="1" t="s">
        <v>1220</v>
      </c>
      <c r="N133" s="1" t="s">
        <v>51</v>
      </c>
      <c r="O133" s="1" t="s">
        <v>270</v>
      </c>
      <c r="Q133" s="1" t="s">
        <v>1221</v>
      </c>
      <c r="R133" s="1" t="s">
        <v>796</v>
      </c>
      <c r="S133" s="1" t="s">
        <v>272</v>
      </c>
      <c r="T133" s="1" t="s">
        <v>36</v>
      </c>
      <c r="U133" s="4" t="s">
        <v>1222</v>
      </c>
      <c r="X133" s="1" t="str">
        <f>IFERROR(__xludf.DUMMYFUNCTION("split(F133,"" ,:;.?!"")"),"Льву")</f>
        <v>Льву</v>
      </c>
      <c r="Y133" s="1" t="str">
        <f>IFERROR(__xludf.DUMMYFUNCTION("""COMPUTED_VALUE"""),"Николаевичу")</f>
        <v>Николаевичу</v>
      </c>
      <c r="Z133" s="1" t="str">
        <f>IFERROR(__xludf.DUMMYFUNCTION("""COMPUTED_VALUE"""),"побеседовать")</f>
        <v>побеседовать</v>
      </c>
    </row>
    <row r="134" ht="14.25" customHeight="1">
      <c r="A134" s="1" t="s">
        <v>1223</v>
      </c>
      <c r="B134" s="1" t="s">
        <v>131</v>
      </c>
      <c r="C134" s="2" t="s">
        <v>1224</v>
      </c>
      <c r="D134" s="7" t="s">
        <v>133</v>
      </c>
      <c r="E134" s="1" t="s">
        <v>25</v>
      </c>
      <c r="F134" s="4" t="s">
        <v>1225</v>
      </c>
      <c r="G134" s="4" t="s">
        <v>133</v>
      </c>
      <c r="H134" s="8" t="s">
        <v>1226</v>
      </c>
      <c r="I134" s="4" t="s">
        <v>1227</v>
      </c>
      <c r="J134" s="1" t="s">
        <v>1228</v>
      </c>
      <c r="K134" s="1" t="s">
        <v>1229</v>
      </c>
      <c r="L134" s="1" t="s">
        <v>1230</v>
      </c>
      <c r="M134" s="1" t="s">
        <v>911</v>
      </c>
      <c r="N134" s="1" t="s">
        <v>139</v>
      </c>
      <c r="O134" s="1" t="s">
        <v>457</v>
      </c>
      <c r="Q134" s="1" t="s">
        <v>1231</v>
      </c>
      <c r="R134" s="1" t="s">
        <v>1232</v>
      </c>
      <c r="S134" s="1" t="s">
        <v>272</v>
      </c>
      <c r="T134" s="1" t="s">
        <v>36</v>
      </c>
      <c r="U134" s="4" t="s">
        <v>1233</v>
      </c>
      <c r="X134" s="1" t="str">
        <f>IFERROR(__xludf.DUMMYFUNCTION("split(F134,"" ,:;.?!"")"),"водке")</f>
        <v>водке</v>
      </c>
      <c r="Y134" s="1" t="str">
        <f>IFERROR(__xludf.DUMMYFUNCTION("""COMPUTED_VALUE"""),"смеялся")</f>
        <v>смеялся</v>
      </c>
      <c r="Z134" s="1" t="str">
        <f>IFERROR(__xludf.DUMMYFUNCTION("""COMPUTED_VALUE"""),"пил")</f>
        <v>пил</v>
      </c>
      <c r="AA134" s="1" t="str">
        <f>IFERROR(__xludf.DUMMYFUNCTION("""COMPUTED_VALUE"""),"закусывал")</f>
        <v>закусывал</v>
      </c>
      <c r="AB134" s="1" t="str">
        <f>IFERROR(__xludf.DUMMYFUNCTION("""COMPUTED_VALUE"""),"селёдкой")</f>
        <v>селёдкой</v>
      </c>
      <c r="AC134" s="1" t="str">
        <f>IFERROR(__xludf.DUMMYFUNCTION("""COMPUTED_VALUE"""),"неприятной")</f>
        <v>неприятной</v>
      </c>
    </row>
    <row r="135" ht="14.25" customHeight="1">
      <c r="A135" s="1" t="s">
        <v>1234</v>
      </c>
      <c r="B135" s="1" t="s">
        <v>345</v>
      </c>
      <c r="C135" s="2" t="s">
        <v>1235</v>
      </c>
      <c r="D135" s="7" t="s">
        <v>347</v>
      </c>
      <c r="E135" s="1" t="s">
        <v>25</v>
      </c>
      <c r="F135" s="4" t="s">
        <v>1236</v>
      </c>
      <c r="G135" s="4" t="s">
        <v>347</v>
      </c>
      <c r="H135" s="8" t="s">
        <v>574</v>
      </c>
      <c r="I135" s="4" t="s">
        <v>1237</v>
      </c>
      <c r="J135" s="1" t="s">
        <v>1238</v>
      </c>
      <c r="K135" s="1" t="s">
        <v>1239</v>
      </c>
      <c r="L135" s="1" t="s">
        <v>1240</v>
      </c>
      <c r="M135" s="1" t="s">
        <v>1241</v>
      </c>
      <c r="N135" s="1" t="s">
        <v>139</v>
      </c>
      <c r="O135" s="1" t="s">
        <v>457</v>
      </c>
      <c r="Q135" s="1" t="s">
        <v>1242</v>
      </c>
      <c r="R135" s="1" t="s">
        <v>1243</v>
      </c>
      <c r="S135" s="1" t="s">
        <v>272</v>
      </c>
      <c r="T135" s="1" t="s">
        <v>36</v>
      </c>
      <c r="U135" s="4" t="s">
        <v>1244</v>
      </c>
      <c r="X135" s="1" t="str">
        <f>IFERROR(__xludf.DUMMYFUNCTION("split(F135,"" ,:;.?!"")"),"случаю")</f>
        <v>случаю</v>
      </c>
      <c r="Y135" s="1" t="str">
        <f>IFERROR(__xludf.DUMMYFUNCTION("""COMPUTED_VALUE"""),"и")</f>
        <v>и</v>
      </c>
      <c r="Z135" s="1" t="str">
        <f>IFERROR(__xludf.DUMMYFUNCTION("""COMPUTED_VALUE"""),"бросились")</f>
        <v>бросились</v>
      </c>
      <c r="AA135" s="1" t="str">
        <f>IFERROR(__xludf.DUMMYFUNCTION("""COMPUTED_VALUE"""),"за")</f>
        <v>за</v>
      </c>
      <c r="AB135" s="1" t="str">
        <f>IFERROR(__xludf.DUMMYFUNCTION("""COMPUTED_VALUE"""),"ним")</f>
        <v>ним</v>
      </c>
      <c r="AC135" s="1" t="str">
        <f>IFERROR(__xludf.DUMMYFUNCTION("""COMPUTED_VALUE"""),"с")</f>
        <v>с</v>
      </c>
    </row>
    <row r="136" ht="14.25" customHeight="1">
      <c r="A136" s="1" t="s">
        <v>1245</v>
      </c>
      <c r="B136" s="1" t="s">
        <v>556</v>
      </c>
      <c r="C136" s="2" t="s">
        <v>1246</v>
      </c>
      <c r="D136" s="7" t="s">
        <v>558</v>
      </c>
      <c r="E136" s="1" t="s">
        <v>25</v>
      </c>
      <c r="F136" s="4" t="s">
        <v>1247</v>
      </c>
      <c r="G136" s="4" t="s">
        <v>558</v>
      </c>
      <c r="H136" s="8" t="s">
        <v>1034</v>
      </c>
      <c r="I136" s="4" t="s">
        <v>1248</v>
      </c>
      <c r="J136" s="1" t="s">
        <v>1249</v>
      </c>
      <c r="K136" s="1" t="s">
        <v>1250</v>
      </c>
      <c r="L136" s="1" t="s">
        <v>1251</v>
      </c>
      <c r="M136" s="1" t="s">
        <v>1123</v>
      </c>
      <c r="N136" s="1" t="s">
        <v>139</v>
      </c>
      <c r="O136" s="1" t="s">
        <v>457</v>
      </c>
      <c r="Q136" s="1" t="s">
        <v>1252</v>
      </c>
      <c r="R136" s="1" t="s">
        <v>1253</v>
      </c>
      <c r="S136" s="1" t="s">
        <v>272</v>
      </c>
      <c r="T136" s="1" t="s">
        <v>36</v>
      </c>
      <c r="U136" s="4" t="s">
        <v>1254</v>
      </c>
      <c r="X136" s="1" t="str">
        <f>IFERROR(__xludf.DUMMYFUNCTION("split(F136,"" ,:;.?!"")"),"предлогу")</f>
        <v>предлогу</v>
      </c>
      <c r="Y136" s="1" t="str">
        <f>IFERROR(__xludf.DUMMYFUNCTION("""COMPUTED_VALUE"""),"что")</f>
        <v>что</v>
      </c>
      <c r="Z136" s="1" t="str">
        <f>IFERROR(__xludf.DUMMYFUNCTION("""COMPUTED_VALUE"""),"ворвалась")</f>
        <v>ворвалась</v>
      </c>
      <c r="AA136" s="1" t="str">
        <f>IFERROR(__xludf.DUMMYFUNCTION("""COMPUTED_VALUE"""),"ко")</f>
        <v>ко</v>
      </c>
      <c r="AB136" s="1" t="str">
        <f>IFERROR(__xludf.DUMMYFUNCTION("""COMPUTED_VALUE"""),"мне")</f>
        <v>мне</v>
      </c>
      <c r="AC136" s="1" t="str">
        <f>IFERROR(__xludf.DUMMYFUNCTION("""COMPUTED_VALUE"""),"в")</f>
        <v>в</v>
      </c>
    </row>
    <row r="137" ht="14.25" customHeight="1">
      <c r="A137" s="1" t="s">
        <v>1255</v>
      </c>
      <c r="B137" s="1" t="s">
        <v>131</v>
      </c>
      <c r="C137" s="2" t="s">
        <v>1256</v>
      </c>
      <c r="D137" s="7" t="s">
        <v>133</v>
      </c>
      <c r="E137" s="1" t="s">
        <v>25</v>
      </c>
      <c r="F137" s="4" t="s">
        <v>1257</v>
      </c>
      <c r="G137" s="4" t="s">
        <v>133</v>
      </c>
      <c r="H137" s="8" t="s">
        <v>349</v>
      </c>
      <c r="I137" s="4" t="s">
        <v>1258</v>
      </c>
      <c r="J137" s="1" t="s">
        <v>1259</v>
      </c>
      <c r="K137" s="1" t="s">
        <v>1260</v>
      </c>
      <c r="L137" s="1" t="s">
        <v>1261</v>
      </c>
      <c r="M137" s="1" t="s">
        <v>1262</v>
      </c>
      <c r="N137" s="1" t="s">
        <v>139</v>
      </c>
      <c r="O137" s="1" t="s">
        <v>457</v>
      </c>
      <c r="Q137" s="1" t="s">
        <v>1263</v>
      </c>
      <c r="R137" s="1" t="s">
        <v>693</v>
      </c>
      <c r="S137" s="1" t="s">
        <v>272</v>
      </c>
      <c r="T137" s="1" t="s">
        <v>36</v>
      </c>
      <c r="U137" s="4" t="s">
        <v>1264</v>
      </c>
      <c r="X137" s="1" t="str">
        <f>IFERROR(__xludf.DUMMYFUNCTION("split(F137,"" ,:;.?!"")"),"предложению")</f>
        <v>предложению</v>
      </c>
      <c r="Y137" s="1" t="str">
        <f>IFERROR(__xludf.DUMMYFUNCTION("""COMPUTED_VALUE"""),"Галанца")</f>
        <v>Галанца</v>
      </c>
      <c r="Z137" s="1" t="str">
        <f>IFERROR(__xludf.DUMMYFUNCTION("""COMPUTED_VALUE"""),"и")</f>
        <v>и</v>
      </c>
      <c r="AA137" s="1" t="str">
        <f>IFERROR(__xludf.DUMMYFUNCTION("""COMPUTED_VALUE"""),"сейчас")</f>
        <v>сейчас</v>
      </c>
      <c r="AB137" s="1" t="str">
        <f>IFERROR(__xludf.DUMMYFUNCTION("""COMPUTED_VALUE"""),"же")</f>
        <v>же</v>
      </c>
      <c r="AC137" s="1" t="str">
        <f>IFERROR(__xludf.DUMMYFUNCTION("""COMPUTED_VALUE"""),"улёгся")</f>
        <v>улёгся</v>
      </c>
    </row>
    <row r="138" ht="14.25" customHeight="1">
      <c r="A138" s="1" t="s">
        <v>1265</v>
      </c>
      <c r="B138" s="1" t="s">
        <v>921</v>
      </c>
      <c r="C138" s="2" t="s">
        <v>1266</v>
      </c>
      <c r="D138" s="7" t="s">
        <v>923</v>
      </c>
      <c r="E138" s="1" t="s">
        <v>25</v>
      </c>
      <c r="F138" s="4" t="s">
        <v>1267</v>
      </c>
      <c r="G138" s="4" t="s">
        <v>923</v>
      </c>
      <c r="H138" s="8" t="s">
        <v>1268</v>
      </c>
      <c r="I138" s="4" t="s">
        <v>1258</v>
      </c>
      <c r="J138" s="1" t="s">
        <v>1259</v>
      </c>
      <c r="K138" s="1" t="s">
        <v>1260</v>
      </c>
      <c r="L138" s="1" t="s">
        <v>1261</v>
      </c>
      <c r="M138" s="1" t="s">
        <v>1262</v>
      </c>
      <c r="N138" s="1" t="s">
        <v>139</v>
      </c>
      <c r="O138" s="1" t="s">
        <v>457</v>
      </c>
      <c r="Q138" s="1" t="s">
        <v>1263</v>
      </c>
      <c r="R138" s="1" t="s">
        <v>693</v>
      </c>
      <c r="S138" s="1" t="s">
        <v>272</v>
      </c>
      <c r="T138" s="1" t="s">
        <v>36</v>
      </c>
      <c r="U138" s="4" t="s">
        <v>1269</v>
      </c>
      <c r="X138" s="1" t="str">
        <f>IFERROR(__xludf.DUMMYFUNCTION("split(F138,"" ,:;.?!"")"),"полиции")</f>
        <v>полиции</v>
      </c>
      <c r="Y138" s="1" t="str">
        <f>IFERROR(__xludf.DUMMYFUNCTION("""COMPUTED_VALUE"""),"объявлять")</f>
        <v>объявлять</v>
      </c>
      <c r="Z138" s="1" t="str">
        <f>IFERROR(__xludf.DUMMYFUNCTION("""COMPUTED_VALUE"""),"ну")</f>
        <v>ну</v>
      </c>
      <c r="AA138" s="1" t="str">
        <f>IFERROR(__xludf.DUMMYFUNCTION("""COMPUTED_VALUE"""),"а")</f>
        <v>а</v>
      </c>
      <c r="AB138" s="1" t="str">
        <f>IFERROR(__xludf.DUMMYFUNCTION("""COMPUTED_VALUE"""),"они")</f>
        <v>они</v>
      </c>
      <c r="AC138" s="1" t="str">
        <f>IFERROR(__xludf.DUMMYFUNCTION("""COMPUTED_VALUE"""),"в")</f>
        <v>в</v>
      </c>
    </row>
    <row r="139" ht="14.25" customHeight="1">
      <c r="A139" s="1" t="s">
        <v>1270</v>
      </c>
      <c r="B139" s="1" t="s">
        <v>1271</v>
      </c>
      <c r="C139" s="2" t="s">
        <v>1272</v>
      </c>
      <c r="D139" s="7" t="s">
        <v>1273</v>
      </c>
      <c r="E139" s="1" t="s">
        <v>25</v>
      </c>
      <c r="F139" s="4" t="s">
        <v>1274</v>
      </c>
      <c r="G139" s="4" t="s">
        <v>1273</v>
      </c>
      <c r="H139" s="8" t="s">
        <v>1275</v>
      </c>
      <c r="I139" s="4" t="s">
        <v>1276</v>
      </c>
      <c r="J139" s="1" t="s">
        <v>1277</v>
      </c>
      <c r="K139" s="1" t="s">
        <v>1278</v>
      </c>
      <c r="L139" s="1" t="s">
        <v>1279</v>
      </c>
      <c r="M139" s="1" t="s">
        <v>1280</v>
      </c>
      <c r="N139" s="1" t="s">
        <v>51</v>
      </c>
      <c r="O139" s="1" t="s">
        <v>1281</v>
      </c>
      <c r="P139" s="1" t="s">
        <v>81</v>
      </c>
      <c r="Q139" s="1" t="s">
        <v>1282</v>
      </c>
      <c r="R139" s="1" t="s">
        <v>363</v>
      </c>
      <c r="S139" s="1" t="s">
        <v>272</v>
      </c>
      <c r="T139" s="1" t="s">
        <v>36</v>
      </c>
      <c r="U139" s="4" t="s">
        <v>1283</v>
      </c>
      <c r="X139" s="1" t="str">
        <f>IFERROR(__xludf.DUMMYFUNCTION("split(F139,"" ,:;.?!"")"),"внукам")</f>
        <v>внукам</v>
      </c>
      <c r="Y139" s="1" t="str">
        <f>IFERROR(__xludf.DUMMYFUNCTION("""COMPUTED_VALUE"""),"лаская")</f>
        <v>лаская</v>
      </c>
      <c r="Z139" s="1" t="str">
        <f>IFERROR(__xludf.DUMMYFUNCTION("""COMPUTED_VALUE"""),"их")</f>
        <v>их</v>
      </c>
      <c r="AA139" s="1" t="str">
        <f>IFERROR(__xludf.DUMMYFUNCTION("""COMPUTED_VALUE"""),"полумертвой")</f>
        <v>полумертвой</v>
      </c>
      <c r="AB139" s="1" t="str">
        <f>IFERROR(__xludf.DUMMYFUNCTION("""COMPUTED_VALUE"""),"рукой")</f>
        <v>рукой</v>
      </c>
      <c r="AC139" s="1" t="str">
        <f>IFERROR(__xludf.DUMMYFUNCTION("""COMPUTED_VALUE"""),"говаривал")</f>
        <v>говаривал</v>
      </c>
    </row>
    <row r="140" ht="14.25" customHeight="1">
      <c r="A140" s="1" t="s">
        <v>1284</v>
      </c>
      <c r="B140" s="1" t="s">
        <v>1285</v>
      </c>
      <c r="C140" s="2" t="s">
        <v>1286</v>
      </c>
      <c r="D140" s="7" t="s">
        <v>1287</v>
      </c>
      <c r="E140" s="1" t="s">
        <v>197</v>
      </c>
      <c r="F140" s="4" t="s">
        <v>1288</v>
      </c>
      <c r="G140" s="4" t="s">
        <v>1287</v>
      </c>
      <c r="H140" s="8" t="s">
        <v>472</v>
      </c>
      <c r="I140" s="4" t="s">
        <v>1289</v>
      </c>
      <c r="J140" s="1" t="s">
        <v>1290</v>
      </c>
      <c r="K140" s="1" t="s">
        <v>1291</v>
      </c>
      <c r="L140" s="1" t="s">
        <v>1292</v>
      </c>
      <c r="M140" s="1" t="s">
        <v>1239</v>
      </c>
      <c r="N140" s="1" t="s">
        <v>139</v>
      </c>
      <c r="O140" s="1" t="s">
        <v>1293</v>
      </c>
      <c r="Q140" s="1" t="s">
        <v>1294</v>
      </c>
      <c r="R140" s="1" t="s">
        <v>1295</v>
      </c>
      <c r="S140" s="1" t="s">
        <v>272</v>
      </c>
      <c r="T140" s="1" t="s">
        <v>36</v>
      </c>
      <c r="U140" s="4" t="s">
        <v>1296</v>
      </c>
      <c r="X140" s="1" t="str">
        <f>IFERROR(__xludf.DUMMYFUNCTION("split(F140,"" ,:;.?!"")"),"отцу")</f>
        <v>отцу</v>
      </c>
      <c r="Y140" s="1" t="str">
        <f>IFERROR(__xludf.DUMMYFUNCTION("""COMPUTED_VALUE"""),"с")</f>
        <v>с</v>
      </c>
      <c r="Z140" s="1" t="str">
        <f>IFERROR(__xludf.DUMMYFUNCTION("""COMPUTED_VALUE"""),"матерью")</f>
        <v>матерью</v>
      </c>
      <c r="AA140" s="1" t="str">
        <f>IFERROR(__xludf.DUMMYFUNCTION("""COMPUTED_VALUE"""),"и")</f>
        <v>и</v>
      </c>
      <c r="AB140" s="1" t="str">
        <f>IFERROR(__xludf.DUMMYFUNCTION("""COMPUTED_VALUE"""),"дела")</f>
        <v>дела</v>
      </c>
      <c r="AC140" s="1" t="str">
        <f>IFERROR(__xludf.DUMMYFUNCTION("""COMPUTED_VALUE"""),"нет")</f>
        <v>нет</v>
      </c>
    </row>
    <row r="141" ht="14.25" customHeight="1">
      <c r="A141" s="1" t="s">
        <v>1297</v>
      </c>
      <c r="B141" s="1" t="s">
        <v>1298</v>
      </c>
      <c r="C141" s="2" t="s">
        <v>1299</v>
      </c>
      <c r="D141" s="7" t="s">
        <v>1300</v>
      </c>
      <c r="E141" s="1" t="s">
        <v>25</v>
      </c>
      <c r="F141" s="4" t="s">
        <v>1301</v>
      </c>
      <c r="G141" s="4" t="s">
        <v>1300</v>
      </c>
      <c r="H141" s="8" t="s">
        <v>1302</v>
      </c>
      <c r="I141" s="4" t="s">
        <v>1289</v>
      </c>
      <c r="J141" s="1" t="s">
        <v>1290</v>
      </c>
      <c r="K141" s="1" t="s">
        <v>1291</v>
      </c>
      <c r="L141" s="1" t="s">
        <v>1292</v>
      </c>
      <c r="M141" s="1" t="s">
        <v>1239</v>
      </c>
      <c r="N141" s="1" t="s">
        <v>139</v>
      </c>
      <c r="O141" s="1" t="s">
        <v>1293</v>
      </c>
      <c r="Q141" s="1" t="s">
        <v>1294</v>
      </c>
      <c r="R141" s="1" t="s">
        <v>1295</v>
      </c>
      <c r="S141" s="1" t="s">
        <v>272</v>
      </c>
      <c r="T141" s="1" t="s">
        <v>36</v>
      </c>
      <c r="U141" s="4" t="s">
        <v>1303</v>
      </c>
      <c r="X141" s="1" t="str">
        <f>IFERROR(__xludf.DUMMYFUNCTION("split(F141,"" ,:;.?!"")"),"премудрости")</f>
        <v>премудрости</v>
      </c>
      <c r="Y141" s="1" t="str">
        <f>IFERROR(__xludf.DUMMYFUNCTION("""COMPUTED_VALUE"""),"""с")</f>
        <v>"с</v>
      </c>
      <c r="Z141" s="1" t="str">
        <f>IFERROR(__xludf.DUMMYFUNCTION("""COMPUTED_VALUE"""),"полночных")</f>
        <v>полночных</v>
      </c>
      <c r="AA141" s="1" t="str">
        <f>IFERROR(__xludf.DUMMYFUNCTION("""COMPUTED_VALUE"""),"стран")</f>
        <v>стран</v>
      </c>
      <c r="AB141" s="1" t="str">
        <f>IFERROR(__xludf.DUMMYFUNCTION("""COMPUTED_VALUE"""),"встаёт")</f>
        <v>встаёт</v>
      </c>
      <c r="AC141" s="1" t="str">
        <f>IFERROR(__xludf.DUMMYFUNCTION("""COMPUTED_VALUE"""),"заря")</f>
        <v>заря</v>
      </c>
    </row>
    <row r="142" ht="14.25" customHeight="1">
      <c r="A142" s="1" t="s">
        <v>1304</v>
      </c>
      <c r="B142" s="1" t="s">
        <v>1305</v>
      </c>
      <c r="C142" s="2" t="s">
        <v>1306</v>
      </c>
      <c r="D142" s="7" t="s">
        <v>1307</v>
      </c>
      <c r="E142" s="1" t="s">
        <v>25</v>
      </c>
      <c r="F142" s="4" t="s">
        <v>1308</v>
      </c>
      <c r="G142" s="4" t="s">
        <v>1307</v>
      </c>
      <c r="H142" s="8" t="s">
        <v>1309</v>
      </c>
      <c r="I142" s="4" t="s">
        <v>1289</v>
      </c>
      <c r="J142" s="1" t="s">
        <v>1290</v>
      </c>
      <c r="K142" s="1" t="s">
        <v>1291</v>
      </c>
      <c r="L142" s="1" t="s">
        <v>1292</v>
      </c>
      <c r="M142" s="1" t="s">
        <v>1239</v>
      </c>
      <c r="N142" s="1" t="s">
        <v>139</v>
      </c>
      <c r="O142" s="1" t="s">
        <v>1293</v>
      </c>
      <c r="Q142" s="1" t="s">
        <v>1294</v>
      </c>
      <c r="R142" s="1" t="s">
        <v>1295</v>
      </c>
      <c r="S142" s="1" t="s">
        <v>272</v>
      </c>
      <c r="T142" s="1" t="s">
        <v>36</v>
      </c>
      <c r="U142" s="4" t="s">
        <v>1310</v>
      </c>
      <c r="X142" s="1" t="str">
        <f>IFERROR(__xludf.DUMMYFUNCTION("split(F142,"" ,:;.?!"")"),"красоте-то")</f>
        <v>красоте-то</v>
      </c>
      <c r="Y142" s="1" t="str">
        <f>IFERROR(__xludf.DUMMYFUNCTION("""COMPUTED_VALUE"""),"своей")</f>
        <v>своей</v>
      </c>
    </row>
    <row r="143" ht="14.25" customHeight="1">
      <c r="A143" s="1" t="s">
        <v>1311</v>
      </c>
      <c r="B143" s="1" t="s">
        <v>1312</v>
      </c>
      <c r="C143" s="2" t="s">
        <v>1313</v>
      </c>
      <c r="D143" s="7" t="s">
        <v>1314</v>
      </c>
      <c r="E143" s="1" t="s">
        <v>25</v>
      </c>
      <c r="F143" s="4" t="s">
        <v>1315</v>
      </c>
      <c r="G143" s="4" t="s">
        <v>1314</v>
      </c>
      <c r="H143" s="8" t="s">
        <v>1316</v>
      </c>
      <c r="I143" s="4" t="s">
        <v>1317</v>
      </c>
      <c r="J143" s="1" t="s">
        <v>1318</v>
      </c>
      <c r="K143" s="1" t="s">
        <v>1319</v>
      </c>
      <c r="L143" s="1" t="s">
        <v>1320</v>
      </c>
      <c r="M143" s="1" t="s">
        <v>1321</v>
      </c>
      <c r="N143" s="1" t="s">
        <v>139</v>
      </c>
      <c r="O143" s="1" t="s">
        <v>284</v>
      </c>
      <c r="Q143" s="1" t="s">
        <v>1322</v>
      </c>
      <c r="R143" s="1" t="s">
        <v>732</v>
      </c>
      <c r="S143" s="1" t="s">
        <v>272</v>
      </c>
      <c r="T143" s="1" t="s">
        <v>36</v>
      </c>
      <c r="U143" s="4" t="s">
        <v>1323</v>
      </c>
      <c r="X143" s="1" t="str">
        <f>IFERROR(__xludf.DUMMYFUNCTION("split(F143,"" ,:;.?!"")"),"смышлёности")</f>
        <v>смышлёности</v>
      </c>
      <c r="Y143" s="1" t="str">
        <f>IFERROR(__xludf.DUMMYFUNCTION("""COMPUTED_VALUE"""),"местных")</f>
        <v>местных</v>
      </c>
      <c r="Z143" s="1" t="str">
        <f>IFERROR(__xludf.DUMMYFUNCTION("""COMPUTED_VALUE"""),"жителей")</f>
        <v>жителей</v>
      </c>
    </row>
    <row r="144" ht="14.25" customHeight="1">
      <c r="A144" s="1" t="s">
        <v>1324</v>
      </c>
      <c r="B144" s="1" t="s">
        <v>1325</v>
      </c>
      <c r="C144" s="2" t="s">
        <v>1326</v>
      </c>
      <c r="D144" s="7" t="s">
        <v>1327</v>
      </c>
      <c r="E144" s="1" t="s">
        <v>25</v>
      </c>
      <c r="F144" s="4" t="s">
        <v>1328</v>
      </c>
      <c r="G144" s="4" t="s">
        <v>1327</v>
      </c>
      <c r="H144" s="8" t="s">
        <v>1329</v>
      </c>
      <c r="I144" s="4" t="s">
        <v>1330</v>
      </c>
      <c r="J144" s="1" t="s">
        <v>1331</v>
      </c>
      <c r="K144" s="1" t="s">
        <v>1332</v>
      </c>
      <c r="L144" s="1" t="s">
        <v>1333</v>
      </c>
      <c r="M144" s="1" t="s">
        <v>1334</v>
      </c>
      <c r="N144" s="1" t="s">
        <v>51</v>
      </c>
      <c r="O144" s="1" t="s">
        <v>67</v>
      </c>
      <c r="P144" s="1" t="s">
        <v>53</v>
      </c>
      <c r="S144" s="1" t="s">
        <v>272</v>
      </c>
      <c r="T144" s="1" t="s">
        <v>36</v>
      </c>
      <c r="U144" s="4" t="s">
        <v>1335</v>
      </c>
      <c r="X144" s="1" t="str">
        <f>IFERROR(__xludf.DUMMYFUNCTION("split(F144,"" ,:;.?!"")"),"появлению")</f>
        <v>появлению</v>
      </c>
      <c r="Y144" s="1" t="str">
        <f>IFERROR(__xludf.DUMMYFUNCTION("""COMPUTED_VALUE"""),"таких")</f>
        <v>таких</v>
      </c>
      <c r="Z144" s="1" t="str">
        <f>IFERROR(__xludf.DUMMYFUNCTION("""COMPUTED_VALUE"""),"сочинений")</f>
        <v>сочинений</v>
      </c>
      <c r="AA144" s="1" t="str">
        <f>IFERROR(__xludf.DUMMYFUNCTION("""COMPUTED_VALUE"""),"как")</f>
        <v>как</v>
      </c>
      <c r="AB144" s="1" t="str">
        <f>IFERROR(__xludf.DUMMYFUNCTION("""COMPUTED_VALUE"""),"""Русские")</f>
        <v>"Русские</v>
      </c>
      <c r="AC144" s="1" t="str">
        <f>IFERROR(__xludf.DUMMYFUNCTION("""COMPUTED_VALUE"""),"в")</f>
        <v>в</v>
      </c>
    </row>
    <row r="145" ht="14.25" customHeight="1">
      <c r="A145" s="1" t="s">
        <v>1336</v>
      </c>
      <c r="B145" s="1" t="s">
        <v>1337</v>
      </c>
      <c r="C145" s="2" t="s">
        <v>1338</v>
      </c>
      <c r="D145" s="7" t="s">
        <v>1339</v>
      </c>
      <c r="E145" s="1" t="s">
        <v>25</v>
      </c>
      <c r="F145" s="4" t="s">
        <v>1340</v>
      </c>
      <c r="G145" s="4" t="s">
        <v>1339</v>
      </c>
      <c r="H145" s="8" t="s">
        <v>1341</v>
      </c>
      <c r="I145" s="4" t="s">
        <v>1342</v>
      </c>
      <c r="J145" s="1" t="s">
        <v>1318</v>
      </c>
      <c r="K145" s="1" t="s">
        <v>1319</v>
      </c>
      <c r="L145" s="1" t="s">
        <v>1343</v>
      </c>
      <c r="M145" s="1" t="s">
        <v>1344</v>
      </c>
      <c r="N145" s="1" t="s">
        <v>139</v>
      </c>
      <c r="O145" s="1" t="s">
        <v>457</v>
      </c>
      <c r="Q145" s="1" t="s">
        <v>1345</v>
      </c>
      <c r="R145" s="1" t="s">
        <v>365</v>
      </c>
      <c r="S145" s="1" t="s">
        <v>272</v>
      </c>
      <c r="T145" s="1" t="s">
        <v>36</v>
      </c>
      <c r="U145" s="4" t="s">
        <v>1346</v>
      </c>
      <c r="X145" s="1" t="str">
        <f>IFERROR(__xludf.DUMMYFUNCTION("split(F145,"" ,:;.?!"")"),"чертам")</f>
        <v>чертам</v>
      </c>
    </row>
    <row r="146" ht="14.25" customHeight="1">
      <c r="A146" s="1" t="s">
        <v>1347</v>
      </c>
      <c r="B146" s="1" t="s">
        <v>1348</v>
      </c>
      <c r="C146" s="2" t="s">
        <v>1349</v>
      </c>
      <c r="D146" s="7" t="s">
        <v>1350</v>
      </c>
      <c r="E146" s="1" t="s">
        <v>25</v>
      </c>
      <c r="F146" s="4" t="s">
        <v>1351</v>
      </c>
      <c r="G146" s="4" t="s">
        <v>1350</v>
      </c>
      <c r="H146" s="8" t="s">
        <v>1352</v>
      </c>
      <c r="I146" s="4" t="s">
        <v>1353</v>
      </c>
      <c r="J146" s="1" t="s">
        <v>1354</v>
      </c>
      <c r="K146" s="1" t="s">
        <v>1355</v>
      </c>
      <c r="L146" s="1" t="s">
        <v>1356</v>
      </c>
      <c r="M146" s="1" t="s">
        <v>1357</v>
      </c>
      <c r="N146" s="1" t="s">
        <v>139</v>
      </c>
      <c r="O146" s="1" t="s">
        <v>284</v>
      </c>
      <c r="Q146" s="1" t="s">
        <v>1358</v>
      </c>
      <c r="R146" s="1" t="s">
        <v>1359</v>
      </c>
      <c r="S146" s="1" t="s">
        <v>272</v>
      </c>
      <c r="T146" s="1" t="s">
        <v>36</v>
      </c>
      <c r="U146" s="4" t="s">
        <v>1360</v>
      </c>
      <c r="X146" s="1" t="str">
        <f>IFERROR(__xludf.DUMMYFUNCTION("split(F146,"" ,:;.?!"")"),"опыту")</f>
        <v>опыту</v>
      </c>
      <c r="Y146" s="1" t="str">
        <f>IFERROR(__xludf.DUMMYFUNCTION("""COMPUTED_VALUE"""),"других")</f>
        <v>других</v>
      </c>
    </row>
    <row r="147" ht="14.25" customHeight="1">
      <c r="A147" s="1" t="s">
        <v>1361</v>
      </c>
      <c r="B147" s="1" t="s">
        <v>1362</v>
      </c>
      <c r="C147" s="2" t="s">
        <v>1363</v>
      </c>
      <c r="D147" s="7" t="s">
        <v>1364</v>
      </c>
      <c r="E147" s="1" t="s">
        <v>25</v>
      </c>
      <c r="F147" s="4" t="s">
        <v>1365</v>
      </c>
      <c r="G147" s="4" t="s">
        <v>1364</v>
      </c>
      <c r="H147" s="8" t="s">
        <v>1366</v>
      </c>
      <c r="I147" s="4" t="s">
        <v>1367</v>
      </c>
      <c r="J147" s="1" t="s">
        <v>1368</v>
      </c>
      <c r="K147" s="1" t="s">
        <v>1369</v>
      </c>
      <c r="L147" s="1" t="s">
        <v>1370</v>
      </c>
      <c r="M147" s="1" t="s">
        <v>1371</v>
      </c>
      <c r="N147" s="1" t="s">
        <v>51</v>
      </c>
      <c r="O147" s="1" t="s">
        <v>1372</v>
      </c>
      <c r="P147" s="1" t="s">
        <v>1373</v>
      </c>
      <c r="Q147" s="1" t="s">
        <v>1374</v>
      </c>
      <c r="R147" s="1" t="s">
        <v>1375</v>
      </c>
      <c r="S147" s="1" t="s">
        <v>272</v>
      </c>
      <c r="T147" s="1" t="s">
        <v>36</v>
      </c>
      <c r="U147" s="4" t="s">
        <v>1376</v>
      </c>
      <c r="X147" s="1" t="str">
        <f>IFERROR(__xludf.DUMMYFUNCTION("split(F147,"" ,:;.?!"")"),"людям")</f>
        <v>людям</v>
      </c>
      <c r="Y147" s="1" t="str">
        <f>IFERROR(__xludf.DUMMYFUNCTION("""COMPUTED_VALUE"""),"которые")</f>
        <v>которые</v>
      </c>
      <c r="Z147" s="1" t="str">
        <f>IFERROR(__xludf.DUMMYFUNCTION("""COMPUTED_VALUE"""),"не")</f>
        <v>не</v>
      </c>
      <c r="AA147" s="1" t="str">
        <f>IFERROR(__xludf.DUMMYFUNCTION("""COMPUTED_VALUE"""),"готовятся")</f>
        <v>готовятся</v>
      </c>
      <c r="AB147" s="1" t="str">
        <f>IFERROR(__xludf.DUMMYFUNCTION("""COMPUTED_VALUE"""),"быть")</f>
        <v>быть</v>
      </c>
      <c r="AC147" s="1" t="str">
        <f>IFERROR(__xludf.DUMMYFUNCTION("""COMPUTED_VALUE"""),"ораторами")</f>
        <v>ораторами</v>
      </c>
    </row>
    <row r="148" ht="14.25" customHeight="1">
      <c r="A148" s="1" t="s">
        <v>1377</v>
      </c>
      <c r="B148" s="1" t="s">
        <v>1090</v>
      </c>
      <c r="C148" s="2" t="s">
        <v>1378</v>
      </c>
      <c r="D148" s="7" t="s">
        <v>1092</v>
      </c>
      <c r="E148" s="1" t="s">
        <v>25</v>
      </c>
      <c r="F148" s="4" t="s">
        <v>1379</v>
      </c>
      <c r="G148" s="4" t="s">
        <v>1092</v>
      </c>
      <c r="H148" s="8" t="s">
        <v>574</v>
      </c>
      <c r="I148" s="4" t="s">
        <v>1380</v>
      </c>
      <c r="J148" s="1" t="s">
        <v>1381</v>
      </c>
      <c r="K148" s="1" t="s">
        <v>1382</v>
      </c>
      <c r="L148" s="1" t="s">
        <v>1383</v>
      </c>
      <c r="M148" s="1" t="s">
        <v>1384</v>
      </c>
      <c r="N148" s="1" t="s">
        <v>139</v>
      </c>
      <c r="O148" s="1" t="s">
        <v>284</v>
      </c>
      <c r="Q148" s="1" t="s">
        <v>1385</v>
      </c>
      <c r="R148" s="1" t="s">
        <v>1386</v>
      </c>
      <c r="S148" s="1" t="s">
        <v>272</v>
      </c>
      <c r="T148" s="1" t="s">
        <v>36</v>
      </c>
      <c r="U148" s="4" t="s">
        <v>1387</v>
      </c>
      <c r="X148" s="1" t="str">
        <f>IFERROR(__xludf.DUMMYFUNCTION("split(F148,"" ,:;.?!"")"),"случаю")</f>
        <v>случаю</v>
      </c>
      <c r="Y148" s="1" t="str">
        <f>IFERROR(__xludf.DUMMYFUNCTION("""COMPUTED_VALUE"""),"выдать")</f>
        <v>выдать</v>
      </c>
      <c r="Z148" s="1" t="str">
        <f>IFERROR(__xludf.DUMMYFUNCTION("""COMPUTED_VALUE"""),"свою")</f>
        <v>свою</v>
      </c>
      <c r="AA148" s="1" t="str">
        <f>IFERROR(__xludf.DUMMYFUNCTION("""COMPUTED_VALUE"""),"дочь")</f>
        <v>дочь</v>
      </c>
      <c r="AB148" s="1" t="str">
        <f>IFERROR(__xludf.DUMMYFUNCTION("""COMPUTED_VALUE"""),"выгодным")</f>
        <v>выгодным</v>
      </c>
      <c r="AC148" s="1" t="str">
        <f>IFERROR(__xludf.DUMMYFUNCTION("""COMPUTED_VALUE"""),"образом")</f>
        <v>образом</v>
      </c>
    </row>
    <row r="149" ht="14.25" customHeight="1">
      <c r="A149" s="1" t="s">
        <v>1388</v>
      </c>
      <c r="B149" s="1" t="s">
        <v>1389</v>
      </c>
      <c r="C149" s="2" t="s">
        <v>1390</v>
      </c>
      <c r="D149" s="7" t="s">
        <v>1391</v>
      </c>
      <c r="E149" s="1" t="s">
        <v>25</v>
      </c>
      <c r="F149" s="4" t="s">
        <v>1392</v>
      </c>
      <c r="G149" s="4" t="s">
        <v>1391</v>
      </c>
      <c r="H149" s="8" t="s">
        <v>1393</v>
      </c>
      <c r="I149" s="4" t="s">
        <v>1394</v>
      </c>
      <c r="J149" s="1" t="s">
        <v>1381</v>
      </c>
      <c r="K149" s="1" t="s">
        <v>1382</v>
      </c>
      <c r="L149" s="1" t="s">
        <v>1395</v>
      </c>
      <c r="M149" s="1" t="s">
        <v>1396</v>
      </c>
      <c r="N149" s="1" t="s">
        <v>139</v>
      </c>
      <c r="O149" s="1" t="s">
        <v>366</v>
      </c>
      <c r="Q149" s="1" t="s">
        <v>1385</v>
      </c>
      <c r="R149" s="1" t="s">
        <v>1386</v>
      </c>
      <c r="S149" s="1" t="s">
        <v>272</v>
      </c>
      <c r="T149" s="1" t="s">
        <v>36</v>
      </c>
      <c r="U149" s="4" t="s">
        <v>1397</v>
      </c>
      <c r="X149" s="1" t="str">
        <f>IFERROR(__xludf.DUMMYFUNCTION("split(F149,"" ,:;.?!"")"),"исступлению")</f>
        <v>исступлению</v>
      </c>
      <c r="Y149" s="1" t="str">
        <f>IFERROR(__xludf.DUMMYFUNCTION("""COMPUTED_VALUE"""),"его")</f>
        <v>его</v>
      </c>
      <c r="Z149" s="1" t="str">
        <f>IFERROR(__xludf.DUMMYFUNCTION("""COMPUTED_VALUE"""),"страсти")</f>
        <v>страсти</v>
      </c>
      <c r="AA149" s="1" t="str">
        <f>IFERROR(__xludf.DUMMYFUNCTION("""COMPUTED_VALUE"""),"хотела")</f>
        <v>хотела</v>
      </c>
      <c r="AB149" s="1" t="str">
        <f>IFERROR(__xludf.DUMMYFUNCTION("""COMPUTED_VALUE"""),"противуставить")</f>
        <v>противуставить</v>
      </c>
      <c r="AC149" s="1" t="str">
        <f>IFERROR(__xludf.DUMMYFUNCTION("""COMPUTED_VALUE"""),"ей")</f>
        <v>ей</v>
      </c>
    </row>
    <row r="150" ht="14.25" customHeight="1">
      <c r="A150" s="1" t="s">
        <v>1398</v>
      </c>
      <c r="B150" s="1" t="s">
        <v>719</v>
      </c>
      <c r="C150" s="2" t="s">
        <v>1399</v>
      </c>
      <c r="D150" s="7" t="s">
        <v>721</v>
      </c>
      <c r="E150" s="1" t="s">
        <v>25</v>
      </c>
      <c r="F150" s="4" t="s">
        <v>1400</v>
      </c>
      <c r="G150" s="4" t="s">
        <v>721</v>
      </c>
      <c r="H150" s="8" t="s">
        <v>1401</v>
      </c>
      <c r="I150" s="4" t="s">
        <v>1402</v>
      </c>
      <c r="J150" s="1" t="s">
        <v>1403</v>
      </c>
      <c r="K150" s="1" t="s">
        <v>1404</v>
      </c>
      <c r="L150" s="1" t="s">
        <v>1405</v>
      </c>
      <c r="M150" s="1" t="s">
        <v>1406</v>
      </c>
      <c r="N150" s="1" t="s">
        <v>51</v>
      </c>
      <c r="O150" s="1" t="s">
        <v>270</v>
      </c>
      <c r="Q150" s="1" t="s">
        <v>1407</v>
      </c>
      <c r="R150" s="1" t="s">
        <v>517</v>
      </c>
      <c r="S150" s="1" t="s">
        <v>272</v>
      </c>
      <c r="T150" s="1" t="s">
        <v>36</v>
      </c>
      <c r="U150" s="4" t="s">
        <v>1408</v>
      </c>
      <c r="X150" s="1" t="str">
        <f>IFERROR(__xludf.DUMMYFUNCTION("split(F150,"" ,:;.?!"")"),"господину")</f>
        <v>господину</v>
      </c>
      <c r="Y150" s="1" t="str">
        <f>IFERROR(__xludf.DUMMYFUNCTION("""COMPUTED_VALUE"""),"Яковлеву")</f>
        <v>Яковлеву</v>
      </c>
      <c r="Z150" s="1" t="str">
        <f>IFERROR(__xludf.DUMMYFUNCTION("""COMPUTED_VALUE"""),"дать")</f>
        <v>дать</v>
      </c>
      <c r="AA150" s="1" t="str">
        <f>IFERROR(__xludf.DUMMYFUNCTION("""COMPUTED_VALUE"""),"мне")</f>
        <v>мне</v>
      </c>
      <c r="AB150" s="1" t="str">
        <f>IFERROR(__xludf.DUMMYFUNCTION("""COMPUTED_VALUE"""),"при")</f>
        <v>при</v>
      </c>
      <c r="AC150" s="1" t="str">
        <f>IFERROR(__xludf.DUMMYFUNCTION("""COMPUTED_VALUE"""),"отставке")</f>
        <v>отставке</v>
      </c>
    </row>
    <row r="151" ht="14.25" customHeight="1">
      <c r="A151" s="1" t="s">
        <v>25</v>
      </c>
      <c r="B151" s="1" t="s">
        <v>1409</v>
      </c>
      <c r="C151" s="2"/>
      <c r="D151" s="7" t="s">
        <v>1410</v>
      </c>
      <c r="E151" s="1" t="s">
        <v>25</v>
      </c>
      <c r="F151" s="4" t="s">
        <v>1411</v>
      </c>
      <c r="G151" s="4" t="s">
        <v>1410</v>
      </c>
      <c r="H151" s="8" t="s">
        <v>1412</v>
      </c>
      <c r="I151" s="4" t="s">
        <v>1413</v>
      </c>
      <c r="J151" s="1" t="s">
        <v>1414</v>
      </c>
      <c r="K151" s="1" t="s">
        <v>1415</v>
      </c>
      <c r="L151" s="1" t="s">
        <v>1416</v>
      </c>
      <c r="M151" s="1" t="s">
        <v>1417</v>
      </c>
      <c r="N151" s="1" t="s">
        <v>139</v>
      </c>
      <c r="O151" s="1" t="s">
        <v>284</v>
      </c>
      <c r="Q151" s="1" t="s">
        <v>1418</v>
      </c>
      <c r="R151" s="1" t="s">
        <v>691</v>
      </c>
      <c r="S151" s="1" t="s">
        <v>272</v>
      </c>
      <c r="T151" s="1" t="s">
        <v>36</v>
      </c>
      <c r="U151" s="4" t="s">
        <v>1419</v>
      </c>
      <c r="X151" s="1" t="str">
        <f>IFERROR(__xludf.DUMMYFUNCTION("split(F151,"" ,:;.?!"")"),"сновидению")</f>
        <v>сновидению</v>
      </c>
      <c r="Y151" s="1" t="str">
        <f>IFERROR(__xludf.DUMMYFUNCTION("""COMPUTED_VALUE"""),"своему")</f>
        <v>своему</v>
      </c>
      <c r="Z151" s="1" t="str">
        <f>IFERROR(__xludf.DUMMYFUNCTION("""COMPUTED_VALUE"""),"но")</f>
        <v>но</v>
      </c>
      <c r="AA151" s="1" t="str">
        <f>IFERROR(__xludf.DUMMYFUNCTION("""COMPUTED_VALUE"""),"ещё")</f>
        <v>ещё</v>
      </c>
      <c r="AB151" s="1" t="str">
        <f>IFERROR(__xludf.DUMMYFUNCTION("""COMPUTED_VALUE"""),"больше")</f>
        <v>больше</v>
      </c>
      <c r="AC151" s="1" t="str">
        <f>IFERROR(__xludf.DUMMYFUNCTION("""COMPUTED_VALUE"""),"дивится")</f>
        <v>дивится</v>
      </c>
    </row>
    <row r="152" ht="14.25" customHeight="1">
      <c r="A152" s="1" t="s">
        <v>1420</v>
      </c>
      <c r="B152" s="1" t="s">
        <v>1421</v>
      </c>
      <c r="C152" s="2" t="s">
        <v>1422</v>
      </c>
      <c r="D152" s="7" t="s">
        <v>1423</v>
      </c>
      <c r="E152" s="1" t="s">
        <v>25</v>
      </c>
      <c r="F152" s="4" t="s">
        <v>1424</v>
      </c>
      <c r="G152" s="4" t="s">
        <v>1423</v>
      </c>
      <c r="H152" s="8" t="s">
        <v>1425</v>
      </c>
      <c r="I152" s="4" t="s">
        <v>1426</v>
      </c>
      <c r="J152" s="1" t="s">
        <v>1414</v>
      </c>
      <c r="K152" s="1" t="s">
        <v>1415</v>
      </c>
      <c r="L152" s="1" t="s">
        <v>1427</v>
      </c>
      <c r="M152" s="1" t="s">
        <v>1428</v>
      </c>
      <c r="N152" s="1" t="s">
        <v>139</v>
      </c>
      <c r="O152" s="1" t="s">
        <v>1429</v>
      </c>
      <c r="Q152" s="1" t="s">
        <v>1418</v>
      </c>
      <c r="R152" s="1" t="s">
        <v>691</v>
      </c>
      <c r="S152" s="1" t="s">
        <v>272</v>
      </c>
      <c r="T152" s="1" t="s">
        <v>36</v>
      </c>
      <c r="U152" s="4" t="s">
        <v>1430</v>
      </c>
      <c r="X152" s="1" t="str">
        <f>IFERROR(__xludf.DUMMYFUNCTION("split(F152,"" ,:;.?!"")"),"великости")</f>
        <v>великости</v>
      </c>
      <c r="Y152" s="1" t="str">
        <f>IFERROR(__xludf.DUMMYFUNCTION("""COMPUTED_VALUE"""),"твоего")</f>
        <v>твоего</v>
      </c>
      <c r="Z152" s="1" t="str">
        <f>IFERROR(__xludf.DUMMYFUNCTION("""COMPUTED_VALUE"""),"духа")</f>
        <v>духа</v>
      </c>
      <c r="AA152" s="1" t="str">
        <f>IFERROR(__xludf.DUMMYFUNCTION("""COMPUTED_VALUE"""),"и")</f>
        <v>и</v>
      </c>
      <c r="AB152" s="1" t="str">
        <f>IFERROR(__xludf.DUMMYFUNCTION("""COMPUTED_VALUE"""),"разума")</f>
        <v>разума</v>
      </c>
      <c r="AC152" s="1" t="str">
        <f>IFERROR(__xludf.DUMMYFUNCTION("""COMPUTED_VALUE"""),"был")</f>
        <v>был</v>
      </c>
    </row>
    <row r="153" ht="14.25" customHeight="1">
      <c r="A153" s="1" t="s">
        <v>1431</v>
      </c>
      <c r="B153" s="1" t="s">
        <v>1432</v>
      </c>
      <c r="C153" s="2" t="s">
        <v>1433</v>
      </c>
      <c r="D153" s="7" t="s">
        <v>1434</v>
      </c>
      <c r="E153" s="1" t="s">
        <v>25</v>
      </c>
      <c r="F153" s="4" t="s">
        <v>1435</v>
      </c>
      <c r="G153" s="4" t="s">
        <v>1434</v>
      </c>
      <c r="H153" s="8" t="s">
        <v>1436</v>
      </c>
      <c r="I153" s="4" t="s">
        <v>1437</v>
      </c>
      <c r="J153" s="1" t="s">
        <v>1438</v>
      </c>
      <c r="K153" s="1" t="s">
        <v>1439</v>
      </c>
      <c r="L153" s="1" t="s">
        <v>1440</v>
      </c>
      <c r="M153" s="1" t="s">
        <v>1441</v>
      </c>
      <c r="N153" s="1" t="s">
        <v>139</v>
      </c>
      <c r="O153" s="1" t="s">
        <v>1293</v>
      </c>
      <c r="Q153" s="1" t="s">
        <v>1442</v>
      </c>
      <c r="R153" s="1" t="s">
        <v>202</v>
      </c>
      <c r="S153" s="1" t="s">
        <v>272</v>
      </c>
      <c r="T153" s="1" t="s">
        <v>36</v>
      </c>
      <c r="U153" s="4" t="s">
        <v>1443</v>
      </c>
      <c r="X153" s="1" t="str">
        <f>IFERROR(__xludf.DUMMYFUNCTION("split(F153,"" ,:;.?!"")"),"веселью")</f>
        <v>веселью</v>
      </c>
      <c r="Y153" s="1" t="str">
        <f>IFERROR(__xludf.DUMMYFUNCTION("""COMPUTED_VALUE"""),"госпожи")</f>
        <v>госпожи</v>
      </c>
      <c r="Z153" s="1" t="str">
        <f>IFERROR(__xludf.DUMMYFUNCTION("""COMPUTED_VALUE"""),"своей")</f>
        <v>своей</v>
      </c>
    </row>
    <row r="154" ht="14.25" customHeight="1">
      <c r="A154" s="1" t="s">
        <v>1444</v>
      </c>
      <c r="B154" s="1" t="s">
        <v>1445</v>
      </c>
      <c r="C154" s="2" t="s">
        <v>1446</v>
      </c>
      <c r="D154" s="7" t="s">
        <v>1447</v>
      </c>
      <c r="E154" s="1" t="s">
        <v>25</v>
      </c>
      <c r="F154" s="4" t="s">
        <v>1448</v>
      </c>
      <c r="G154" s="4" t="s">
        <v>1447</v>
      </c>
      <c r="H154" s="8" t="s">
        <v>1449</v>
      </c>
      <c r="I154" s="4" t="s">
        <v>1450</v>
      </c>
      <c r="J154" s="1" t="s">
        <v>1451</v>
      </c>
      <c r="K154" s="1" t="s">
        <v>796</v>
      </c>
      <c r="L154" s="1" t="s">
        <v>1452</v>
      </c>
      <c r="M154" s="1" t="s">
        <v>1453</v>
      </c>
      <c r="N154" s="1" t="s">
        <v>51</v>
      </c>
      <c r="O154" s="1" t="s">
        <v>67</v>
      </c>
      <c r="P154" s="1" t="s">
        <v>1454</v>
      </c>
      <c r="S154" s="1" t="s">
        <v>56</v>
      </c>
      <c r="T154" s="1" t="s">
        <v>1455</v>
      </c>
      <c r="U154" s="4" t="s">
        <v>1456</v>
      </c>
      <c r="X154" s="1" t="str">
        <f>IFERROR(__xludf.DUMMYFUNCTION("split(F154,"" ,:;.?!"")"),"словам")</f>
        <v>словам</v>
      </c>
      <c r="Y154" s="1" t="str">
        <f>IFERROR(__xludf.DUMMYFUNCTION("""COMPUTED_VALUE"""),"лукавого")</f>
        <v>лукавого</v>
      </c>
      <c r="Z154" s="1" t="str">
        <f>IFERROR(__xludf.DUMMYFUNCTION("""COMPUTED_VALUE"""),"сплетника")</f>
        <v>сплетника</v>
      </c>
      <c r="AA154" s="1" t="str">
        <f>IFERROR(__xludf.DUMMYFUNCTION("""COMPUTED_VALUE"""),"Иванова")</f>
        <v>Иванова</v>
      </c>
      <c r="AB154" s="1" t="str">
        <f>IFERROR(__xludf.DUMMYFUNCTION("""COMPUTED_VALUE"""),"не")</f>
        <v>не</v>
      </c>
      <c r="AC154" s="1" t="str">
        <f>IFERROR(__xludf.DUMMYFUNCTION("""COMPUTED_VALUE"""),"всегда")</f>
        <v>всегда</v>
      </c>
    </row>
    <row r="155" ht="14.25" customHeight="1">
      <c r="A155" s="1" t="s">
        <v>1457</v>
      </c>
      <c r="B155" s="1" t="s">
        <v>461</v>
      </c>
      <c r="C155" s="2" t="s">
        <v>1458</v>
      </c>
      <c r="D155" s="7" t="s">
        <v>463</v>
      </c>
      <c r="E155" s="1" t="s">
        <v>25</v>
      </c>
      <c r="F155" s="4" t="s">
        <v>1459</v>
      </c>
      <c r="G155" s="4" t="s">
        <v>463</v>
      </c>
      <c r="H155" s="8" t="s">
        <v>1460</v>
      </c>
      <c r="I155" s="4" t="s">
        <v>1461</v>
      </c>
      <c r="J155" s="1" t="s">
        <v>1462</v>
      </c>
      <c r="K155" s="1" t="s">
        <v>1463</v>
      </c>
      <c r="L155" s="1" t="s">
        <v>1464</v>
      </c>
      <c r="M155" s="1" t="s">
        <v>1453</v>
      </c>
      <c r="N155" s="1" t="s">
        <v>51</v>
      </c>
      <c r="O155" s="1" t="s">
        <v>67</v>
      </c>
      <c r="P155" s="1" t="s">
        <v>1465</v>
      </c>
      <c r="S155" s="1" t="s">
        <v>56</v>
      </c>
      <c r="T155" s="1" t="s">
        <v>1455</v>
      </c>
      <c r="U155" s="4" t="s">
        <v>1466</v>
      </c>
      <c r="X155" s="1" t="str">
        <f>IFERROR(__xludf.DUMMYFUNCTION("split(F155,"" ,:;.?!"")"),"команде")</f>
        <v>команде</v>
      </c>
      <c r="Y155" s="1" t="str">
        <f>IFERROR(__xludf.DUMMYFUNCTION("""COMPUTED_VALUE"""),"Red")</f>
        <v>Red</v>
      </c>
      <c r="Z155" s="1" t="str">
        <f>IFERROR(__xludf.DUMMYFUNCTION("""COMPUTED_VALUE"""),"Sox")</f>
        <v>Sox</v>
      </c>
      <c r="AA155" s="1" t="str">
        <f>IFERROR(__xludf.DUMMYFUNCTION("""COMPUTED_VALUE"""),"(она")</f>
        <v>(она</v>
      </c>
      <c r="AB155" s="1" t="str">
        <f>IFERROR(__xludf.DUMMYFUNCTION("""COMPUTED_VALUE"""),"и")</f>
        <v>и</v>
      </c>
      <c r="AC155" s="1" t="str">
        <f>IFERROR(__xludf.DUMMYFUNCTION("""COMPUTED_VALUE"""),"названа")</f>
        <v>названа</v>
      </c>
    </row>
    <row r="156" ht="14.25" customHeight="1">
      <c r="A156" s="1" t="s">
        <v>1467</v>
      </c>
      <c r="B156" s="1" t="s">
        <v>1468</v>
      </c>
      <c r="C156" s="2" t="s">
        <v>1469</v>
      </c>
      <c r="D156" s="7" t="s">
        <v>1470</v>
      </c>
      <c r="E156" s="1" t="s">
        <v>25</v>
      </c>
      <c r="F156" s="4" t="s">
        <v>1471</v>
      </c>
      <c r="G156" s="4" t="s">
        <v>1470</v>
      </c>
      <c r="H156" s="8" t="s">
        <v>1472</v>
      </c>
      <c r="I156" s="4" t="s">
        <v>1461</v>
      </c>
      <c r="J156" s="1" t="s">
        <v>1462</v>
      </c>
      <c r="K156" s="1" t="s">
        <v>1463</v>
      </c>
      <c r="L156" s="1" t="s">
        <v>1464</v>
      </c>
      <c r="M156" s="1" t="s">
        <v>1453</v>
      </c>
      <c r="N156" s="1" t="s">
        <v>51</v>
      </c>
      <c r="O156" s="1" t="s">
        <v>67</v>
      </c>
      <c r="P156" s="1" t="s">
        <v>1465</v>
      </c>
      <c r="S156" s="1" t="s">
        <v>56</v>
      </c>
      <c r="T156" s="1" t="s">
        <v>1455</v>
      </c>
      <c r="U156" s="4" t="s">
        <v>1473</v>
      </c>
      <c r="X156" s="1" t="str">
        <f>IFERROR(__xludf.DUMMYFUNCTION("split(F156,"" ,:;.?!"")"),"песни")</f>
        <v>песни</v>
      </c>
      <c r="Y156" s="1" t="str">
        <f>IFERROR(__xludf.DUMMYFUNCTION("""COMPUTED_VALUE"""),"показывает")</f>
        <v>показывает</v>
      </c>
      <c r="Z156" s="1" t="str">
        <f>IFERROR(__xludf.DUMMYFUNCTION("""COMPUTED_VALUE"""),"фотографии")</f>
        <v>фотографии</v>
      </c>
      <c r="AA156" s="1" t="str">
        <f>IFERROR(__xludf.DUMMYFUNCTION("""COMPUTED_VALUE"""),"с")</f>
        <v>с</v>
      </c>
      <c r="AB156" s="1" t="str">
        <f>IFERROR(__xludf.DUMMYFUNCTION("""COMPUTED_VALUE"""),"его")</f>
        <v>его</v>
      </c>
      <c r="AC156" s="1" t="str">
        <f>IFERROR(__xludf.DUMMYFUNCTION("""COMPUTED_VALUE"""),"свадьбы")</f>
        <v>свадьбы</v>
      </c>
    </row>
    <row r="157" ht="14.25" customHeight="1">
      <c r="A157" s="1" t="s">
        <v>25</v>
      </c>
      <c r="B157" s="1" t="s">
        <v>1474</v>
      </c>
      <c r="C157" s="2"/>
      <c r="D157" s="7" t="s">
        <v>1475</v>
      </c>
      <c r="E157" s="1" t="s">
        <v>25</v>
      </c>
      <c r="F157" s="4" t="s">
        <v>1476</v>
      </c>
      <c r="G157" s="4" t="s">
        <v>1475</v>
      </c>
      <c r="H157" s="8" t="s">
        <v>1477</v>
      </c>
      <c r="I157" s="4" t="s">
        <v>1478</v>
      </c>
      <c r="J157" s="1" t="s">
        <v>1479</v>
      </c>
      <c r="L157" s="1" t="s">
        <v>1480</v>
      </c>
      <c r="M157" s="1" t="s">
        <v>1453</v>
      </c>
      <c r="N157" s="1" t="s">
        <v>51</v>
      </c>
      <c r="O157" s="1" t="s">
        <v>67</v>
      </c>
      <c r="P157" s="1" t="s">
        <v>1481</v>
      </c>
      <c r="S157" s="1" t="s">
        <v>56</v>
      </c>
      <c r="T157" s="1" t="s">
        <v>1455</v>
      </c>
      <c r="U157" s="4" t="s">
        <v>1482</v>
      </c>
      <c r="X157" s="1" t="str">
        <f>IFERROR(__xludf.DUMMYFUNCTION("split(F157,"" ,:;.?!"")"),"справедливости")</f>
        <v>справедливости</v>
      </c>
      <c r="Y157" s="1" t="str">
        <f>IFERROR(__xludf.DUMMYFUNCTION("""COMPUTED_VALUE"""),"ради")</f>
        <v>ради</v>
      </c>
      <c r="Z157" s="1" t="str">
        <f>IFERROR(__xludf.DUMMYFUNCTION("""COMPUTED_VALUE"""),"стоит")</f>
        <v>стоит</v>
      </c>
      <c r="AA157" s="1" t="str">
        <f>IFERROR(__xludf.DUMMYFUNCTION("""COMPUTED_VALUE"""),"отметить")</f>
        <v>отметить</v>
      </c>
      <c r="AB157" s="1" t="str">
        <f>IFERROR(__xludf.DUMMYFUNCTION("""COMPUTED_VALUE"""),"что")</f>
        <v>что</v>
      </c>
      <c r="AC157" s="1" t="str">
        <f>IFERROR(__xludf.DUMMYFUNCTION("""COMPUTED_VALUE"""),"оба")</f>
        <v>оба</v>
      </c>
    </row>
    <row r="158" ht="14.25" customHeight="1">
      <c r="A158" s="1" t="s">
        <v>1483</v>
      </c>
      <c r="B158" s="1" t="s">
        <v>22</v>
      </c>
      <c r="C158" s="2" t="s">
        <v>1484</v>
      </c>
      <c r="D158" s="7" t="s">
        <v>24</v>
      </c>
      <c r="E158" s="1" t="s">
        <v>25</v>
      </c>
      <c r="F158" s="4" t="s">
        <v>1485</v>
      </c>
      <c r="G158" s="4" t="s">
        <v>24</v>
      </c>
      <c r="H158" s="8" t="s">
        <v>1486</v>
      </c>
      <c r="I158" s="4" t="s">
        <v>1487</v>
      </c>
      <c r="J158" s="1" t="s">
        <v>1488</v>
      </c>
      <c r="L158" s="1" t="s">
        <v>1489</v>
      </c>
      <c r="M158" s="1" t="s">
        <v>1453</v>
      </c>
      <c r="N158" s="1" t="s">
        <v>51</v>
      </c>
      <c r="O158" s="1" t="s">
        <v>67</v>
      </c>
      <c r="P158" s="1" t="s">
        <v>1490</v>
      </c>
      <c r="S158" s="1" t="s">
        <v>56</v>
      </c>
      <c r="T158" s="1" t="s">
        <v>1455</v>
      </c>
      <c r="U158" s="4" t="s">
        <v>1491</v>
      </c>
      <c r="X158" s="1" t="str">
        <f>IFERROR(__xludf.DUMMYFUNCTION("split(F158,"" ,:;.?!"")"),"человеку")</f>
        <v>человеку</v>
      </c>
      <c r="Y158" s="1" t="str">
        <f>IFERROR(__xludf.DUMMYFUNCTION("""COMPUTED_VALUE"""),"который")</f>
        <v>который</v>
      </c>
      <c r="Z158" s="1" t="str">
        <f>IFERROR(__xludf.DUMMYFUNCTION("""COMPUTED_VALUE"""),"убил")</f>
        <v>убил</v>
      </c>
      <c r="AA158" s="1" t="str">
        <f>IFERROR(__xludf.DUMMYFUNCTION("""COMPUTED_VALUE"""),"вашего")</f>
        <v>вашего</v>
      </c>
      <c r="AB158" s="1" t="str">
        <f>IFERROR(__xludf.DUMMYFUNCTION("""COMPUTED_VALUE"""),"друга")</f>
        <v>друга</v>
      </c>
    </row>
    <row r="159" ht="14.25" customHeight="1">
      <c r="A159" s="1" t="s">
        <v>1492</v>
      </c>
      <c r="B159" s="1" t="s">
        <v>22</v>
      </c>
      <c r="C159" s="2" t="s">
        <v>1493</v>
      </c>
      <c r="D159" s="7" t="s">
        <v>24</v>
      </c>
      <c r="E159" s="1" t="s">
        <v>25</v>
      </c>
      <c r="F159" s="4" t="s">
        <v>1494</v>
      </c>
      <c r="G159" s="4" t="s">
        <v>24</v>
      </c>
      <c r="H159" s="8" t="s">
        <v>1495</v>
      </c>
      <c r="I159" s="4" t="s">
        <v>1487</v>
      </c>
      <c r="J159" s="1" t="s">
        <v>1488</v>
      </c>
      <c r="L159" s="1" t="s">
        <v>1489</v>
      </c>
      <c r="M159" s="1" t="s">
        <v>1453</v>
      </c>
      <c r="N159" s="1" t="s">
        <v>51</v>
      </c>
      <c r="O159" s="1" t="s">
        <v>67</v>
      </c>
      <c r="P159" s="1" t="s">
        <v>1490</v>
      </c>
      <c r="S159" s="1" t="s">
        <v>56</v>
      </c>
      <c r="T159" s="1" t="s">
        <v>1455</v>
      </c>
      <c r="U159" s="4" t="s">
        <v>1496</v>
      </c>
      <c r="X159" s="1" t="str">
        <f>IFERROR(__xludf.DUMMYFUNCTION("split(F159,"" ,:;.?!"")"),"страданиям")</f>
        <v>страданиям</v>
      </c>
      <c r="Y159" s="1" t="str">
        <f>IFERROR(__xludf.DUMMYFUNCTION("""COMPUTED_VALUE"""),"людей")</f>
        <v>людей</v>
      </c>
      <c r="Z159" s="1" t="str">
        <f>IFERROR(__xludf.DUMMYFUNCTION("""COMPUTED_VALUE"""),"которые")</f>
        <v>которые</v>
      </c>
      <c r="AA159" s="1" t="str">
        <f>IFERROR(__xludf.DUMMYFUNCTION("""COMPUTED_VALUE"""),"были")</f>
        <v>были</v>
      </c>
      <c r="AB159" s="1" t="str">
        <f>IFERROR(__xludf.DUMMYFUNCTION("""COMPUTED_VALUE"""),"на")</f>
        <v>на</v>
      </c>
      <c r="AC159" s="1" t="str">
        <f>IFERROR(__xludf.DUMMYFUNCTION("""COMPUTED_VALUE"""),"них")</f>
        <v>них</v>
      </c>
    </row>
    <row r="160" ht="14.25" customHeight="1">
      <c r="A160" s="1" t="s">
        <v>1497</v>
      </c>
      <c r="B160" s="1" t="s">
        <v>776</v>
      </c>
      <c r="C160" s="2" t="s">
        <v>1498</v>
      </c>
      <c r="D160" s="7" t="s">
        <v>778</v>
      </c>
      <c r="E160" s="1" t="s">
        <v>25</v>
      </c>
      <c r="F160" s="4" t="s">
        <v>1499</v>
      </c>
      <c r="G160" s="4" t="s">
        <v>778</v>
      </c>
      <c r="H160" s="8" t="s">
        <v>148</v>
      </c>
      <c r="I160" s="4" t="s">
        <v>1500</v>
      </c>
      <c r="J160" s="1" t="s">
        <v>1501</v>
      </c>
      <c r="K160" s="1" t="s">
        <v>1243</v>
      </c>
      <c r="L160" s="1" t="s">
        <v>1502</v>
      </c>
      <c r="M160" s="1" t="s">
        <v>1453</v>
      </c>
      <c r="N160" s="1" t="s">
        <v>51</v>
      </c>
      <c r="O160" s="1" t="s">
        <v>67</v>
      </c>
      <c r="P160" s="1" t="s">
        <v>1503</v>
      </c>
      <c r="S160" s="1" t="s">
        <v>56</v>
      </c>
      <c r="T160" s="1" t="s">
        <v>1455</v>
      </c>
      <c r="U160" s="4" t="s">
        <v>1504</v>
      </c>
      <c r="X160" s="1" t="str">
        <f>IFERROR(__xludf.DUMMYFUNCTION("split(F160,"" ,:;.?!"")"),"делу")</f>
        <v>делу</v>
      </c>
      <c r="Y160" s="1" t="str">
        <f>IFERROR(__xludf.DUMMYFUNCTION("""COMPUTED_VALUE"""),"—")</f>
        <v>—</v>
      </c>
      <c r="Z160" s="1" t="str">
        <f>IFERROR(__xludf.DUMMYFUNCTION("""COMPUTED_VALUE"""),"синтезу")</f>
        <v>синтезу</v>
      </c>
      <c r="AA160" s="1" t="str">
        <f>IFERROR(__xludf.DUMMYFUNCTION("""COMPUTED_VALUE"""),"новых")</f>
        <v>новых</v>
      </c>
      <c r="AB160" s="1" t="str">
        <f>IFERROR(__xludf.DUMMYFUNCTION("""COMPUTED_VALUE"""),"психоактивных")</f>
        <v>психоактивных</v>
      </c>
      <c r="AC160" s="1" t="str">
        <f>IFERROR(__xludf.DUMMYFUNCTION("""COMPUTED_VALUE"""),"веществ")</f>
        <v>веществ</v>
      </c>
    </row>
    <row r="161" ht="14.25" customHeight="1">
      <c r="A161" s="1" t="s">
        <v>1505</v>
      </c>
      <c r="B161" s="1" t="s">
        <v>1506</v>
      </c>
      <c r="C161" s="2" t="s">
        <v>1507</v>
      </c>
      <c r="D161" s="7" t="s">
        <v>1508</v>
      </c>
      <c r="E161" s="1" t="s">
        <v>25</v>
      </c>
      <c r="F161" s="4" t="s">
        <v>1509</v>
      </c>
      <c r="G161" s="4" t="s">
        <v>1508</v>
      </c>
      <c r="H161" s="8" t="s">
        <v>1510</v>
      </c>
      <c r="I161" s="4" t="s">
        <v>1511</v>
      </c>
      <c r="J161" s="1" t="s">
        <v>1512</v>
      </c>
      <c r="L161" s="1" t="s">
        <v>1513</v>
      </c>
      <c r="M161" s="1" t="s">
        <v>1453</v>
      </c>
      <c r="N161" s="1" t="s">
        <v>51</v>
      </c>
      <c r="O161" s="1" t="s">
        <v>67</v>
      </c>
      <c r="P161" s="1" t="s">
        <v>81</v>
      </c>
      <c r="S161" s="1" t="s">
        <v>56</v>
      </c>
      <c r="T161" s="1" t="s">
        <v>1455</v>
      </c>
      <c r="U161" s="4" t="s">
        <v>1514</v>
      </c>
      <c r="X161" s="1" t="str">
        <f>IFERROR(__xludf.DUMMYFUNCTION("split(F161,"" ,:;.?!"")"),"Германию")</f>
        <v>Германию</v>
      </c>
      <c r="Y161" s="1" t="str">
        <f>IFERROR(__xludf.DUMMYFUNCTION("""COMPUTED_VALUE"""),"за")</f>
        <v>за</v>
      </c>
      <c r="Z161" s="1" t="str">
        <f>IFERROR(__xludf.DUMMYFUNCTION("""COMPUTED_VALUE"""),"бюрократию")</f>
        <v>бюрократию</v>
      </c>
      <c r="AA161" s="1" t="str">
        <f>IFERROR(__xludf.DUMMYFUNCTION("""COMPUTED_VALUE"""),"педантичность")</f>
        <v>педантичность</v>
      </c>
      <c r="AB161" s="1" t="str">
        <f>IFERROR(__xludf.DUMMYFUNCTION("""COMPUTED_VALUE"""),"и")</f>
        <v>и</v>
      </c>
      <c r="AC161" s="1" t="str">
        <f>IFERROR(__xludf.DUMMYFUNCTION("""COMPUTED_VALUE"""),"высокие")</f>
        <v>высокие</v>
      </c>
    </row>
    <row r="162" ht="14.25" customHeight="1">
      <c r="A162" s="1" t="s">
        <v>1515</v>
      </c>
      <c r="B162" s="1" t="s">
        <v>1003</v>
      </c>
      <c r="C162" s="2" t="s">
        <v>1516</v>
      </c>
      <c r="D162" s="7" t="s">
        <v>1005</v>
      </c>
      <c r="E162" s="1" t="s">
        <v>25</v>
      </c>
      <c r="F162" s="4" t="s">
        <v>1517</v>
      </c>
      <c r="G162" s="4" t="s">
        <v>1005</v>
      </c>
      <c r="H162" s="8" t="s">
        <v>1518</v>
      </c>
      <c r="I162" s="4" t="s">
        <v>1519</v>
      </c>
      <c r="J162" s="1" t="s">
        <v>1520</v>
      </c>
      <c r="K162" s="1" t="s">
        <v>829</v>
      </c>
      <c r="L162" s="1" t="s">
        <v>1521</v>
      </c>
      <c r="M162" s="1" t="s">
        <v>1522</v>
      </c>
      <c r="N162" s="1" t="s">
        <v>51</v>
      </c>
      <c r="O162" s="1" t="s">
        <v>67</v>
      </c>
      <c r="P162" s="1" t="s">
        <v>114</v>
      </c>
      <c r="Q162" s="1" t="s">
        <v>1523</v>
      </c>
      <c r="R162" s="1" t="s">
        <v>1524</v>
      </c>
      <c r="S162" s="1" t="s">
        <v>56</v>
      </c>
      <c r="T162" s="1" t="s">
        <v>1455</v>
      </c>
      <c r="U162" s="4" t="s">
        <v>1525</v>
      </c>
      <c r="X162" s="1" t="str">
        <f>IFERROR(__xludf.DUMMYFUNCTION("split(F162,"" ,:;.?!"")"),"тому")</f>
        <v>тому</v>
      </c>
      <c r="Y162" s="1" t="str">
        <f>IFERROR(__xludf.DUMMYFUNCTION("""COMPUTED_VALUE"""),"что")</f>
        <v>что</v>
      </c>
      <c r="Z162" s="1" t="str">
        <f>IFERROR(__xludf.DUMMYFUNCTION("""COMPUTED_VALUE"""),"происходит")</f>
        <v>происходит</v>
      </c>
      <c r="AA162" s="1" t="str">
        <f>IFERROR(__xludf.DUMMYFUNCTION("""COMPUTED_VALUE"""),"сейчас")</f>
        <v>сейчас</v>
      </c>
      <c r="AB162" s="1" t="str">
        <f>IFERROR(__xludf.DUMMYFUNCTION("""COMPUTED_VALUE"""),"между")</f>
        <v>между</v>
      </c>
      <c r="AC162" s="1" t="str">
        <f>IFERROR(__xludf.DUMMYFUNCTION("""COMPUTED_VALUE"""),"«малочисленными")</f>
        <v>«малочисленными</v>
      </c>
    </row>
    <row r="163" ht="14.25" customHeight="1">
      <c r="A163" s="1" t="s">
        <v>1526</v>
      </c>
      <c r="B163" s="1" t="s">
        <v>1527</v>
      </c>
      <c r="C163" s="2" t="s">
        <v>1528</v>
      </c>
      <c r="D163" s="7" t="s">
        <v>1529</v>
      </c>
      <c r="E163" s="1" t="s">
        <v>25</v>
      </c>
      <c r="F163" s="4" t="s">
        <v>1530</v>
      </c>
      <c r="G163" s="4" t="s">
        <v>1529</v>
      </c>
      <c r="H163" s="8" t="s">
        <v>1531</v>
      </c>
      <c r="I163" s="4" t="s">
        <v>1532</v>
      </c>
      <c r="J163" s="1" t="s">
        <v>1533</v>
      </c>
      <c r="K163" s="1" t="s">
        <v>1534</v>
      </c>
      <c r="L163" s="1" t="s">
        <v>1535</v>
      </c>
      <c r="M163" s="1" t="s">
        <v>1536</v>
      </c>
      <c r="N163" s="1" t="s">
        <v>51</v>
      </c>
      <c r="O163" s="1" t="s">
        <v>67</v>
      </c>
      <c r="P163" s="1" t="s">
        <v>1537</v>
      </c>
      <c r="Q163" s="1" t="s">
        <v>1523</v>
      </c>
      <c r="R163" s="1" t="s">
        <v>1524</v>
      </c>
      <c r="S163" s="1" t="s">
        <v>56</v>
      </c>
      <c r="T163" s="1" t="s">
        <v>1455</v>
      </c>
      <c r="U163" s="4" t="s">
        <v>1538</v>
      </c>
      <c r="X163" s="1" t="str">
        <f>IFERROR(__xludf.DUMMYFUNCTION("split(F163,"" ,:;.?!"")"),"реакции")</f>
        <v>реакции</v>
      </c>
      <c r="Y163" s="1" t="str">
        <f>IFERROR(__xludf.DUMMYFUNCTION("""COMPUTED_VALUE"""),"общественности")</f>
        <v>общественности</v>
      </c>
    </row>
    <row r="164" ht="14.25" customHeight="1">
      <c r="A164" s="1" t="s">
        <v>1539</v>
      </c>
      <c r="B164" s="1" t="s">
        <v>1445</v>
      </c>
      <c r="C164" s="2" t="s">
        <v>1540</v>
      </c>
      <c r="D164" s="7" t="s">
        <v>1447</v>
      </c>
      <c r="E164" s="1" t="s">
        <v>25</v>
      </c>
      <c r="F164" s="4" t="s">
        <v>1541</v>
      </c>
      <c r="G164" s="4" t="s">
        <v>1447</v>
      </c>
      <c r="H164" s="8" t="s">
        <v>1542</v>
      </c>
      <c r="I164" s="4" t="s">
        <v>1543</v>
      </c>
      <c r="J164" s="1" t="s">
        <v>1544</v>
      </c>
      <c r="K164" s="1" t="s">
        <v>454</v>
      </c>
      <c r="L164" s="1" t="s">
        <v>1545</v>
      </c>
      <c r="M164" s="1" t="s">
        <v>1524</v>
      </c>
      <c r="N164" s="1" t="s">
        <v>51</v>
      </c>
      <c r="O164" s="1" t="s">
        <v>67</v>
      </c>
      <c r="P164" s="1" t="s">
        <v>297</v>
      </c>
      <c r="Q164" s="1" t="s">
        <v>1546</v>
      </c>
      <c r="R164" s="1" t="s">
        <v>1524</v>
      </c>
      <c r="S164" s="1" t="s">
        <v>70</v>
      </c>
      <c r="T164" s="1" t="s">
        <v>1455</v>
      </c>
      <c r="U164" s="4" t="s">
        <v>1547</v>
      </c>
      <c r="X164" s="1" t="str">
        <f>IFERROR(__xludf.DUMMYFUNCTION("split(F164,"" ,:;.?!"")"),"станции")</f>
        <v>станции</v>
      </c>
      <c r="Y164" s="1" t="str">
        <f>IFERROR(__xludf.DUMMYFUNCTION("""COMPUTED_VALUE"""),"давным-давно")</f>
        <v>давным-давно</v>
      </c>
      <c r="Z164" s="1" t="str">
        <f>IFERROR(__xludf.DUMMYFUNCTION("""COMPUTED_VALUE"""),"именуются")</f>
        <v>именуются</v>
      </c>
      <c r="AA164" s="1" t="str">
        <f>IFERROR(__xludf.DUMMYFUNCTION("""COMPUTED_VALUE"""),"иначе")</f>
        <v>иначе</v>
      </c>
    </row>
    <row r="165" ht="14.25" customHeight="1">
      <c r="A165" s="1" t="s">
        <v>1548</v>
      </c>
      <c r="B165" s="1" t="s">
        <v>1271</v>
      </c>
      <c r="C165" s="2" t="s">
        <v>1549</v>
      </c>
      <c r="D165" s="7" t="s">
        <v>1273</v>
      </c>
      <c r="E165" s="1" t="s">
        <v>25</v>
      </c>
      <c r="F165" s="10" t="s">
        <v>1550</v>
      </c>
      <c r="G165" s="4" t="s">
        <v>1273</v>
      </c>
      <c r="H165" s="8" t="s">
        <v>1550</v>
      </c>
      <c r="I165" s="4" t="s">
        <v>1551</v>
      </c>
      <c r="J165" s="1" t="s">
        <v>1552</v>
      </c>
      <c r="K165" s="1" t="s">
        <v>746</v>
      </c>
      <c r="L165" s="1" t="s">
        <v>1553</v>
      </c>
      <c r="M165" s="1" t="s">
        <v>1524</v>
      </c>
      <c r="N165" s="1" t="s">
        <v>51</v>
      </c>
      <c r="O165" s="1" t="s">
        <v>189</v>
      </c>
      <c r="P165" s="1" t="s">
        <v>34</v>
      </c>
      <c r="Q165" s="1" t="s">
        <v>1554</v>
      </c>
      <c r="R165" s="1" t="s">
        <v>1524</v>
      </c>
      <c r="S165" s="1" t="s">
        <v>56</v>
      </c>
      <c r="T165" s="1" t="s">
        <v>1455</v>
      </c>
      <c r="U165" s="4" t="s">
        <v>1555</v>
      </c>
      <c r="X165" s="1" t="str">
        <f>IFERROR(__xludf.DUMMYFUNCTION("split(F165,"" ,:;.?!"")"),"делом")</f>
        <v>делом</v>
      </c>
    </row>
    <row r="166" ht="14.25" customHeight="1">
      <c r="A166" s="1" t="s">
        <v>1556</v>
      </c>
      <c r="B166" s="1" t="s">
        <v>1557</v>
      </c>
      <c r="C166" s="2" t="s">
        <v>1558</v>
      </c>
      <c r="D166" s="7" t="s">
        <v>1559</v>
      </c>
      <c r="E166" s="1" t="s">
        <v>25</v>
      </c>
      <c r="F166" s="4" t="s">
        <v>1560</v>
      </c>
      <c r="G166" s="4" t="s">
        <v>1559</v>
      </c>
      <c r="H166" s="8" t="s">
        <v>1561</v>
      </c>
      <c r="I166" s="4" t="s">
        <v>1562</v>
      </c>
      <c r="J166" s="1" t="s">
        <v>1563</v>
      </c>
      <c r="K166" s="1" t="s">
        <v>810</v>
      </c>
      <c r="L166" s="1" t="s">
        <v>1564</v>
      </c>
      <c r="M166" s="1" t="s">
        <v>1524</v>
      </c>
      <c r="N166" s="1" t="s">
        <v>139</v>
      </c>
      <c r="O166" s="1" t="s">
        <v>457</v>
      </c>
      <c r="Q166" s="1" t="s">
        <v>1546</v>
      </c>
      <c r="R166" s="1" t="s">
        <v>1524</v>
      </c>
      <c r="S166" s="1" t="s">
        <v>70</v>
      </c>
      <c r="T166" s="1" t="s">
        <v>1455</v>
      </c>
      <c r="U166" s="4" t="s">
        <v>1565</v>
      </c>
      <c r="X166" s="1" t="str">
        <f>IFERROR(__xludf.DUMMYFUNCTION("split(F166,"" ,:;.?!"")"),"банальности")</f>
        <v>банальности</v>
      </c>
      <c r="Y166" s="1" t="str">
        <f>IFERROR(__xludf.DUMMYFUNCTION("""COMPUTED_VALUE"""),"происходящего")</f>
        <v>происходящего</v>
      </c>
      <c r="Z166" s="1" t="str">
        <f>IFERROR(__xludf.DUMMYFUNCTION("""COMPUTED_VALUE"""),"и")</f>
        <v>и</v>
      </c>
      <c r="AA166" s="1" t="str">
        <f>IFERROR(__xludf.DUMMYFUNCTION("""COMPUTED_VALUE"""),"Жена")</f>
        <v>Жена</v>
      </c>
      <c r="AB166" s="1" t="str">
        <f>IFERROR(__xludf.DUMMYFUNCTION("""COMPUTED_VALUE"""),"почему-то")</f>
        <v>почему-то</v>
      </c>
      <c r="AC166" s="1" t="str">
        <f>IFERROR(__xludf.DUMMYFUNCTION("""COMPUTED_VALUE"""),"не")</f>
        <v>не</v>
      </c>
    </row>
    <row r="167" ht="14.25" customHeight="1">
      <c r="A167" s="1" t="s">
        <v>1566</v>
      </c>
      <c r="B167" s="1" t="s">
        <v>1567</v>
      </c>
      <c r="C167" s="2" t="s">
        <v>1568</v>
      </c>
      <c r="D167" s="7" t="s">
        <v>1569</v>
      </c>
      <c r="E167" s="1" t="s">
        <v>25</v>
      </c>
      <c r="F167" s="4" t="s">
        <v>1570</v>
      </c>
      <c r="G167" s="4" t="s">
        <v>1569</v>
      </c>
      <c r="H167" s="8" t="s">
        <v>1571</v>
      </c>
      <c r="I167" s="4" t="s">
        <v>1562</v>
      </c>
      <c r="J167" s="1" t="s">
        <v>1563</v>
      </c>
      <c r="K167" s="1" t="s">
        <v>810</v>
      </c>
      <c r="L167" s="1" t="s">
        <v>1564</v>
      </c>
      <c r="M167" s="1" t="s">
        <v>1524</v>
      </c>
      <c r="N167" s="1" t="s">
        <v>139</v>
      </c>
      <c r="O167" s="1" t="s">
        <v>457</v>
      </c>
      <c r="Q167" s="1" t="s">
        <v>1546</v>
      </c>
      <c r="R167" s="1" t="s">
        <v>1524</v>
      </c>
      <c r="S167" s="1" t="s">
        <v>70</v>
      </c>
      <c r="T167" s="1" t="s">
        <v>1455</v>
      </c>
      <c r="U167" s="4" t="s">
        <v>1572</v>
      </c>
      <c r="X167" s="1" t="str">
        <f>IFERROR(__xludf.DUMMYFUNCTION("split(F167,"" ,:;.?!"")"),"тишину")</f>
        <v>тишину</v>
      </c>
    </row>
    <row r="168" ht="14.25" customHeight="1">
      <c r="A168" s="1" t="s">
        <v>1573</v>
      </c>
      <c r="B168" s="1" t="s">
        <v>1574</v>
      </c>
      <c r="C168" s="2" t="s">
        <v>1575</v>
      </c>
      <c r="D168" s="7" t="s">
        <v>1576</v>
      </c>
      <c r="E168" s="1" t="s">
        <v>25</v>
      </c>
      <c r="F168" s="4" t="s">
        <v>1577</v>
      </c>
      <c r="G168" s="4" t="s">
        <v>1576</v>
      </c>
      <c r="H168" s="8" t="s">
        <v>1578</v>
      </c>
      <c r="I168" s="4" t="s">
        <v>1579</v>
      </c>
      <c r="J168" s="1" t="s">
        <v>1580</v>
      </c>
      <c r="K168" s="1" t="s">
        <v>1581</v>
      </c>
      <c r="L168" s="1" t="s">
        <v>1582</v>
      </c>
      <c r="M168" s="1" t="s">
        <v>1524</v>
      </c>
      <c r="N168" s="1" t="s">
        <v>139</v>
      </c>
      <c r="O168" s="1" t="s">
        <v>284</v>
      </c>
      <c r="Q168" s="1" t="s">
        <v>1546</v>
      </c>
      <c r="R168" s="1" t="s">
        <v>1524</v>
      </c>
      <c r="S168" s="1" t="s">
        <v>70</v>
      </c>
      <c r="T168" s="1" t="s">
        <v>1455</v>
      </c>
      <c r="U168" s="4" t="s">
        <v>1583</v>
      </c>
      <c r="X168" s="1" t="str">
        <f>IFERROR(__xludf.DUMMYFUNCTION("split(F168,"" ,:;.?!"")"),"улыбчивости")</f>
        <v>улыбчивости</v>
      </c>
      <c r="Y168" s="1" t="str">
        <f>IFERROR(__xludf.DUMMYFUNCTION("""COMPUTED_VALUE"""),"собаки")</f>
        <v>собаки</v>
      </c>
      <c r="Z168" s="1" t="str">
        <f>IFERROR(__xludf.DUMMYFUNCTION("""COMPUTED_VALUE"""),"и")</f>
        <v>и</v>
      </c>
      <c r="AA168" s="1" t="str">
        <f>IFERROR(__xludf.DUMMYFUNCTION("""COMPUTED_VALUE"""),"её")</f>
        <v>её</v>
      </c>
      <c r="AB168" s="1" t="str">
        <f>IFERROR(__xludf.DUMMYFUNCTION("""COMPUTED_VALUE"""),"предпочтению")</f>
        <v>предпочтению</v>
      </c>
      <c r="AC168" s="1" t="str">
        <f>IFERROR(__xludf.DUMMYFUNCTION("""COMPUTED_VALUE"""),"хорошей")</f>
        <v>хорошей</v>
      </c>
    </row>
    <row r="169" ht="14.25" customHeight="1">
      <c r="A169" s="1" t="s">
        <v>1584</v>
      </c>
      <c r="B169" s="1" t="s">
        <v>413</v>
      </c>
      <c r="C169" s="2" t="s">
        <v>1585</v>
      </c>
      <c r="D169" s="7" t="s">
        <v>415</v>
      </c>
      <c r="E169" s="1" t="s">
        <v>25</v>
      </c>
      <c r="F169" s="4" t="s">
        <v>1586</v>
      </c>
      <c r="G169" s="4" t="s">
        <v>415</v>
      </c>
      <c r="H169" s="8" t="s">
        <v>292</v>
      </c>
      <c r="I169" s="4" t="s">
        <v>1579</v>
      </c>
      <c r="J169" s="1" t="s">
        <v>1580</v>
      </c>
      <c r="K169" s="1" t="s">
        <v>1581</v>
      </c>
      <c r="L169" s="1" t="s">
        <v>1582</v>
      </c>
      <c r="M169" s="1" t="s">
        <v>1524</v>
      </c>
      <c r="N169" s="1" t="s">
        <v>139</v>
      </c>
      <c r="O169" s="1" t="s">
        <v>284</v>
      </c>
      <c r="Q169" s="1" t="s">
        <v>1546</v>
      </c>
      <c r="R169" s="1" t="s">
        <v>1524</v>
      </c>
      <c r="S169" s="1" t="s">
        <v>70</v>
      </c>
      <c r="T169" s="1" t="s">
        <v>1455</v>
      </c>
      <c r="U169" s="4" t="s">
        <v>1587</v>
      </c>
      <c r="X169" s="1" t="str">
        <f>IFERROR(__xludf.DUMMYFUNCTION("split(F169,"" ,:;.?!"")"),"встрече")</f>
        <v>встрече</v>
      </c>
      <c r="Y169" s="1" t="str">
        <f>IFERROR(__xludf.DUMMYFUNCTION("""COMPUTED_VALUE"""),"и")</f>
        <v>и</v>
      </c>
      <c r="Z169" s="1" t="str">
        <f>IFERROR(__xludf.DUMMYFUNCTION("""COMPUTED_VALUE"""),"выждав")</f>
        <v>выждав</v>
      </c>
      <c r="AA169" s="1" t="str">
        <f>IFERROR(__xludf.DUMMYFUNCTION("""COMPUTED_VALUE"""),"момент")</f>
        <v>момент</v>
      </c>
      <c r="AB169" s="1" t="str">
        <f>IFERROR(__xludf.DUMMYFUNCTION("""COMPUTED_VALUE"""),"как")</f>
        <v>как</v>
      </c>
      <c r="AC169" s="1" t="str">
        <f>IFERROR(__xludf.DUMMYFUNCTION("""COMPUTED_VALUE"""),"бы")</f>
        <v>бы</v>
      </c>
    </row>
    <row r="170" ht="14.25" customHeight="1">
      <c r="A170" s="1" t="s">
        <v>1588</v>
      </c>
      <c r="B170" s="1" t="s">
        <v>1589</v>
      </c>
      <c r="C170" s="2" t="s">
        <v>1590</v>
      </c>
      <c r="D170" s="7" t="s">
        <v>1591</v>
      </c>
      <c r="E170" s="1" t="s">
        <v>25</v>
      </c>
      <c r="F170" s="4" t="s">
        <v>1592</v>
      </c>
      <c r="G170" s="4" t="s">
        <v>1591</v>
      </c>
      <c r="H170" s="8" t="s">
        <v>1593</v>
      </c>
      <c r="I170" s="4" t="s">
        <v>1579</v>
      </c>
      <c r="J170" s="1" t="s">
        <v>1580</v>
      </c>
      <c r="K170" s="1" t="s">
        <v>1581</v>
      </c>
      <c r="L170" s="1" t="s">
        <v>1582</v>
      </c>
      <c r="M170" s="1" t="s">
        <v>1524</v>
      </c>
      <c r="N170" s="1" t="s">
        <v>139</v>
      </c>
      <c r="O170" s="1" t="s">
        <v>284</v>
      </c>
      <c r="Q170" s="1" t="s">
        <v>1546</v>
      </c>
      <c r="R170" s="1" t="s">
        <v>1524</v>
      </c>
      <c r="S170" s="1" t="s">
        <v>70</v>
      </c>
      <c r="T170" s="1" t="s">
        <v>1455</v>
      </c>
      <c r="U170" s="4" t="s">
        <v>1594</v>
      </c>
      <c r="X170" s="1" t="str">
        <f>IFERROR(__xludf.DUMMYFUNCTION("split(F170,"" ,:;.?!"")"),"Ангелину")</f>
        <v>Ангелину</v>
      </c>
      <c r="Y170" s="1" t="str">
        <f>IFERROR(__xludf.DUMMYFUNCTION("""COMPUTED_VALUE"""),"но")</f>
        <v>но</v>
      </c>
      <c r="Z170" s="1" t="str">
        <f>IFERROR(__xludf.DUMMYFUNCTION("""COMPUTED_VALUE"""),"вышло")</f>
        <v>вышло</v>
      </c>
      <c r="AA170" s="1" t="str">
        <f>IFERROR(__xludf.DUMMYFUNCTION("""COMPUTED_VALUE"""),"наоборот")</f>
        <v>наоборот</v>
      </c>
      <c r="AB170" s="1" t="str">
        <f>IFERROR(__xludf.DUMMYFUNCTION("""COMPUTED_VALUE"""),"встречным")</f>
        <v>встречным</v>
      </c>
      <c r="AC170" s="1" t="str">
        <f>IFERROR(__xludf.DUMMYFUNCTION("""COMPUTED_VALUE"""),"вопросом")</f>
        <v>вопросом</v>
      </c>
    </row>
    <row r="171" ht="14.25" customHeight="1">
      <c r="A171" s="1" t="s">
        <v>1595</v>
      </c>
      <c r="B171" s="1" t="s">
        <v>1596</v>
      </c>
      <c r="C171" s="2" t="s">
        <v>1597</v>
      </c>
      <c r="D171" s="7" t="s">
        <v>1598</v>
      </c>
      <c r="E171" s="1" t="s">
        <v>25</v>
      </c>
      <c r="F171" s="4" t="s">
        <v>1599</v>
      </c>
      <c r="G171" s="4" t="s">
        <v>1598</v>
      </c>
      <c r="H171" s="8" t="s">
        <v>1600</v>
      </c>
      <c r="I171" s="4" t="s">
        <v>1579</v>
      </c>
      <c r="J171" s="1" t="s">
        <v>1580</v>
      </c>
      <c r="K171" s="1" t="s">
        <v>1581</v>
      </c>
      <c r="L171" s="1" t="s">
        <v>1582</v>
      </c>
      <c r="M171" s="1" t="s">
        <v>1524</v>
      </c>
      <c r="N171" s="1" t="s">
        <v>139</v>
      </c>
      <c r="O171" s="1" t="s">
        <v>284</v>
      </c>
      <c r="Q171" s="1" t="s">
        <v>1546</v>
      </c>
      <c r="R171" s="1" t="s">
        <v>1524</v>
      </c>
      <c r="S171" s="1" t="s">
        <v>70</v>
      </c>
      <c r="T171" s="1" t="s">
        <v>1455</v>
      </c>
      <c r="U171" s="4" t="s">
        <v>1601</v>
      </c>
      <c r="X171" s="1" t="str">
        <f>IFERROR(__xludf.DUMMYFUNCTION("split(F171,"" ,:;.?!"")"),"чумовым")</f>
        <v>чумовым</v>
      </c>
      <c r="Y171" s="1" t="str">
        <f>IFERROR(__xludf.DUMMYFUNCTION("""COMPUTED_VALUE"""),"поведением")</f>
        <v>поведением</v>
      </c>
      <c r="Z171" s="1" t="str">
        <f>IFERROR(__xludf.DUMMYFUNCTION("""COMPUTED_VALUE"""),"хозяина")</f>
        <v>хозяина</v>
      </c>
      <c r="AA171" s="1" t="str">
        <f>IFERROR(__xludf.DUMMYFUNCTION("""COMPUTED_VALUE"""),"дома")</f>
        <v>дома</v>
      </c>
      <c r="AB171" s="1" t="str">
        <f>IFERROR(__xludf.DUMMYFUNCTION("""COMPUTED_VALUE"""),"напротив")</f>
        <v>напротив</v>
      </c>
      <c r="AC171" s="1" t="str">
        <f>IFERROR(__xludf.DUMMYFUNCTION("""COMPUTED_VALUE"""),"на")</f>
        <v>на</v>
      </c>
    </row>
    <row r="172" ht="14.25" customHeight="1">
      <c r="A172" s="1" t="s">
        <v>1602</v>
      </c>
      <c r="B172" s="1" t="s">
        <v>1445</v>
      </c>
      <c r="C172" s="2" t="s">
        <v>1603</v>
      </c>
      <c r="D172" s="7" t="s">
        <v>1447</v>
      </c>
      <c r="E172" s="1" t="s">
        <v>25</v>
      </c>
      <c r="F172" s="4" t="s">
        <v>1604</v>
      </c>
      <c r="G172" s="4" t="s">
        <v>1447</v>
      </c>
      <c r="H172" s="8" t="s">
        <v>1605</v>
      </c>
      <c r="I172" s="4" t="s">
        <v>1606</v>
      </c>
      <c r="J172" s="1" t="s">
        <v>1607</v>
      </c>
      <c r="K172" s="1" t="s">
        <v>583</v>
      </c>
      <c r="L172" s="1" t="s">
        <v>1608</v>
      </c>
      <c r="M172" s="1" t="s">
        <v>1524</v>
      </c>
      <c r="N172" s="1" t="s">
        <v>51</v>
      </c>
      <c r="O172" s="1" t="s">
        <v>296</v>
      </c>
      <c r="P172" s="1" t="s">
        <v>1609</v>
      </c>
      <c r="Q172" s="1" t="s">
        <v>1610</v>
      </c>
      <c r="R172" s="1" t="s">
        <v>1524</v>
      </c>
      <c r="S172" s="1" t="s">
        <v>56</v>
      </c>
      <c r="T172" s="1" t="s">
        <v>1455</v>
      </c>
      <c r="U172" s="4" t="s">
        <v>1611</v>
      </c>
      <c r="X172" s="1" t="str">
        <f>IFERROR(__xludf.DUMMYFUNCTION("split(F172,"" ,:;.?!"")"),"экспедиции")</f>
        <v>экспедиции</v>
      </c>
      <c r="Y172" s="1" t="str">
        <f>IFERROR(__xludf.DUMMYFUNCTION("""COMPUTED_VALUE"""),"в")</f>
        <v>в</v>
      </c>
      <c r="Z172" s="1" t="str">
        <f>IFERROR(__xludf.DUMMYFUNCTION("""COMPUTED_VALUE"""),"поисках")</f>
        <v>поисках</v>
      </c>
      <c r="AA172" s="1" t="str">
        <f>IFERROR(__xludf.DUMMYFUNCTION("""COMPUTED_VALUE"""),"золотых")</f>
        <v>золотых</v>
      </c>
      <c r="AB172" s="1" t="str">
        <f>IFERROR(__xludf.DUMMYFUNCTION("""COMPUTED_VALUE"""),"и")</f>
        <v>и</v>
      </c>
      <c r="AC172" s="1" t="str">
        <f>IFERROR(__xludf.DUMMYFUNCTION("""COMPUTED_VALUE"""),"серебряных")</f>
        <v>серебряных</v>
      </c>
    </row>
    <row r="173" ht="14.25" customHeight="1">
      <c r="A173" s="1" t="s">
        <v>1612</v>
      </c>
      <c r="B173" s="1" t="s">
        <v>1613</v>
      </c>
      <c r="C173" s="2" t="s">
        <v>1614</v>
      </c>
      <c r="D173" s="7" t="s">
        <v>1615</v>
      </c>
      <c r="E173" s="1" t="s">
        <v>25</v>
      </c>
      <c r="F173" s="4" t="s">
        <v>1616</v>
      </c>
      <c r="G173" s="4" t="s">
        <v>1615</v>
      </c>
      <c r="H173" s="8" t="s">
        <v>1617</v>
      </c>
      <c r="I173" s="4" t="s">
        <v>1618</v>
      </c>
      <c r="J173" s="1" t="s">
        <v>1619</v>
      </c>
      <c r="K173" s="1" t="s">
        <v>810</v>
      </c>
      <c r="L173" s="1" t="s">
        <v>1620</v>
      </c>
      <c r="M173" s="1" t="s">
        <v>1524</v>
      </c>
      <c r="N173" s="1" t="s">
        <v>139</v>
      </c>
      <c r="O173" s="1" t="s">
        <v>457</v>
      </c>
      <c r="Q173" s="1" t="s">
        <v>1546</v>
      </c>
      <c r="R173" s="1" t="s">
        <v>1524</v>
      </c>
      <c r="S173" s="1" t="s">
        <v>70</v>
      </c>
      <c r="T173" s="1" t="s">
        <v>1455</v>
      </c>
      <c r="U173" s="4" t="s">
        <v>1621</v>
      </c>
      <c r="X173" s="1" t="str">
        <f>IFERROR(__xludf.DUMMYFUNCTION("split(F173,"" ,:;.?!"")"),"молодой")</f>
        <v>молодой</v>
      </c>
      <c r="Y173" s="1" t="str">
        <f>IFERROR(__xludf.DUMMYFUNCTION("""COMPUTED_VALUE"""),"нахал")</f>
        <v>нахал</v>
      </c>
    </row>
    <row r="174" ht="14.25" customHeight="1">
      <c r="A174" s="1" t="s">
        <v>1622</v>
      </c>
      <c r="B174" s="1" t="s">
        <v>1623</v>
      </c>
      <c r="C174" s="2" t="s">
        <v>1624</v>
      </c>
      <c r="D174" s="7" t="s">
        <v>1625</v>
      </c>
      <c r="E174" s="1" t="s">
        <v>25</v>
      </c>
      <c r="F174" s="4" t="s">
        <v>1626</v>
      </c>
      <c r="G174" s="4" t="s">
        <v>1625</v>
      </c>
      <c r="H174" s="8" t="s">
        <v>1627</v>
      </c>
      <c r="I174" s="4" t="s">
        <v>1618</v>
      </c>
      <c r="J174" s="1" t="s">
        <v>1619</v>
      </c>
      <c r="K174" s="1" t="s">
        <v>810</v>
      </c>
      <c r="L174" s="1" t="s">
        <v>1620</v>
      </c>
      <c r="M174" s="1" t="s">
        <v>1524</v>
      </c>
      <c r="N174" s="1" t="s">
        <v>139</v>
      </c>
      <c r="O174" s="1" t="s">
        <v>457</v>
      </c>
      <c r="Q174" s="1" t="s">
        <v>1546</v>
      </c>
      <c r="R174" s="1" t="s">
        <v>1524</v>
      </c>
      <c r="S174" s="1" t="s">
        <v>70</v>
      </c>
      <c r="T174" s="1" t="s">
        <v>1455</v>
      </c>
      <c r="U174" s="4" t="s">
        <v>1628</v>
      </c>
      <c r="X174" s="1" t="str">
        <f>IFERROR(__xludf.DUMMYFUNCTION("split(F174,"" ,:;.?!"")"),"мамаше")</f>
        <v>мамаше</v>
      </c>
      <c r="Y174" s="1" t="str">
        <f>IFERROR(__xludf.DUMMYFUNCTION("""COMPUTED_VALUE"""),"вернувшейся")</f>
        <v>вернувшейся</v>
      </c>
      <c r="Z174" s="1" t="str">
        <f>IFERROR(__xludf.DUMMYFUNCTION("""COMPUTED_VALUE"""),"из")</f>
        <v>из</v>
      </c>
      <c r="AA174" s="1" t="str">
        <f>IFERROR(__xludf.DUMMYFUNCTION("""COMPUTED_VALUE"""),"магазина")</f>
        <v>магазина</v>
      </c>
      <c r="AB174" s="1" t="str">
        <f>IFERROR(__xludf.DUMMYFUNCTION("""COMPUTED_VALUE"""),"предысторию")</f>
        <v>предысторию</v>
      </c>
      <c r="AC174" s="1" t="str">
        <f>IFERROR(__xludf.DUMMYFUNCTION("""COMPUTED_VALUE"""),"своего")</f>
        <v>своего</v>
      </c>
    </row>
    <row r="175" ht="14.25" customHeight="1">
      <c r="A175" s="1" t="s">
        <v>1629</v>
      </c>
      <c r="B175" s="1" t="s">
        <v>1630</v>
      </c>
      <c r="C175" s="2" t="s">
        <v>1631</v>
      </c>
      <c r="D175" s="7" t="s">
        <v>1632</v>
      </c>
      <c r="E175" s="1" t="s">
        <v>25</v>
      </c>
      <c r="F175" s="4" t="s">
        <v>1633</v>
      </c>
      <c r="G175" s="4" t="s">
        <v>1632</v>
      </c>
      <c r="H175" s="8" t="s">
        <v>1634</v>
      </c>
      <c r="I175" s="4" t="s">
        <v>1635</v>
      </c>
      <c r="J175" s="1" t="s">
        <v>1636</v>
      </c>
      <c r="L175" s="1" t="s">
        <v>1637</v>
      </c>
      <c r="M175" s="1" t="s">
        <v>1524</v>
      </c>
      <c r="N175" s="1" t="s">
        <v>51</v>
      </c>
      <c r="O175" s="1" t="s">
        <v>1638</v>
      </c>
      <c r="P175" s="1" t="s">
        <v>1639</v>
      </c>
      <c r="S175" s="1" t="s">
        <v>56</v>
      </c>
      <c r="T175" s="1" t="s">
        <v>1455</v>
      </c>
      <c r="U175" s="4" t="s">
        <v>1640</v>
      </c>
      <c r="X175" s="1" t="str">
        <f>IFERROR(__xludf.DUMMYFUNCTION("split(F175,"" ,:;.?!"")"),"теории")</f>
        <v>теории</v>
      </c>
      <c r="Y175" s="1" t="str">
        <f>IFERROR(__xludf.DUMMYFUNCTION("""COMPUTED_VALUE"""),"пространства-времени)")</f>
        <v>пространства-времени)</v>
      </c>
      <c r="Z175" s="1" t="str">
        <f>IFERROR(__xludf.DUMMYFUNCTION("""COMPUTED_VALUE"""),"сложилась")</f>
        <v>сложилась</v>
      </c>
      <c r="AA175" s="1" t="str">
        <f>IFERROR(__xludf.DUMMYFUNCTION("""COMPUTED_VALUE"""),"примерно")</f>
        <v>примерно</v>
      </c>
      <c r="AB175" s="1" t="str">
        <f>IFERROR(__xludf.DUMMYFUNCTION("""COMPUTED_VALUE"""),"та")</f>
        <v>та</v>
      </c>
    </row>
    <row r="176" ht="14.25" customHeight="1">
      <c r="A176" s="1" t="s">
        <v>1641</v>
      </c>
      <c r="B176" s="1" t="s">
        <v>1642</v>
      </c>
      <c r="C176" s="2" t="s">
        <v>1643</v>
      </c>
      <c r="D176" s="7" t="s">
        <v>1644</v>
      </c>
      <c r="E176" s="1" t="s">
        <v>25</v>
      </c>
      <c r="F176" s="4" t="s">
        <v>1645</v>
      </c>
      <c r="G176" s="4" t="s">
        <v>1644</v>
      </c>
      <c r="H176" s="8" t="s">
        <v>1646</v>
      </c>
      <c r="I176" s="4" t="s">
        <v>1647</v>
      </c>
      <c r="J176" s="1" t="s">
        <v>1648</v>
      </c>
      <c r="K176" s="1" t="s">
        <v>363</v>
      </c>
      <c r="L176" s="1" t="s">
        <v>1649</v>
      </c>
      <c r="M176" s="1" t="s">
        <v>1524</v>
      </c>
      <c r="N176" s="1" t="s">
        <v>139</v>
      </c>
      <c r="O176" s="1" t="s">
        <v>457</v>
      </c>
      <c r="Q176" s="1" t="s">
        <v>1546</v>
      </c>
      <c r="R176" s="1" t="s">
        <v>1524</v>
      </c>
      <c r="S176" s="1" t="s">
        <v>70</v>
      </c>
      <c r="T176" s="1" t="s">
        <v>1455</v>
      </c>
      <c r="U176" s="4" t="s">
        <v>1650</v>
      </c>
      <c r="X176" s="1" t="str">
        <f>IFERROR(__xludf.DUMMYFUNCTION("split(F176,"" ,:;.?!"")"),"русским")</f>
        <v>русским</v>
      </c>
      <c r="Y176" s="1" t="str">
        <f>IFERROR(__xludf.DUMMYFUNCTION("""COMPUTED_VALUE"""),"писателем")</f>
        <v>писателем</v>
      </c>
      <c r="Z176" s="1" t="str">
        <f>IFERROR(__xludf.DUMMYFUNCTION("""COMPUTED_VALUE"""),"конца")</f>
        <v>конца</v>
      </c>
      <c r="AA176" s="1" t="str">
        <f>IFERROR(__xludf.DUMMYFUNCTION("""COMPUTED_VALUE"""),"девятнадцатого")</f>
        <v>девятнадцатого</v>
      </c>
      <c r="AB176" s="1" t="str">
        <f>IFERROR(__xludf.DUMMYFUNCTION("""COMPUTED_VALUE"""),"–")</f>
        <v>–</v>
      </c>
      <c r="AC176" s="1" t="str">
        <f>IFERROR(__xludf.DUMMYFUNCTION("""COMPUTED_VALUE"""),"начала")</f>
        <v>начала</v>
      </c>
      <c r="AD176" s="1" t="str">
        <f>IFERROR(__xludf.DUMMYFUNCTION("""COMPUTED_VALUE"""),"двадцатого")</f>
        <v>двадцатого</v>
      </c>
    </row>
    <row r="177" ht="14.25" customHeight="1">
      <c r="A177" s="1" t="s">
        <v>25</v>
      </c>
      <c r="B177" s="1" t="s">
        <v>1651</v>
      </c>
      <c r="C177" s="2"/>
      <c r="D177" s="7" t="s">
        <v>1652</v>
      </c>
      <c r="E177" s="1" t="s">
        <v>25</v>
      </c>
      <c r="F177" s="4" t="s">
        <v>1653</v>
      </c>
      <c r="G177" s="4" t="s">
        <v>1652</v>
      </c>
      <c r="H177" s="8" t="s">
        <v>1654</v>
      </c>
      <c r="I177" s="4" t="s">
        <v>1655</v>
      </c>
      <c r="J177" s="1" t="s">
        <v>1656</v>
      </c>
      <c r="K177" s="1" t="s">
        <v>1657</v>
      </c>
      <c r="L177" s="1" t="s">
        <v>1658</v>
      </c>
      <c r="M177" s="1" t="s">
        <v>1524</v>
      </c>
      <c r="N177" s="1" t="s">
        <v>51</v>
      </c>
      <c r="O177" s="1" t="s">
        <v>296</v>
      </c>
      <c r="P177" s="1" t="s">
        <v>1659</v>
      </c>
      <c r="R177" s="1" t="s">
        <v>1524</v>
      </c>
      <c r="S177" s="1" t="s">
        <v>56</v>
      </c>
      <c r="T177" s="1" t="s">
        <v>1455</v>
      </c>
      <c r="U177" s="4" t="s">
        <v>1660</v>
      </c>
      <c r="X177" s="1" t="str">
        <f>IFERROR(__xludf.DUMMYFUNCTION("split(F177,"" ,:;.?!"")"),"проекту")</f>
        <v>проекту</v>
      </c>
      <c r="Y177" s="1" t="str">
        <f>IFERROR(__xludf.DUMMYFUNCTION("""COMPUTED_VALUE"""),"Митина")</f>
        <v>Митина</v>
      </c>
      <c r="Z177" s="1" t="str">
        <f>IFERROR(__xludf.DUMMYFUNCTION("""COMPUTED_VALUE"""),"и")</f>
        <v>и</v>
      </c>
      <c r="AA177" s="1" t="str">
        <f>IFERROR(__xludf.DUMMYFUNCTION("""COMPUTED_VALUE"""),"Гончарова")</f>
        <v>Гончарова</v>
      </c>
      <c r="AB177" s="1" t="str">
        <f>IFERROR(__xludf.DUMMYFUNCTION("""COMPUTED_VALUE"""),"даже")</f>
        <v>даже</v>
      </c>
      <c r="AC177" s="1" t="str">
        <f>IFERROR(__xludf.DUMMYFUNCTION("""COMPUTED_VALUE"""),"создали")</f>
        <v>создали</v>
      </c>
    </row>
    <row r="178" ht="14.25" customHeight="1">
      <c r="A178" s="1" t="s">
        <v>1661</v>
      </c>
      <c r="B178" s="1" t="s">
        <v>1662</v>
      </c>
      <c r="C178" s="2" t="s">
        <v>1663</v>
      </c>
      <c r="D178" s="7" t="s">
        <v>1664</v>
      </c>
      <c r="E178" s="1" t="s">
        <v>25</v>
      </c>
      <c r="F178" s="4" t="s">
        <v>1665</v>
      </c>
      <c r="G178" s="4" t="s">
        <v>1664</v>
      </c>
      <c r="H178" s="8" t="s">
        <v>1666</v>
      </c>
      <c r="I178" s="4" t="s">
        <v>1667</v>
      </c>
      <c r="J178" s="1" t="s">
        <v>1668</v>
      </c>
      <c r="K178" s="1" t="s">
        <v>732</v>
      </c>
      <c r="L178" s="1" t="s">
        <v>1669</v>
      </c>
      <c r="M178" s="1" t="s">
        <v>1524</v>
      </c>
      <c r="N178" s="1" t="s">
        <v>51</v>
      </c>
      <c r="O178" s="1" t="s">
        <v>889</v>
      </c>
      <c r="P178" s="1" t="s">
        <v>1670</v>
      </c>
      <c r="Q178" s="1" t="s">
        <v>1546</v>
      </c>
      <c r="R178" s="1" t="s">
        <v>1524</v>
      </c>
      <c r="S178" s="1" t="s">
        <v>70</v>
      </c>
      <c r="T178" s="1" t="s">
        <v>1455</v>
      </c>
      <c r="U178" s="4" t="s">
        <v>1671</v>
      </c>
      <c r="X178" s="1" t="str">
        <f>IFERROR(__xludf.DUMMYFUNCTION("split(F178,"" ,:;.?!"")"),"были")</f>
        <v>были</v>
      </c>
      <c r="Y178" s="1" t="str">
        <f>IFERROR(__xludf.DUMMYFUNCTION("""COMPUTED_VALUE"""),"мы")</f>
        <v>мы</v>
      </c>
      <c r="Z178" s="1" t="str">
        <f>IFERROR(__xludf.DUMMYFUNCTION("""COMPUTED_VALUE"""),"ведь")</f>
        <v>ведь</v>
      </c>
      <c r="AA178" s="1" t="str">
        <f>IFERROR(__xludf.DUMMYFUNCTION("""COMPUTED_VALUE"""),"все")</f>
        <v>все</v>
      </c>
      <c r="AB178" s="1" t="str">
        <f>IFERROR(__xludf.DUMMYFUNCTION("""COMPUTED_VALUE"""),"для")</f>
        <v>для</v>
      </c>
      <c r="AC178" s="1" t="str">
        <f>IFERROR(__xludf.DUMMYFUNCTION("""COMPUTED_VALUE"""),"них")</f>
        <v>них</v>
      </c>
    </row>
    <row r="179" ht="14.25" customHeight="1">
      <c r="A179" s="1" t="s">
        <v>1672</v>
      </c>
      <c r="B179" s="1" t="s">
        <v>1285</v>
      </c>
      <c r="C179" s="2" t="s">
        <v>1673</v>
      </c>
      <c r="D179" s="7" t="s">
        <v>1287</v>
      </c>
      <c r="E179" s="1" t="s">
        <v>25</v>
      </c>
      <c r="F179" s="4" t="s">
        <v>1674</v>
      </c>
      <c r="G179" s="4" t="s">
        <v>1287</v>
      </c>
      <c r="H179" s="8" t="s">
        <v>1675</v>
      </c>
      <c r="I179" s="4" t="s">
        <v>1667</v>
      </c>
      <c r="J179" s="1" t="s">
        <v>1668</v>
      </c>
      <c r="K179" s="1" t="s">
        <v>732</v>
      </c>
      <c r="L179" s="1" t="s">
        <v>1669</v>
      </c>
      <c r="M179" s="1" t="s">
        <v>1524</v>
      </c>
      <c r="N179" s="1" t="s">
        <v>51</v>
      </c>
      <c r="O179" s="1" t="s">
        <v>889</v>
      </c>
      <c r="P179" s="1" t="s">
        <v>1670</v>
      </c>
      <c r="Q179" s="1" t="s">
        <v>1546</v>
      </c>
      <c r="R179" s="1" t="s">
        <v>1524</v>
      </c>
      <c r="S179" s="1" t="s">
        <v>70</v>
      </c>
      <c r="T179" s="1" t="s">
        <v>1455</v>
      </c>
      <c r="U179" s="4" t="s">
        <v>1676</v>
      </c>
      <c r="X179" s="1" t="str">
        <f>IFERROR(__xludf.DUMMYFUNCTION("split(F179,"" ,:;.?!"")"),"крови")</f>
        <v>крови</v>
      </c>
    </row>
    <row r="180" ht="14.25" customHeight="1">
      <c r="A180" s="1" t="s">
        <v>1677</v>
      </c>
      <c r="B180" s="1" t="s">
        <v>776</v>
      </c>
      <c r="C180" s="2" t="s">
        <v>1678</v>
      </c>
      <c r="D180" s="7" t="s">
        <v>778</v>
      </c>
      <c r="E180" s="1" t="s">
        <v>25</v>
      </c>
      <c r="F180" s="4" t="s">
        <v>1679</v>
      </c>
      <c r="G180" s="4" t="s">
        <v>778</v>
      </c>
      <c r="H180" s="8" t="s">
        <v>1680</v>
      </c>
      <c r="I180" s="4" t="s">
        <v>1681</v>
      </c>
      <c r="J180" s="1" t="s">
        <v>1682</v>
      </c>
      <c r="K180" s="1" t="s">
        <v>1683</v>
      </c>
      <c r="L180" s="1" t="s">
        <v>1684</v>
      </c>
      <c r="M180" s="1" t="s">
        <v>1524</v>
      </c>
      <c r="N180" s="1" t="s">
        <v>51</v>
      </c>
      <c r="O180" s="1" t="s">
        <v>189</v>
      </c>
      <c r="P180" s="1" t="s">
        <v>233</v>
      </c>
      <c r="Q180" s="1" t="s">
        <v>1554</v>
      </c>
      <c r="R180" s="1" t="s">
        <v>1524</v>
      </c>
      <c r="S180" s="1" t="s">
        <v>56</v>
      </c>
      <c r="T180" s="1" t="s">
        <v>1455</v>
      </c>
      <c r="U180" s="4" t="s">
        <v>1685</v>
      </c>
      <c r="X180" s="1" t="str">
        <f>IFERROR(__xludf.DUMMYFUNCTION("split(F180,"" ,:;.?!"")"),"спортсмену")</f>
        <v>спортсмену</v>
      </c>
      <c r="Y180" s="1" t="str">
        <f>IFERROR(__xludf.DUMMYFUNCTION("""COMPUTED_VALUE"""),"или")</f>
        <v>или</v>
      </c>
      <c r="Z180" s="1" t="str">
        <f>IFERROR(__xludf.DUMMYFUNCTION("""COMPUTED_VALUE"""),"чувствовать")</f>
        <v>чувствовать</v>
      </c>
      <c r="AA180" s="1" t="str">
        <f>IFERROR(__xludf.DUMMYFUNCTION("""COMPUTED_VALUE"""),"себя")</f>
        <v>себя</v>
      </c>
      <c r="AB180" s="1" t="str">
        <f>IFERROR(__xludf.DUMMYFUNCTION("""COMPUTED_VALUE"""),"частью")</f>
        <v>частью</v>
      </c>
      <c r="AC180" s="1" t="str">
        <f>IFERROR(__xludf.DUMMYFUNCTION("""COMPUTED_VALUE"""),"популярного")</f>
        <v>популярного</v>
      </c>
    </row>
    <row r="181" ht="14.25" customHeight="1">
      <c r="A181" s="1" t="s">
        <v>1686</v>
      </c>
      <c r="B181" s="1" t="s">
        <v>1687</v>
      </c>
      <c r="C181" s="2" t="s">
        <v>1688</v>
      </c>
      <c r="D181" s="7" t="s">
        <v>1689</v>
      </c>
      <c r="E181" s="1" t="s">
        <v>25</v>
      </c>
      <c r="F181" s="4" t="s">
        <v>1690</v>
      </c>
      <c r="G181" s="4" t="s">
        <v>1689</v>
      </c>
      <c r="H181" s="8" t="s">
        <v>1691</v>
      </c>
      <c r="I181" s="4" t="s">
        <v>1692</v>
      </c>
      <c r="J181" s="1" t="s">
        <v>29</v>
      </c>
      <c r="L181" s="1" t="s">
        <v>1693</v>
      </c>
      <c r="M181" s="1" t="s">
        <v>1524</v>
      </c>
      <c r="N181" s="1" t="s">
        <v>51</v>
      </c>
      <c r="O181" s="1" t="s">
        <v>189</v>
      </c>
      <c r="P181" s="1" t="s">
        <v>81</v>
      </c>
      <c r="Q181" s="1" t="s">
        <v>1554</v>
      </c>
      <c r="R181" s="1" t="s">
        <v>1524</v>
      </c>
      <c r="S181" s="1" t="s">
        <v>56</v>
      </c>
      <c r="T181" s="1" t="s">
        <v>1455</v>
      </c>
      <c r="U181" s="4" t="s">
        <v>1694</v>
      </c>
      <c r="X181" s="1" t="str">
        <f>IFERROR(__xludf.DUMMYFUNCTION("split(F181,"" ,:;.?!"")"),"Валеру")</f>
        <v>Валеру</v>
      </c>
      <c r="Y181" s="1" t="str">
        <f>IFERROR(__xludf.DUMMYFUNCTION("""COMPUTED_VALUE"""),"и")</f>
        <v>и</v>
      </c>
      <c r="Z181" s="1" t="str">
        <f>IFERROR(__xludf.DUMMYFUNCTION("""COMPUTED_VALUE"""),"он")</f>
        <v>он</v>
      </c>
      <c r="AA181" s="1" t="str">
        <f>IFERROR(__xludf.DUMMYFUNCTION("""COMPUTED_VALUE"""),"дал")</f>
        <v>дал</v>
      </c>
      <c r="AB181" s="1" t="str">
        <f>IFERROR(__xludf.DUMMYFUNCTION("""COMPUTED_VALUE"""),"мне")</f>
        <v>мне</v>
      </c>
      <c r="AC181" s="1" t="str">
        <f>IFERROR(__xludf.DUMMYFUNCTION("""COMPUTED_VALUE"""),"возможность")</f>
        <v>возможность</v>
      </c>
    </row>
    <row r="182" ht="14.25" customHeight="1">
      <c r="B182" s="1" t="s">
        <v>217</v>
      </c>
      <c r="C182" s="2"/>
      <c r="D182" s="7" t="s">
        <v>218</v>
      </c>
      <c r="E182" s="1" t="s">
        <v>25</v>
      </c>
      <c r="F182" s="4" t="s">
        <v>1695</v>
      </c>
      <c r="G182" s="4" t="s">
        <v>218</v>
      </c>
      <c r="H182" s="8" t="s">
        <v>135</v>
      </c>
      <c r="I182" s="4" t="s">
        <v>1696</v>
      </c>
      <c r="J182" s="1" t="s">
        <v>29</v>
      </c>
      <c r="L182" s="1" t="s">
        <v>1697</v>
      </c>
      <c r="M182" s="1" t="s">
        <v>1524</v>
      </c>
      <c r="N182" s="1" t="s">
        <v>51</v>
      </c>
      <c r="O182" s="1" t="s">
        <v>189</v>
      </c>
      <c r="P182" s="1" t="s">
        <v>1698</v>
      </c>
      <c r="Q182" s="1" t="s">
        <v>1554</v>
      </c>
      <c r="R182" s="1" t="s">
        <v>1524</v>
      </c>
      <c r="S182" s="1" t="s">
        <v>56</v>
      </c>
      <c r="T182" s="1" t="s">
        <v>1455</v>
      </c>
      <c r="U182" s="4" t="s">
        <v>1699</v>
      </c>
      <c r="X182" s="1" t="str">
        <f>IFERROR(__xludf.DUMMYFUNCTION("split(F182,"" ,:;.?!"")"),"гостям")</f>
        <v>гостям</v>
      </c>
      <c r="Y182" s="1" t="str">
        <f>IFERROR(__xludf.DUMMYFUNCTION("""COMPUTED_VALUE"""),"любого")</f>
        <v>любого</v>
      </c>
      <c r="Z182" s="1" t="str">
        <f>IFERROR(__xludf.DUMMYFUNCTION("""COMPUTED_VALUE"""),"возраста")</f>
        <v>возраста</v>
      </c>
      <c r="AA182" s="1" t="str">
        <f>IFERROR(__xludf.DUMMYFUNCTION("""COMPUTED_VALUE"""),"статуса")</f>
        <v>статуса</v>
      </c>
      <c r="AB182" s="1" t="str">
        <f>IFERROR(__xludf.DUMMYFUNCTION("""COMPUTED_VALUE"""),"и")</f>
        <v>и</v>
      </c>
      <c r="AC182" s="1" t="str">
        <f>IFERROR(__xludf.DUMMYFUNCTION("""COMPUTED_VALUE"""),"происхождения")</f>
        <v>происхождения</v>
      </c>
    </row>
    <row r="183" ht="14.25" customHeight="1">
      <c r="A183" s="1" t="s">
        <v>1700</v>
      </c>
      <c r="B183" s="1" t="s">
        <v>461</v>
      </c>
      <c r="C183" s="2" t="s">
        <v>1701</v>
      </c>
      <c r="D183" s="7" t="s">
        <v>463</v>
      </c>
      <c r="E183" s="1" t="s">
        <v>25</v>
      </c>
      <c r="F183" s="4" t="s">
        <v>1702</v>
      </c>
      <c r="G183" s="4" t="s">
        <v>463</v>
      </c>
      <c r="H183" s="8" t="s">
        <v>1703</v>
      </c>
      <c r="I183" s="4" t="s">
        <v>1704</v>
      </c>
      <c r="J183" s="1" t="s">
        <v>1705</v>
      </c>
      <c r="K183" s="1" t="s">
        <v>1706</v>
      </c>
      <c r="L183" s="1" t="s">
        <v>1707</v>
      </c>
      <c r="M183" s="1" t="s">
        <v>1708</v>
      </c>
      <c r="N183" s="1" t="s">
        <v>51</v>
      </c>
      <c r="O183" s="1" t="s">
        <v>189</v>
      </c>
      <c r="P183" s="1" t="s">
        <v>1709</v>
      </c>
      <c r="Q183" s="1" t="s">
        <v>1523</v>
      </c>
      <c r="R183" s="1" t="s">
        <v>1710</v>
      </c>
      <c r="S183" s="1" t="s">
        <v>56</v>
      </c>
      <c r="T183" s="1" t="s">
        <v>1455</v>
      </c>
      <c r="U183" s="4" t="s">
        <v>1711</v>
      </c>
      <c r="X183" s="1" t="str">
        <f>IFERROR(__xludf.DUMMYFUNCTION("split(F183,"" ,:;.?!"")"),"профессии")</f>
        <v>профессии</v>
      </c>
      <c r="Y183" s="1" t="str">
        <f>IFERROR(__xludf.DUMMYFUNCTION("""COMPUTED_VALUE"""),"обеспеченности")</f>
        <v>обеспеченности</v>
      </c>
      <c r="Z183" s="1" t="str">
        <f>IFERROR(__xludf.DUMMYFUNCTION("""COMPUTED_VALUE"""),"привычного")</f>
        <v>привычного</v>
      </c>
      <c r="AA183" s="1" t="str">
        <f>IFERROR(__xludf.DUMMYFUNCTION("""COMPUTED_VALUE"""),"статуса")</f>
        <v>статуса</v>
      </c>
      <c r="AB183" s="1" t="str">
        <f>IFERROR(__xludf.DUMMYFUNCTION("""COMPUTED_VALUE"""),"―")</f>
        <v>―</v>
      </c>
      <c r="AC183" s="1" t="str">
        <f>IFERROR(__xludf.DUMMYFUNCTION("""COMPUTED_VALUE"""),"это")</f>
        <v>это</v>
      </c>
      <c r="AD183" s="1" t="str">
        <f>IFERROR(__xludf.DUMMYFUNCTION("""COMPUTED_VALUE"""),"серьезный")</f>
        <v>серьезный</v>
      </c>
    </row>
    <row r="184" ht="14.25" customHeight="1">
      <c r="A184" s="1" t="s">
        <v>1712</v>
      </c>
      <c r="B184" s="1" t="s">
        <v>631</v>
      </c>
      <c r="C184" s="2" t="s">
        <v>1713</v>
      </c>
      <c r="D184" s="7" t="s">
        <v>633</v>
      </c>
      <c r="E184" s="1" t="s">
        <v>197</v>
      </c>
      <c r="F184" s="4" t="s">
        <v>1714</v>
      </c>
      <c r="G184" s="4" t="s">
        <v>633</v>
      </c>
      <c r="H184" s="8" t="s">
        <v>1715</v>
      </c>
      <c r="I184" s="4" t="s">
        <v>1716</v>
      </c>
      <c r="J184" s="1" t="s">
        <v>1717</v>
      </c>
      <c r="L184" s="1" t="s">
        <v>1718</v>
      </c>
      <c r="M184" s="1" t="s">
        <v>1719</v>
      </c>
      <c r="N184" s="1" t="s">
        <v>51</v>
      </c>
      <c r="O184" s="1" t="s">
        <v>189</v>
      </c>
      <c r="P184" s="1" t="s">
        <v>1720</v>
      </c>
      <c r="S184" s="1" t="s">
        <v>1721</v>
      </c>
      <c r="T184" s="1" t="s">
        <v>1455</v>
      </c>
      <c r="U184" s="4" t="s">
        <v>1722</v>
      </c>
      <c r="X184" s="1" t="str">
        <f>IFERROR(__xludf.DUMMYFUNCTION("split(F184,"" ,:;.?!"")"),"настоящим")</f>
        <v>настоящим</v>
      </c>
      <c r="Y184" s="1" t="str">
        <f>IFERROR(__xludf.DUMMYFUNCTION("""COMPUTED_VALUE"""),"здоровым")</f>
        <v>здоровым</v>
      </c>
      <c r="Z184" s="1" t="str">
        <f>IFERROR(__xludf.DUMMYFUNCTION("""COMPUTED_VALUE"""),"веселым")</f>
        <v>веселым</v>
      </c>
      <c r="AA184" s="1" t="str">
        <f>IFERROR(__xludf.DUMMYFUNCTION("""COMPUTED_VALUE"""),"жизнерадостным")</f>
        <v>жизнерадостным</v>
      </c>
    </row>
    <row r="185" ht="14.25" customHeight="1">
      <c r="A185" s="1" t="s">
        <v>1723</v>
      </c>
      <c r="B185" s="1" t="s">
        <v>1724</v>
      </c>
      <c r="C185" s="2" t="s">
        <v>1725</v>
      </c>
      <c r="D185" s="7" t="s">
        <v>1726</v>
      </c>
      <c r="E185" s="1" t="s">
        <v>25</v>
      </c>
      <c r="F185" s="4" t="s">
        <v>1727</v>
      </c>
      <c r="G185" s="4" t="s">
        <v>1726</v>
      </c>
      <c r="H185" s="8" t="s">
        <v>1728</v>
      </c>
      <c r="I185" s="4" t="s">
        <v>1729</v>
      </c>
      <c r="J185" s="1" t="s">
        <v>1730</v>
      </c>
      <c r="L185" s="1" t="s">
        <v>1731</v>
      </c>
      <c r="M185" s="1" t="s">
        <v>1732</v>
      </c>
      <c r="N185" s="1" t="s">
        <v>51</v>
      </c>
      <c r="O185" s="1" t="s">
        <v>1733</v>
      </c>
      <c r="P185" s="1" t="s">
        <v>53</v>
      </c>
      <c r="S185" s="1" t="s">
        <v>1721</v>
      </c>
      <c r="T185" s="1" t="s">
        <v>1455</v>
      </c>
      <c r="U185" s="4" t="s">
        <v>1734</v>
      </c>
      <c r="X185" s="1" t="str">
        <f>IFERROR(__xludf.DUMMYFUNCTION("split(F185,"" ,:;.?!"")"),"Русским")</f>
        <v>Русским</v>
      </c>
      <c r="Y185" s="1" t="str">
        <f>IFERROR(__xludf.DUMMYFUNCTION("""COMPUTED_VALUE"""),"музеем")</f>
        <v>музеем</v>
      </c>
      <c r="Z185" s="1" t="str">
        <f>IFERROR(__xludf.DUMMYFUNCTION("""COMPUTED_VALUE"""),"жанре")</f>
        <v>жанре</v>
      </c>
      <c r="AA185" s="1" t="str">
        <f>IFERROR(__xludf.DUMMYFUNCTION("""COMPUTED_VALUE"""),"эклектики")</f>
        <v>эклектики</v>
      </c>
      <c r="AB185" s="1" t="str">
        <f>IFERROR(__xludf.DUMMYFUNCTION("""COMPUTED_VALUE"""),"все")</f>
        <v>все</v>
      </c>
      <c r="AC185" s="1" t="str">
        <f>IFERROR(__xludf.DUMMYFUNCTION("""COMPUTED_VALUE"""),"что")</f>
        <v>что</v>
      </c>
    </row>
    <row r="186" ht="14.25" customHeight="1">
      <c r="A186" s="1" t="s">
        <v>1735</v>
      </c>
      <c r="B186" s="1" t="s">
        <v>1736</v>
      </c>
      <c r="C186" s="2" t="s">
        <v>1737</v>
      </c>
      <c r="D186" s="7" t="s">
        <v>1738</v>
      </c>
      <c r="E186" s="1" t="s">
        <v>25</v>
      </c>
      <c r="F186" s="4" t="s">
        <v>1739</v>
      </c>
      <c r="G186" s="4" t="s">
        <v>1738</v>
      </c>
      <c r="H186" s="8" t="s">
        <v>1740</v>
      </c>
      <c r="I186" s="4" t="s">
        <v>1741</v>
      </c>
      <c r="J186" s="1" t="s">
        <v>1742</v>
      </c>
      <c r="K186" s="1" t="s">
        <v>693</v>
      </c>
      <c r="L186" s="1" t="s">
        <v>1743</v>
      </c>
      <c r="M186" s="1" t="s">
        <v>1744</v>
      </c>
      <c r="N186" s="1" t="s">
        <v>51</v>
      </c>
      <c r="O186" s="1" t="s">
        <v>67</v>
      </c>
      <c r="P186" s="1" t="s">
        <v>53</v>
      </c>
      <c r="S186" s="1" t="s">
        <v>56</v>
      </c>
      <c r="T186" s="1" t="s">
        <v>1455</v>
      </c>
      <c r="U186" s="4" t="s">
        <v>1745</v>
      </c>
      <c r="X186" s="1" t="str">
        <f>IFERROR(__xludf.DUMMYFUNCTION("split(F186,"" ,:;.?!"")"),"оперу")</f>
        <v>оперу</v>
      </c>
      <c r="Y186" s="1" t="str">
        <f>IFERROR(__xludf.DUMMYFUNCTION("""COMPUTED_VALUE"""),"поэтому")</f>
        <v>поэтому</v>
      </c>
      <c r="Z186" s="1" t="str">
        <f>IFERROR(__xludf.DUMMYFUNCTION("""COMPUTED_VALUE"""),"описывает")</f>
        <v>описывает</v>
      </c>
      <c r="AA186" s="1" t="str">
        <f>IFERROR(__xludf.DUMMYFUNCTION("""COMPUTED_VALUE"""),"ее")</f>
        <v>ее</v>
      </c>
      <c r="AB186" s="1" t="str">
        <f>IFERROR(__xludf.DUMMYFUNCTION("""COMPUTED_VALUE"""),"бессмысленность")</f>
        <v>бессмысленность</v>
      </c>
      <c r="AC186" s="1" t="str">
        <f>IFERROR(__xludf.DUMMYFUNCTION("""COMPUTED_VALUE"""),"глазами")</f>
        <v>глазами</v>
      </c>
    </row>
    <row r="187" ht="14.25" customHeight="1">
      <c r="A187" s="1" t="s">
        <v>1746</v>
      </c>
      <c r="B187" s="1" t="s">
        <v>1747</v>
      </c>
      <c r="C187" s="2" t="s">
        <v>1748</v>
      </c>
      <c r="D187" s="7" t="s">
        <v>1749</v>
      </c>
      <c r="E187" s="1" t="s">
        <v>25</v>
      </c>
      <c r="F187" s="4" t="s">
        <v>1750</v>
      </c>
      <c r="G187" s="4" t="s">
        <v>1749</v>
      </c>
      <c r="H187" s="8" t="s">
        <v>1751</v>
      </c>
      <c r="I187" s="4" t="s">
        <v>1752</v>
      </c>
      <c r="J187" s="1" t="s">
        <v>1753</v>
      </c>
      <c r="L187" s="1" t="s">
        <v>1754</v>
      </c>
      <c r="M187" s="1" t="s">
        <v>1755</v>
      </c>
      <c r="N187" s="1" t="s">
        <v>51</v>
      </c>
      <c r="O187" s="1" t="s">
        <v>1756</v>
      </c>
      <c r="P187" s="1" t="s">
        <v>34</v>
      </c>
      <c r="S187" s="1" t="s">
        <v>56</v>
      </c>
      <c r="T187" s="1" t="s">
        <v>1455</v>
      </c>
      <c r="U187" s="4" t="s">
        <v>1757</v>
      </c>
      <c r="X187" s="1" t="str">
        <f>IFERROR(__xludf.DUMMYFUNCTION("split(F187,"" ,:;.?!"")"),"Вирджинии")</f>
        <v>Вирджинии</v>
      </c>
      <c r="Y187" s="1" t="str">
        <f>IFERROR(__xludf.DUMMYFUNCTION("""COMPUTED_VALUE"""),"Вулф")</f>
        <v>Вулф</v>
      </c>
      <c r="Z187" s="1" t="str">
        <f>IFERROR(__xludf.DUMMYFUNCTION("""COMPUTED_VALUE"""),"»")</f>
        <v>»</v>
      </c>
    </row>
    <row r="188" ht="14.25" customHeight="1">
      <c r="A188" s="1" t="s">
        <v>1758</v>
      </c>
      <c r="B188" s="1" t="s">
        <v>994</v>
      </c>
      <c r="C188" s="2" t="s">
        <v>1759</v>
      </c>
      <c r="D188" s="7" t="s">
        <v>996</v>
      </c>
      <c r="E188" s="1" t="s">
        <v>25</v>
      </c>
      <c r="F188" s="4" t="s">
        <v>1760</v>
      </c>
      <c r="G188" s="4" t="s">
        <v>996</v>
      </c>
      <c r="H188" s="8" t="s">
        <v>1518</v>
      </c>
      <c r="I188" s="4" t="s">
        <v>1761</v>
      </c>
      <c r="J188" s="1" t="s">
        <v>1762</v>
      </c>
      <c r="K188" s="1" t="s">
        <v>619</v>
      </c>
      <c r="L188" s="1" t="s">
        <v>1763</v>
      </c>
      <c r="M188" s="1" t="s">
        <v>1764</v>
      </c>
      <c r="N188" s="1" t="s">
        <v>51</v>
      </c>
      <c r="O188" s="1" t="s">
        <v>1756</v>
      </c>
      <c r="P188" s="1" t="s">
        <v>53</v>
      </c>
      <c r="S188" s="1" t="s">
        <v>56</v>
      </c>
      <c r="T188" s="1" t="s">
        <v>1455</v>
      </c>
      <c r="U188" s="4" t="s">
        <v>1765</v>
      </c>
      <c r="X188" s="1" t="str">
        <f>IFERROR(__xludf.DUMMYFUNCTION("split(F188,"" ,:;.?!"")"),"тому")</f>
        <v>тому</v>
      </c>
      <c r="Y188" s="1" t="str">
        <f>IFERROR(__xludf.DUMMYFUNCTION("""COMPUTED_VALUE"""),"что")</f>
        <v>что</v>
      </c>
      <c r="Z188" s="1" t="str">
        <f>IFERROR(__xludf.DUMMYFUNCTION("""COMPUTED_VALUE"""),"«Обратный")</f>
        <v>«Обратный</v>
      </c>
      <c r="AA188" s="1" t="str">
        <f>IFERROR(__xludf.DUMMYFUNCTION("""COMPUTED_VALUE"""),"адрес»")</f>
        <v>адрес»</v>
      </c>
      <c r="AB188" s="1" t="str">
        <f>IFERROR(__xludf.DUMMYFUNCTION("""COMPUTED_VALUE"""),"искупает")</f>
        <v>искупает</v>
      </c>
      <c r="AC188" s="1" t="str">
        <f>IFERROR(__xludf.DUMMYFUNCTION("""COMPUTED_VALUE"""),"монотонность")</f>
        <v>монотонность</v>
      </c>
    </row>
    <row r="189" ht="14.25" customHeight="1">
      <c r="A189" s="1" t="s">
        <v>1766</v>
      </c>
      <c r="B189" s="1" t="s">
        <v>397</v>
      </c>
      <c r="C189" s="2" t="s">
        <v>1767</v>
      </c>
      <c r="D189" s="7" t="s">
        <v>399</v>
      </c>
      <c r="E189" s="1" t="s">
        <v>25</v>
      </c>
      <c r="F189" s="4" t="s">
        <v>1768</v>
      </c>
      <c r="G189" s="4" t="s">
        <v>399</v>
      </c>
      <c r="H189" s="8" t="s">
        <v>1769</v>
      </c>
      <c r="I189" s="4" t="s">
        <v>1770</v>
      </c>
      <c r="J189" s="1" t="s">
        <v>1762</v>
      </c>
      <c r="K189" s="1" t="s">
        <v>619</v>
      </c>
      <c r="L189" s="1" t="s">
        <v>1771</v>
      </c>
      <c r="M189" s="1" t="s">
        <v>1772</v>
      </c>
      <c r="N189" s="1" t="s">
        <v>51</v>
      </c>
      <c r="O189" s="1" t="s">
        <v>1756</v>
      </c>
      <c r="P189" s="1" t="s">
        <v>53</v>
      </c>
      <c r="S189" s="1" t="s">
        <v>56</v>
      </c>
      <c r="T189" s="1" t="s">
        <v>1455</v>
      </c>
      <c r="U189" s="4" t="s">
        <v>1773</v>
      </c>
      <c r="X189" s="1" t="str">
        <f>IFERROR(__xludf.DUMMYFUNCTION("split(F189,"" ,:;.?!"")"),"цитатам")</f>
        <v>цитатам</v>
      </c>
      <c r="Y189" s="1" t="str">
        <f>IFERROR(__xludf.DUMMYFUNCTION("""COMPUTED_VALUE"""),"из")</f>
        <v>из</v>
      </c>
      <c r="Z189" s="1" t="str">
        <f>IFERROR(__xludf.DUMMYFUNCTION("""COMPUTED_VALUE"""),"эротических")</f>
        <v>эротических</v>
      </c>
      <c r="AA189" s="1" t="str">
        <f>IFERROR(__xludf.DUMMYFUNCTION("""COMPUTED_VALUE"""),"романов")</f>
        <v>романов</v>
      </c>
      <c r="AB189" s="1" t="str">
        <f>IFERROR(__xludf.DUMMYFUNCTION("""COMPUTED_VALUE"""),"Ирады")</f>
        <v>Ирады</v>
      </c>
      <c r="AC189" s="1" t="str">
        <f>IFERROR(__xludf.DUMMYFUNCTION("""COMPUTED_VALUE"""),"Вовненко")</f>
        <v>Вовненко</v>
      </c>
    </row>
    <row r="190" ht="14.25" customHeight="1">
      <c r="A190" s="1" t="s">
        <v>1774</v>
      </c>
      <c r="B190" s="1" t="s">
        <v>1775</v>
      </c>
      <c r="C190" s="2" t="s">
        <v>1776</v>
      </c>
      <c r="D190" s="7" t="s">
        <v>1777</v>
      </c>
      <c r="E190" s="1" t="s">
        <v>25</v>
      </c>
      <c r="F190" s="4" t="s">
        <v>1778</v>
      </c>
      <c r="G190" s="4" t="s">
        <v>1777</v>
      </c>
      <c r="H190" s="8" t="s">
        <v>1779</v>
      </c>
      <c r="I190" s="4" t="s">
        <v>1780</v>
      </c>
      <c r="J190" s="1" t="s">
        <v>1762</v>
      </c>
      <c r="K190" s="1" t="s">
        <v>619</v>
      </c>
      <c r="L190" s="1" t="s">
        <v>1781</v>
      </c>
      <c r="M190" s="1" t="s">
        <v>1782</v>
      </c>
      <c r="N190" s="1" t="s">
        <v>51</v>
      </c>
      <c r="O190" s="1" t="s">
        <v>1756</v>
      </c>
      <c r="P190" s="1" t="s">
        <v>34</v>
      </c>
      <c r="S190" s="1" t="s">
        <v>56</v>
      </c>
      <c r="T190" s="1" t="s">
        <v>1455</v>
      </c>
      <c r="U190" s="4" t="s">
        <v>1783</v>
      </c>
      <c r="X190" s="1" t="str">
        <f>IFERROR(__xludf.DUMMYFUNCTION("split(F190,"" ,:;.?!"")"),"экстраполяции")</f>
        <v>экстраполяции</v>
      </c>
      <c r="Y190" s="1" t="str">
        <f>IFERROR(__xludf.DUMMYFUNCTION("""COMPUTED_VALUE"""),"рассуждая")</f>
        <v>рассуждая</v>
      </c>
      <c r="Z190" s="1" t="str">
        <f>IFERROR(__xludf.DUMMYFUNCTION("""COMPUTED_VALUE"""),"об")</f>
        <v>об</v>
      </c>
      <c r="AA190" s="1" t="str">
        <f>IFERROR(__xludf.DUMMYFUNCTION("""COMPUTED_VALUE"""),"отношении")</f>
        <v>отношении</v>
      </c>
      <c r="AB190" s="1" t="str">
        <f>IFERROR(__xludf.DUMMYFUNCTION("""COMPUTED_VALUE"""),"людей")</f>
        <v>людей</v>
      </c>
      <c r="AC190" s="1" t="str">
        <f>IFERROR(__xludf.DUMMYFUNCTION("""COMPUTED_VALUE"""),"прошлого")</f>
        <v>прошлого</v>
      </c>
    </row>
    <row r="191" ht="14.25" customHeight="1">
      <c r="A191" s="1" t="s">
        <v>1784</v>
      </c>
      <c r="B191" s="1" t="s">
        <v>1785</v>
      </c>
      <c r="C191" s="2" t="s">
        <v>1786</v>
      </c>
      <c r="D191" s="7" t="s">
        <v>1787</v>
      </c>
      <c r="E191" s="1" t="s">
        <v>25</v>
      </c>
      <c r="F191" s="4" t="s">
        <v>1788</v>
      </c>
      <c r="G191" s="4" t="s">
        <v>1787</v>
      </c>
      <c r="H191" s="8" t="s">
        <v>1789</v>
      </c>
      <c r="I191" s="4" t="s">
        <v>1790</v>
      </c>
      <c r="J191" s="1" t="s">
        <v>1791</v>
      </c>
      <c r="L191" s="1" t="s">
        <v>1792</v>
      </c>
      <c r="M191" s="1" t="s">
        <v>1793</v>
      </c>
      <c r="N191" s="1" t="s">
        <v>51</v>
      </c>
      <c r="O191" s="1" t="s">
        <v>1794</v>
      </c>
      <c r="P191" s="1" t="s">
        <v>1795</v>
      </c>
      <c r="S191" s="1" t="s">
        <v>1721</v>
      </c>
      <c r="T191" s="1" t="s">
        <v>1455</v>
      </c>
      <c r="U191" s="4" t="s">
        <v>1796</v>
      </c>
      <c r="X191" s="1" t="str">
        <f>IFERROR(__xludf.DUMMYFUNCTION("split(F191,"" ,:;.?!"")"),"Юрку")</f>
        <v>Юрку</v>
      </c>
    </row>
    <row r="192" ht="14.25" customHeight="1">
      <c r="A192" s="1" t="s">
        <v>1797</v>
      </c>
      <c r="B192" s="1" t="s">
        <v>1798</v>
      </c>
      <c r="C192" s="2" t="s">
        <v>1799</v>
      </c>
      <c r="D192" s="7" t="s">
        <v>1800</v>
      </c>
      <c r="E192" s="1" t="s">
        <v>25</v>
      </c>
      <c r="F192" s="4" t="s">
        <v>1801</v>
      </c>
      <c r="G192" s="4" t="s">
        <v>1800</v>
      </c>
      <c r="H192" s="8" t="s">
        <v>1802</v>
      </c>
      <c r="I192" s="4" t="s">
        <v>1803</v>
      </c>
      <c r="J192" s="1" t="s">
        <v>1804</v>
      </c>
      <c r="K192" s="1" t="s">
        <v>1805</v>
      </c>
      <c r="L192" s="1" t="s">
        <v>1806</v>
      </c>
      <c r="M192" s="1" t="s">
        <v>1710</v>
      </c>
      <c r="N192" s="1" t="s">
        <v>51</v>
      </c>
      <c r="O192" s="1" t="s">
        <v>189</v>
      </c>
      <c r="P192" s="1" t="s">
        <v>1709</v>
      </c>
      <c r="Q192" s="1" t="s">
        <v>1554</v>
      </c>
      <c r="R192" s="1" t="s">
        <v>1710</v>
      </c>
      <c r="S192" s="1" t="s">
        <v>56</v>
      </c>
      <c r="T192" s="1" t="s">
        <v>1455</v>
      </c>
      <c r="U192" s="4" t="s">
        <v>1807</v>
      </c>
      <c r="X192" s="1" t="str">
        <f>IFERROR(__xludf.DUMMYFUNCTION("split(F192,"" ,:;.?!"")"),"Таратуту")</f>
        <v>Таратуту</v>
      </c>
    </row>
    <row r="193" ht="14.25" customHeight="1">
      <c r="A193" s="1" t="s">
        <v>1808</v>
      </c>
      <c r="B193" s="1" t="s">
        <v>1798</v>
      </c>
      <c r="C193" s="2" t="s">
        <v>1809</v>
      </c>
      <c r="D193" s="7" t="s">
        <v>1800</v>
      </c>
      <c r="E193" s="1" t="s">
        <v>25</v>
      </c>
      <c r="F193" s="4" t="s">
        <v>1810</v>
      </c>
      <c r="G193" s="4" t="s">
        <v>1800</v>
      </c>
      <c r="H193" s="8" t="s">
        <v>1811</v>
      </c>
      <c r="I193" s="4" t="s">
        <v>1803</v>
      </c>
      <c r="J193" s="1" t="s">
        <v>1804</v>
      </c>
      <c r="K193" s="1" t="s">
        <v>1805</v>
      </c>
      <c r="L193" s="1" t="s">
        <v>1806</v>
      </c>
      <c r="M193" s="1" t="s">
        <v>1710</v>
      </c>
      <c r="N193" s="1" t="s">
        <v>51</v>
      </c>
      <c r="O193" s="1" t="s">
        <v>189</v>
      </c>
      <c r="P193" s="1" t="s">
        <v>1709</v>
      </c>
      <c r="Q193" s="1" t="s">
        <v>1554</v>
      </c>
      <c r="R193" s="1" t="s">
        <v>1710</v>
      </c>
      <c r="S193" s="1" t="s">
        <v>56</v>
      </c>
      <c r="T193" s="1" t="s">
        <v>1455</v>
      </c>
      <c r="U193" s="4" t="s">
        <v>1812</v>
      </c>
      <c r="X193" s="1" t="str">
        <f>IFERROR(__xludf.DUMMYFUNCTION("split(F193,"" ,:;.?!"")"),"Юлию")</f>
        <v>Юлию</v>
      </c>
      <c r="Y193" s="1" t="str">
        <f>IFERROR(__xludf.DUMMYFUNCTION("""COMPUTED_VALUE"""),"Таратуту")</f>
        <v>Таратуту</v>
      </c>
      <c r="Z193" s="1" t="str">
        <f>IFERROR(__xludf.DUMMYFUNCTION("""COMPUTED_VALUE"""),"но")</f>
        <v>но</v>
      </c>
      <c r="AA193" s="1" t="str">
        <f>IFERROR(__xludf.DUMMYFUNCTION("""COMPUTED_VALUE"""),"я")</f>
        <v>я</v>
      </c>
      <c r="AB193" s="1" t="str">
        <f>IFERROR(__xludf.DUMMYFUNCTION("""COMPUTED_VALUE"""),"очень")</f>
        <v>очень</v>
      </c>
      <c r="AC193" s="1" t="str">
        <f>IFERROR(__xludf.DUMMYFUNCTION("""COMPUTED_VALUE"""),"не")</f>
        <v>не</v>
      </c>
    </row>
    <row r="194" ht="14.25" customHeight="1">
      <c r="A194" s="1" t="s">
        <v>1813</v>
      </c>
      <c r="B194" s="1" t="s">
        <v>1814</v>
      </c>
      <c r="C194" s="2" t="s">
        <v>1815</v>
      </c>
      <c r="D194" s="7" t="s">
        <v>1816</v>
      </c>
      <c r="E194" s="1" t="s">
        <v>25</v>
      </c>
      <c r="F194" s="4" t="s">
        <v>1817</v>
      </c>
      <c r="G194" s="4" t="s">
        <v>1816</v>
      </c>
      <c r="H194" s="8" t="s">
        <v>1818</v>
      </c>
      <c r="I194" s="4" t="s">
        <v>1803</v>
      </c>
      <c r="J194" s="1" t="s">
        <v>1804</v>
      </c>
      <c r="K194" s="1" t="s">
        <v>1805</v>
      </c>
      <c r="L194" s="1" t="s">
        <v>1806</v>
      </c>
      <c r="M194" s="1" t="s">
        <v>1710</v>
      </c>
      <c r="N194" s="1" t="s">
        <v>51</v>
      </c>
      <c r="O194" s="1" t="s">
        <v>189</v>
      </c>
      <c r="P194" s="1" t="s">
        <v>1709</v>
      </c>
      <c r="Q194" s="1" t="s">
        <v>1554</v>
      </c>
      <c r="R194" s="1" t="s">
        <v>1710</v>
      </c>
      <c r="S194" s="1" t="s">
        <v>56</v>
      </c>
      <c r="T194" s="1" t="s">
        <v>1455</v>
      </c>
      <c r="U194" s="4" t="s">
        <v>1819</v>
      </c>
      <c r="X194" s="1" t="str">
        <f>IFERROR(__xludf.DUMMYFUNCTION("split(F194,"" ,:;.?!"")"),"коррупции")</f>
        <v>коррупции</v>
      </c>
      <c r="Y194" s="1" t="str">
        <f>IFERROR(__xludf.DUMMYFUNCTION("""COMPUTED_VALUE"""),"но")</f>
        <v>но</v>
      </c>
      <c r="Z194" s="1" t="str">
        <f>IFERROR(__xludf.DUMMYFUNCTION("""COMPUTED_VALUE"""),"в")</f>
        <v>в</v>
      </c>
      <c r="AA194" s="1" t="str">
        <f>IFERROR(__xludf.DUMMYFUNCTION("""COMPUTED_VALUE"""),"то")</f>
        <v>то</v>
      </c>
      <c r="AB194" s="1" t="str">
        <f>IFERROR(__xludf.DUMMYFUNCTION("""COMPUTED_VALUE"""),"же")</f>
        <v>же</v>
      </c>
      <c r="AC194" s="1" t="str">
        <f>IFERROR(__xludf.DUMMYFUNCTION("""COMPUTED_VALUE"""),"время")</f>
        <v>время</v>
      </c>
    </row>
    <row r="195" ht="14.25" customHeight="1">
      <c r="A195" s="1" t="s">
        <v>1820</v>
      </c>
      <c r="B195" s="1" t="s">
        <v>1003</v>
      </c>
      <c r="C195" s="2" t="s">
        <v>1821</v>
      </c>
      <c r="D195" s="7" t="s">
        <v>1005</v>
      </c>
      <c r="E195" s="1" t="s">
        <v>25</v>
      </c>
      <c r="F195" s="4" t="s">
        <v>1822</v>
      </c>
      <c r="G195" s="4" t="s">
        <v>1005</v>
      </c>
      <c r="H195" s="8" t="s">
        <v>1823</v>
      </c>
      <c r="I195" s="4" t="s">
        <v>1824</v>
      </c>
      <c r="J195" s="1" t="s">
        <v>1825</v>
      </c>
      <c r="L195" s="1" t="s">
        <v>1826</v>
      </c>
      <c r="M195" s="1" t="s">
        <v>1710</v>
      </c>
      <c r="N195" s="1" t="s">
        <v>51</v>
      </c>
      <c r="O195" s="1" t="s">
        <v>67</v>
      </c>
      <c r="P195" s="1" t="s">
        <v>1827</v>
      </c>
      <c r="Q195" s="1" t="s">
        <v>1828</v>
      </c>
      <c r="R195" s="1" t="s">
        <v>1710</v>
      </c>
      <c r="S195" s="1" t="s">
        <v>70</v>
      </c>
      <c r="T195" s="1" t="s">
        <v>1455</v>
      </c>
      <c r="U195" s="4" t="s">
        <v>1829</v>
      </c>
      <c r="X195" s="1" t="str">
        <f>IFERROR(__xludf.DUMMYFUNCTION("split(F195,"" ,:;.?!"")"),"установке")</f>
        <v>установке</v>
      </c>
      <c r="Y195" s="1" t="str">
        <f>IFERROR(__xludf.DUMMYFUNCTION("""COMPUTED_VALUE"""),"нового")</f>
        <v>нового</v>
      </c>
      <c r="Z195" s="1" t="str">
        <f>IFERROR(__xludf.DUMMYFUNCTION("""COMPUTED_VALUE"""),"прибора")</f>
        <v>прибора</v>
      </c>
      <c r="AA195" s="1" t="str">
        <f>IFERROR(__xludf.DUMMYFUNCTION("""COMPUTED_VALUE"""),"размахивают")</f>
        <v>размахивают</v>
      </c>
      <c r="AB195" s="1" t="str">
        <f>IFERROR(__xludf.DUMMYFUNCTION("""COMPUTED_VALUE"""),"флагом")</f>
        <v>флагом</v>
      </c>
      <c r="AC195" s="1" t="str">
        <f>IFERROR(__xludf.DUMMYFUNCTION("""COMPUTED_VALUE"""),"России")</f>
        <v>России</v>
      </c>
    </row>
    <row r="196" ht="14.25" customHeight="1">
      <c r="A196" s="1" t="s">
        <v>1830</v>
      </c>
      <c r="B196" s="1" t="s">
        <v>493</v>
      </c>
      <c r="C196" s="2" t="s">
        <v>1831</v>
      </c>
      <c r="D196" s="7" t="s">
        <v>495</v>
      </c>
      <c r="E196" s="1" t="s">
        <v>25</v>
      </c>
      <c r="F196" s="4" t="s">
        <v>1832</v>
      </c>
      <c r="G196" s="4" t="s">
        <v>495</v>
      </c>
      <c r="H196" s="8" t="s">
        <v>1518</v>
      </c>
      <c r="I196" s="4" t="s">
        <v>1833</v>
      </c>
      <c r="J196" s="1" t="s">
        <v>1834</v>
      </c>
      <c r="L196" s="1" t="s">
        <v>1835</v>
      </c>
      <c r="M196" s="1" t="s">
        <v>1710</v>
      </c>
      <c r="N196" s="1" t="s">
        <v>51</v>
      </c>
      <c r="O196" s="1" t="s">
        <v>1372</v>
      </c>
      <c r="P196" s="1" t="s">
        <v>81</v>
      </c>
      <c r="Q196" s="1" t="s">
        <v>1554</v>
      </c>
      <c r="R196" s="1" t="s">
        <v>1710</v>
      </c>
      <c r="S196" s="1" t="s">
        <v>56</v>
      </c>
      <c r="T196" s="1" t="s">
        <v>1455</v>
      </c>
      <c r="U196" s="4" t="s">
        <v>1836</v>
      </c>
      <c r="X196" s="1" t="str">
        <f>IFERROR(__xludf.DUMMYFUNCTION("split(F196,"" ,:;.?!"")"),"тому")</f>
        <v>тому</v>
      </c>
      <c r="Y196" s="1" t="str">
        <f>IFERROR(__xludf.DUMMYFUNCTION("""COMPUTED_VALUE"""),"что")</f>
        <v>что</v>
      </c>
      <c r="Z196" s="1" t="str">
        <f>IFERROR(__xludf.DUMMYFUNCTION("""COMPUTED_VALUE"""),"в")</f>
        <v>в</v>
      </c>
      <c r="AA196" s="1" t="str">
        <f>IFERROR(__xludf.DUMMYFUNCTION("""COMPUTED_VALUE"""),"огромной")</f>
        <v>огромной</v>
      </c>
      <c r="AB196" s="1" t="str">
        <f>IFERROR(__xludf.DUMMYFUNCTION("""COMPUTED_VALUE"""),"очереди")</f>
        <v>очереди</v>
      </c>
      <c r="AC196" s="1" t="str">
        <f>IFERROR(__xludf.DUMMYFUNCTION("""COMPUTED_VALUE"""),"к")</f>
        <v>к</v>
      </c>
    </row>
    <row r="197" ht="14.25" customHeight="1">
      <c r="A197" s="1" t="s">
        <v>1837</v>
      </c>
      <c r="B197" s="1" t="s">
        <v>493</v>
      </c>
      <c r="C197" s="2" t="s">
        <v>1838</v>
      </c>
      <c r="D197" s="7" t="s">
        <v>495</v>
      </c>
      <c r="E197" s="1" t="s">
        <v>25</v>
      </c>
      <c r="F197" s="10" t="s">
        <v>1839</v>
      </c>
      <c r="G197" s="4" t="s">
        <v>495</v>
      </c>
      <c r="H197" s="8" t="s">
        <v>1839</v>
      </c>
      <c r="I197" s="4" t="s">
        <v>1840</v>
      </c>
      <c r="J197" s="1" t="s">
        <v>1841</v>
      </c>
      <c r="K197" s="1" t="s">
        <v>1842</v>
      </c>
      <c r="L197" s="1" t="s">
        <v>1843</v>
      </c>
      <c r="M197" s="1" t="s">
        <v>1710</v>
      </c>
      <c r="N197" s="1" t="s">
        <v>51</v>
      </c>
      <c r="O197" s="1" t="s">
        <v>1844</v>
      </c>
      <c r="P197" s="1" t="s">
        <v>1845</v>
      </c>
      <c r="R197" s="1" t="s">
        <v>1710</v>
      </c>
      <c r="S197" s="1" t="s">
        <v>56</v>
      </c>
      <c r="T197" s="1" t="s">
        <v>1455</v>
      </c>
      <c r="U197" s="4" t="s">
        <v>1846</v>
      </c>
      <c r="X197" s="1" t="str">
        <f>IFERROR(__xludf.DUMMYFUNCTION("split(F197,"" ,:;.?!"")"),"агрессии")</f>
        <v>агрессии</v>
      </c>
    </row>
    <row r="198" ht="14.25" customHeight="1">
      <c r="A198" s="1" t="s">
        <v>1847</v>
      </c>
      <c r="B198" s="1" t="s">
        <v>776</v>
      </c>
      <c r="C198" s="2" t="s">
        <v>1848</v>
      </c>
      <c r="D198" s="7" t="s">
        <v>778</v>
      </c>
      <c r="E198" s="1" t="s">
        <v>25</v>
      </c>
      <c r="F198" s="4" t="s">
        <v>1849</v>
      </c>
      <c r="G198" s="4" t="s">
        <v>778</v>
      </c>
      <c r="H198" s="8" t="s">
        <v>1850</v>
      </c>
      <c r="I198" s="4" t="s">
        <v>1851</v>
      </c>
      <c r="J198" s="1" t="s">
        <v>1852</v>
      </c>
      <c r="L198" s="1" t="s">
        <v>1853</v>
      </c>
      <c r="M198" s="1" t="s">
        <v>1710</v>
      </c>
      <c r="N198" s="1" t="s">
        <v>51</v>
      </c>
      <c r="O198" s="1" t="s">
        <v>1844</v>
      </c>
      <c r="P198" s="1" t="s">
        <v>1854</v>
      </c>
      <c r="R198" s="1" t="s">
        <v>1710</v>
      </c>
      <c r="S198" s="1" t="s">
        <v>56</v>
      </c>
      <c r="T198" s="1" t="s">
        <v>1455</v>
      </c>
      <c r="U198" s="4" t="s">
        <v>1855</v>
      </c>
      <c r="X198" s="1" t="str">
        <f>IFERROR(__xludf.DUMMYFUNCTION("split(F198,"" ,:;.?!"")"),"святому")</f>
        <v>святому</v>
      </c>
      <c r="Y198" s="1" t="str">
        <f>IFERROR(__xludf.DUMMYFUNCTION("""COMPUTED_VALUE"""),"не")</f>
        <v>не</v>
      </c>
      <c r="Z198" s="1" t="str">
        <f>IFERROR(__xludf.DUMMYFUNCTION("""COMPUTED_VALUE"""),"претендующее")</f>
        <v>претендующее</v>
      </c>
      <c r="AA198" s="1" t="str">
        <f>IFERROR(__xludf.DUMMYFUNCTION("""COMPUTED_VALUE"""),"на")</f>
        <v>на</v>
      </c>
      <c r="AB198" s="1" t="str">
        <f>IFERROR(__xludf.DUMMYFUNCTION("""COMPUTED_VALUE"""),"то")</f>
        <v>то</v>
      </c>
      <c r="AC198" s="1" t="str">
        <f>IFERROR(__xludf.DUMMYFUNCTION("""COMPUTED_VALUE"""),"что")</f>
        <v>что</v>
      </c>
    </row>
    <row r="199" ht="14.25" customHeight="1">
      <c r="A199" s="1" t="s">
        <v>1856</v>
      </c>
      <c r="B199" s="1" t="s">
        <v>1445</v>
      </c>
      <c r="C199" s="2" t="s">
        <v>1857</v>
      </c>
      <c r="D199" s="7" t="s">
        <v>1447</v>
      </c>
      <c r="E199" s="1" t="s">
        <v>197</v>
      </c>
      <c r="F199" s="4" t="s">
        <v>1858</v>
      </c>
      <c r="G199" s="4" t="s">
        <v>1447</v>
      </c>
      <c r="H199" s="8" t="s">
        <v>1859</v>
      </c>
      <c r="I199" s="4" t="s">
        <v>1860</v>
      </c>
      <c r="J199" s="1" t="s">
        <v>1861</v>
      </c>
      <c r="L199" s="1" t="s">
        <v>1862</v>
      </c>
      <c r="M199" s="1" t="s">
        <v>1710</v>
      </c>
      <c r="N199" s="1" t="s">
        <v>51</v>
      </c>
      <c r="O199" s="1" t="s">
        <v>52</v>
      </c>
      <c r="P199" s="1" t="s">
        <v>1863</v>
      </c>
      <c r="R199" s="1" t="s">
        <v>1710</v>
      </c>
      <c r="S199" s="1" t="s">
        <v>56</v>
      </c>
      <c r="T199" s="1" t="s">
        <v>1455</v>
      </c>
      <c r="U199" s="4" t="s">
        <v>1864</v>
      </c>
      <c r="X199" s="1" t="str">
        <f>IFERROR(__xludf.DUMMYFUNCTION("split(F199,"" ,:;.?!"")"),"чаще")</f>
        <v>чаще</v>
      </c>
      <c r="Y199" s="1" t="str">
        <f>IFERROR(__xludf.DUMMYFUNCTION("""COMPUTED_VALUE"""),"всего")</f>
        <v>всего</v>
      </c>
      <c r="Z199" s="1" t="str">
        <f>IFERROR(__xludf.DUMMYFUNCTION("""COMPUTED_VALUE"""),"походный")</f>
        <v>походный</v>
      </c>
      <c r="AA199" s="1" t="str">
        <f>IFERROR(__xludf.DUMMYFUNCTION("""COMPUTED_VALUE"""),"опыт")</f>
        <v>опыт</v>
      </c>
      <c r="AB199" s="1" t="str">
        <f>IFERROR(__xludf.DUMMYFUNCTION("""COMPUTED_VALUE"""),"хорошо")</f>
        <v>хорошо</v>
      </c>
      <c r="AC199" s="1" t="str">
        <f>IFERROR(__xludf.DUMMYFUNCTION("""COMPUTED_VALUE"""),"сказывается")</f>
        <v>сказывается</v>
      </c>
    </row>
    <row r="200" ht="14.25" customHeight="1">
      <c r="A200" s="1" t="s">
        <v>1865</v>
      </c>
      <c r="B200" s="1" t="s">
        <v>1445</v>
      </c>
      <c r="C200" s="2" t="s">
        <v>1866</v>
      </c>
      <c r="D200" s="7" t="s">
        <v>1447</v>
      </c>
      <c r="E200" s="1" t="s">
        <v>25</v>
      </c>
      <c r="F200" s="4" t="s">
        <v>1867</v>
      </c>
      <c r="G200" s="4" t="s">
        <v>1447</v>
      </c>
      <c r="H200" s="8" t="s">
        <v>1666</v>
      </c>
      <c r="I200" s="4" t="s">
        <v>1868</v>
      </c>
      <c r="J200" s="1" t="s">
        <v>1869</v>
      </c>
      <c r="L200" s="1" t="s">
        <v>1870</v>
      </c>
      <c r="M200" s="1" t="s">
        <v>1710</v>
      </c>
      <c r="N200" s="1" t="s">
        <v>126</v>
      </c>
      <c r="O200" s="1" t="s">
        <v>67</v>
      </c>
      <c r="P200" s="1" t="s">
        <v>1871</v>
      </c>
      <c r="Q200" s="1" t="s">
        <v>1872</v>
      </c>
      <c r="R200" s="1" t="s">
        <v>1710</v>
      </c>
      <c r="S200" s="1" t="s">
        <v>70</v>
      </c>
      <c r="T200" s="1" t="s">
        <v>1455</v>
      </c>
      <c r="U200" s="4" t="s">
        <v>1873</v>
      </c>
      <c r="X200" s="1" t="str">
        <f>IFERROR(__xludf.DUMMYFUNCTION("split(F200,"" ,:;.?!"")"),"были")</f>
        <v>были</v>
      </c>
      <c r="Y200" s="1" t="str">
        <f>IFERROR(__xludf.DUMMYFUNCTION("""COMPUTED_VALUE"""),"гораздо")</f>
        <v>гораздо</v>
      </c>
      <c r="Z200" s="1" t="str">
        <f>IFERROR(__xludf.DUMMYFUNCTION("""COMPUTED_VALUE"""),"моложе")</f>
        <v>моложе</v>
      </c>
      <c r="AA200" s="1" t="str">
        <f>IFERROR(__xludf.DUMMYFUNCTION("""COMPUTED_VALUE"""),"документов")</f>
        <v>документов</v>
      </c>
      <c r="AB200" s="1" t="str">
        <f>IFERROR(__xludf.DUMMYFUNCTION("""COMPUTED_VALUE"""),"на")</f>
        <v>на</v>
      </c>
      <c r="AC200" s="1" t="str">
        <f>IFERROR(__xludf.DUMMYFUNCTION("""COMPUTED_VALUE"""),"бумаге")</f>
        <v>бумаге</v>
      </c>
    </row>
    <row r="201" ht="14.25" customHeight="1">
      <c r="A201" s="1" t="s">
        <v>25</v>
      </c>
      <c r="B201" s="1" t="s">
        <v>1874</v>
      </c>
      <c r="C201" s="2"/>
      <c r="D201" s="7" t="s">
        <v>1875</v>
      </c>
      <c r="E201" s="1" t="s">
        <v>25</v>
      </c>
      <c r="F201" s="4" t="s">
        <v>1876</v>
      </c>
      <c r="G201" s="4" t="s">
        <v>1875</v>
      </c>
      <c r="H201" s="8" t="s">
        <v>522</v>
      </c>
      <c r="I201" s="4" t="s">
        <v>1877</v>
      </c>
      <c r="J201" s="1" t="s">
        <v>1878</v>
      </c>
      <c r="K201" s="1" t="s">
        <v>810</v>
      </c>
      <c r="L201" s="1" t="s">
        <v>1879</v>
      </c>
      <c r="M201" s="1" t="s">
        <v>1710</v>
      </c>
      <c r="N201" s="1" t="s">
        <v>51</v>
      </c>
      <c r="O201" s="1" t="s">
        <v>67</v>
      </c>
      <c r="P201" s="1" t="s">
        <v>1373</v>
      </c>
      <c r="Q201" s="1" t="s">
        <v>1828</v>
      </c>
      <c r="R201" s="1" t="s">
        <v>1710</v>
      </c>
      <c r="S201" s="1" t="s">
        <v>70</v>
      </c>
      <c r="T201" s="1" t="s">
        <v>1455</v>
      </c>
      <c r="U201" s="4" t="s">
        <v>1880</v>
      </c>
      <c r="X201" s="1" t="str">
        <f>IFERROR(__xludf.DUMMYFUNCTION("split(F201,"" ,:;.?!"")"),"успехам")</f>
        <v>успехам</v>
      </c>
      <c r="Y201" s="1" t="str">
        <f>IFERROR(__xludf.DUMMYFUNCTION("""COMPUTED_VALUE"""),"российских")</f>
        <v>российских</v>
      </c>
      <c r="Z201" s="1" t="str">
        <f>IFERROR(__xludf.DUMMYFUNCTION("""COMPUTED_VALUE"""),"школьников")</f>
        <v>школьников</v>
      </c>
      <c r="AA201" s="1" t="str">
        <f>IFERROR(__xludf.DUMMYFUNCTION("""COMPUTED_VALUE"""),"погордились")</f>
        <v>погордились</v>
      </c>
    </row>
    <row r="202" ht="14.25" customHeight="1">
      <c r="A202" s="1" t="s">
        <v>1881</v>
      </c>
      <c r="B202" s="1" t="s">
        <v>1882</v>
      </c>
      <c r="C202" s="2" t="s">
        <v>1883</v>
      </c>
      <c r="D202" s="7" t="s">
        <v>1884</v>
      </c>
      <c r="E202" s="1" t="s">
        <v>25</v>
      </c>
      <c r="F202" s="4" t="s">
        <v>1885</v>
      </c>
      <c r="G202" s="4" t="s">
        <v>1884</v>
      </c>
      <c r="H202" s="8" t="s">
        <v>1886</v>
      </c>
      <c r="I202" s="4" t="s">
        <v>1887</v>
      </c>
      <c r="J202" s="1" t="s">
        <v>1888</v>
      </c>
      <c r="L202" s="1" t="s">
        <v>1889</v>
      </c>
      <c r="M202" s="1" t="s">
        <v>1710</v>
      </c>
      <c r="N202" s="1" t="s">
        <v>51</v>
      </c>
      <c r="O202" s="1" t="s">
        <v>1794</v>
      </c>
      <c r="P202" s="1" t="s">
        <v>1890</v>
      </c>
      <c r="Q202" s="1" t="s">
        <v>1828</v>
      </c>
      <c r="R202" s="1" t="s">
        <v>1710</v>
      </c>
      <c r="S202" s="1" t="s">
        <v>70</v>
      </c>
      <c r="T202" s="1" t="s">
        <v>1455</v>
      </c>
      <c r="U202" s="4" t="s">
        <v>1891</v>
      </c>
      <c r="X202" s="1" t="str">
        <f>IFERROR(__xludf.DUMMYFUNCTION("split(F202,"" ,:;.?!"")"),"баню")</f>
        <v>баню</v>
      </c>
      <c r="Y202" s="1" t="str">
        <f>IFERROR(__xludf.DUMMYFUNCTION("""COMPUTED_VALUE"""),"их")</f>
        <v>их</v>
      </c>
      <c r="Z202" s="1" t="str">
        <f>IFERROR(__xludf.DUMMYFUNCTION("""COMPUTED_VALUE"""),"бы")</f>
        <v>бы</v>
      </c>
      <c r="AA202" s="1" t="str">
        <f>IFERROR(__xludf.DUMMYFUNCTION("""COMPUTED_VALUE"""),"наш")</f>
        <v>наш</v>
      </c>
      <c r="AB202" s="1" t="str">
        <f>IFERROR(__xludf.DUMMYFUNCTION("""COMPUTED_VALUE"""),"университетский")</f>
        <v>университетский</v>
      </c>
      <c r="AC202" s="1" t="str">
        <f>IFERROR(__xludf.DUMMYFUNCTION("""COMPUTED_VALUE"""),"душ")</f>
        <v>душ</v>
      </c>
    </row>
    <row r="203" ht="14.25" customHeight="1">
      <c r="A203" s="1" t="s">
        <v>1892</v>
      </c>
      <c r="B203" s="1" t="s">
        <v>156</v>
      </c>
      <c r="C203" s="2" t="s">
        <v>1893</v>
      </c>
      <c r="D203" s="7" t="s">
        <v>158</v>
      </c>
      <c r="E203" s="1" t="s">
        <v>25</v>
      </c>
      <c r="F203" s="4" t="s">
        <v>1894</v>
      </c>
      <c r="G203" s="4" t="s">
        <v>158</v>
      </c>
      <c r="H203" s="8" t="s">
        <v>1895</v>
      </c>
      <c r="I203" s="4" t="s">
        <v>1896</v>
      </c>
      <c r="J203" s="1" t="s">
        <v>1897</v>
      </c>
      <c r="L203" s="1" t="s">
        <v>1898</v>
      </c>
      <c r="M203" s="1" t="s">
        <v>1899</v>
      </c>
      <c r="N203" s="1" t="s">
        <v>51</v>
      </c>
      <c r="O203" s="1" t="s">
        <v>1844</v>
      </c>
      <c r="P203" s="1" t="s">
        <v>53</v>
      </c>
      <c r="S203" s="1" t="s">
        <v>56</v>
      </c>
      <c r="T203" s="1" t="s">
        <v>1455</v>
      </c>
      <c r="U203" s="4" t="s">
        <v>1900</v>
      </c>
      <c r="X203" s="1" t="str">
        <f>IFERROR(__xludf.DUMMYFUNCTION("split(F203,"" ,:;.?!"")"),"популярности")</f>
        <v>популярности</v>
      </c>
      <c r="Y203" s="1" t="str">
        <f>IFERROR(__xludf.DUMMYFUNCTION("""COMPUTED_VALUE"""),"продавать")</f>
        <v>продавать</v>
      </c>
      <c r="Z203" s="1" t="str">
        <f>IFERROR(__xludf.DUMMYFUNCTION("""COMPUTED_VALUE"""),"электронные")</f>
        <v>электронные</v>
      </c>
      <c r="AA203" s="1" t="str">
        <f>IFERROR(__xludf.DUMMYFUNCTION("""COMPUTED_VALUE"""),"копии")</f>
        <v>копии</v>
      </c>
    </row>
    <row r="204" ht="14.25" customHeight="1">
      <c r="A204" s="1" t="s">
        <v>1901</v>
      </c>
      <c r="B204" s="1" t="s">
        <v>156</v>
      </c>
      <c r="C204" s="2" t="s">
        <v>1902</v>
      </c>
      <c r="D204" s="7" t="s">
        <v>158</v>
      </c>
      <c r="E204" s="1" t="s">
        <v>25</v>
      </c>
      <c r="F204" s="4" t="s">
        <v>1903</v>
      </c>
      <c r="G204" s="4" t="s">
        <v>158</v>
      </c>
      <c r="H204" s="8" t="s">
        <v>1904</v>
      </c>
      <c r="I204" s="4" t="s">
        <v>1905</v>
      </c>
      <c r="J204" s="1" t="s">
        <v>1906</v>
      </c>
      <c r="K204" s="1" t="s">
        <v>1907</v>
      </c>
      <c r="L204" s="1" t="s">
        <v>1908</v>
      </c>
      <c r="M204" s="1" t="s">
        <v>1909</v>
      </c>
      <c r="N204" s="1" t="s">
        <v>51</v>
      </c>
      <c r="O204" s="1" t="s">
        <v>67</v>
      </c>
      <c r="P204" s="1" t="s">
        <v>1910</v>
      </c>
      <c r="Q204" s="1" t="s">
        <v>1911</v>
      </c>
      <c r="R204" s="1" t="s">
        <v>1909</v>
      </c>
      <c r="S204" s="1" t="s">
        <v>70</v>
      </c>
      <c r="T204" s="1" t="s">
        <v>1455</v>
      </c>
      <c r="U204" s="4" t="s">
        <v>1912</v>
      </c>
      <c r="X204" s="1" t="str">
        <f>IFERROR(__xludf.DUMMYFUNCTION("split(F204,"" ,:;.?!"")"),"промахам")</f>
        <v>промахам</v>
      </c>
      <c r="Y204" s="1" t="str">
        <f>IFERROR(__xludf.DUMMYFUNCTION("""COMPUTED_VALUE"""),"―")</f>
        <v>―</v>
      </c>
      <c r="Z204" s="1" t="str">
        <f>IFERROR(__xludf.DUMMYFUNCTION("""COMPUTED_VALUE"""),"критиковать")</f>
        <v>критиковать</v>
      </c>
      <c r="AA204" s="1" t="str">
        <f>IFERROR(__xludf.DUMMYFUNCTION("""COMPUTED_VALUE"""),"принципиально")</f>
        <v>принципиально</v>
      </c>
      <c r="AB204" s="1" t="str">
        <f>IFERROR(__xludf.DUMMYFUNCTION("""COMPUTED_VALUE"""),"без")</f>
        <v>без</v>
      </c>
      <c r="AC204" s="1" t="str">
        <f>IFERROR(__xludf.DUMMYFUNCTION("""COMPUTED_VALUE"""),"панибратства")</f>
        <v>панибратства</v>
      </c>
      <c r="AD204" s="1" t="str">
        <f>IFERROR(__xludf.DUMMYFUNCTION("""COMPUTED_VALUE"""),"помогать")</f>
        <v>помогать</v>
      </c>
    </row>
    <row r="205" ht="14.25" customHeight="1">
      <c r="A205" s="1" t="s">
        <v>1913</v>
      </c>
      <c r="B205" s="1" t="s">
        <v>442</v>
      </c>
      <c r="C205" s="2" t="s">
        <v>1914</v>
      </c>
      <c r="D205" s="7" t="s">
        <v>444</v>
      </c>
      <c r="E205" s="1" t="s">
        <v>25</v>
      </c>
      <c r="F205" s="4" t="s">
        <v>1915</v>
      </c>
      <c r="G205" s="4" t="s">
        <v>444</v>
      </c>
      <c r="H205" s="8" t="s">
        <v>1550</v>
      </c>
      <c r="I205" s="4" t="s">
        <v>1916</v>
      </c>
      <c r="J205" s="1" t="s">
        <v>1906</v>
      </c>
      <c r="K205" s="1" t="s">
        <v>1907</v>
      </c>
      <c r="L205" s="1" t="s">
        <v>1917</v>
      </c>
      <c r="M205" s="1" t="s">
        <v>1909</v>
      </c>
      <c r="N205" s="1" t="s">
        <v>51</v>
      </c>
      <c r="O205" s="1" t="s">
        <v>67</v>
      </c>
      <c r="P205" s="1" t="s">
        <v>1910</v>
      </c>
      <c r="Q205" s="1" t="s">
        <v>1911</v>
      </c>
      <c r="R205" s="1" t="s">
        <v>1909</v>
      </c>
      <c r="S205" s="1" t="s">
        <v>70</v>
      </c>
      <c r="T205" s="1" t="s">
        <v>1455</v>
      </c>
      <c r="U205" s="4" t="s">
        <v>1918</v>
      </c>
      <c r="X205" s="1" t="str">
        <f>IFERROR(__xludf.DUMMYFUNCTION("split(F205,"" ,:;.?!"")"),"делом")</f>
        <v>делом</v>
      </c>
      <c r="Y205" s="1" t="str">
        <f>IFERROR(__xludf.DUMMYFUNCTION("""COMPUTED_VALUE"""),"доказать")</f>
        <v>доказать</v>
      </c>
      <c r="Z205" s="1" t="str">
        <f>IFERROR(__xludf.DUMMYFUNCTION("""COMPUTED_VALUE"""),"преданность")</f>
        <v>преданность</v>
      </c>
      <c r="AA205" s="1" t="str">
        <f>IFERROR(__xludf.DUMMYFUNCTION("""COMPUTED_VALUE"""),"Родине")</f>
        <v>Родине</v>
      </c>
    </row>
    <row r="206" ht="14.25" customHeight="1">
      <c r="A206" s="1" t="s">
        <v>25</v>
      </c>
      <c r="B206" s="1" t="s">
        <v>1474</v>
      </c>
      <c r="C206" s="2"/>
      <c r="D206" s="7" t="s">
        <v>1475</v>
      </c>
      <c r="E206" s="1" t="s">
        <v>25</v>
      </c>
      <c r="F206" s="4" t="s">
        <v>1919</v>
      </c>
      <c r="G206" s="4" t="s">
        <v>1475</v>
      </c>
      <c r="H206" s="8" t="s">
        <v>1920</v>
      </c>
      <c r="I206" s="4" t="s">
        <v>1921</v>
      </c>
      <c r="J206" s="1" t="s">
        <v>1922</v>
      </c>
      <c r="K206" s="1" t="s">
        <v>1907</v>
      </c>
      <c r="L206" s="1" t="s">
        <v>1923</v>
      </c>
      <c r="M206" s="1" t="s">
        <v>1909</v>
      </c>
      <c r="N206" s="1" t="s">
        <v>51</v>
      </c>
      <c r="O206" s="1" t="s">
        <v>270</v>
      </c>
      <c r="P206" s="1" t="s">
        <v>1924</v>
      </c>
      <c r="Q206" s="1" t="s">
        <v>1911</v>
      </c>
      <c r="R206" s="1" t="s">
        <v>1909</v>
      </c>
      <c r="S206" s="1" t="s">
        <v>70</v>
      </c>
      <c r="T206" s="1" t="s">
        <v>1455</v>
      </c>
      <c r="U206" s="4" t="s">
        <v>1925</v>
      </c>
      <c r="X206" s="1" t="str">
        <f>IFERROR(__xludf.DUMMYFUNCTION("split(F206,"" ,:;.?!"")"),"пару")</f>
        <v>пару</v>
      </c>
      <c r="Y206" s="1" t="str">
        <f>IFERROR(__xludf.DUMMYFUNCTION("""COMPUTED_VALUE"""),"раз")</f>
        <v>раз</v>
      </c>
      <c r="Z206" s="1" t="str">
        <f>IFERROR(__xludf.DUMMYFUNCTION("""COMPUTED_VALUE"""),"ходили")</f>
        <v>ходили</v>
      </c>
      <c r="AA206" s="1" t="str">
        <f>IFERROR(__xludf.DUMMYFUNCTION("""COMPUTED_VALUE"""),"красивые")</f>
        <v>красивые</v>
      </c>
      <c r="AB206" s="1" t="str">
        <f>IFERROR(__xludf.DUMMYFUNCTION("""COMPUTED_VALUE"""),"и")</f>
        <v>и</v>
      </c>
      <c r="AC206" s="1" t="str">
        <f>IFERROR(__xludf.DUMMYFUNCTION("""COMPUTED_VALUE"""),"певучие")</f>
        <v>певучие</v>
      </c>
    </row>
    <row r="207" ht="14.25" customHeight="1">
      <c r="A207" s="1" t="s">
        <v>1926</v>
      </c>
      <c r="B207" s="1" t="s">
        <v>851</v>
      </c>
      <c r="C207" s="2" t="s">
        <v>1927</v>
      </c>
      <c r="D207" s="7" t="s">
        <v>853</v>
      </c>
      <c r="E207" s="1" t="s">
        <v>25</v>
      </c>
      <c r="F207" s="4" t="s">
        <v>1928</v>
      </c>
      <c r="G207" s="4" t="s">
        <v>853</v>
      </c>
      <c r="H207" s="8" t="s">
        <v>1929</v>
      </c>
      <c r="I207" s="4" t="s">
        <v>1930</v>
      </c>
      <c r="J207" s="1" t="s">
        <v>1931</v>
      </c>
      <c r="K207" s="1" t="s">
        <v>363</v>
      </c>
      <c r="L207" s="1" t="s">
        <v>1932</v>
      </c>
      <c r="M207" s="1" t="s">
        <v>1909</v>
      </c>
      <c r="N207" s="1" t="s">
        <v>51</v>
      </c>
      <c r="O207" s="1" t="s">
        <v>889</v>
      </c>
      <c r="P207" s="1" t="s">
        <v>81</v>
      </c>
      <c r="Q207" s="1" t="s">
        <v>1911</v>
      </c>
      <c r="R207" s="1" t="s">
        <v>1909</v>
      </c>
      <c r="S207" s="1" t="s">
        <v>70</v>
      </c>
      <c r="T207" s="1" t="s">
        <v>1455</v>
      </c>
      <c r="U207" s="4" t="s">
        <v>1933</v>
      </c>
      <c r="X207" s="1" t="str">
        <f>IFERROR(__xludf.DUMMYFUNCTION("split(F207,"" ,:;.?!"")"),"многообразию")</f>
        <v>многообразию</v>
      </c>
      <c r="Y207" s="1" t="str">
        <f>IFERROR(__xludf.DUMMYFUNCTION("""COMPUTED_VALUE"""),"и")</f>
        <v>и</v>
      </c>
      <c r="Z207" s="1" t="str">
        <f>IFERROR(__xludf.DUMMYFUNCTION("""COMPUTED_VALUE"""),"неповторяемости")</f>
        <v>неповторяемости</v>
      </c>
      <c r="AA207" s="1" t="str">
        <f>IFERROR(__xludf.DUMMYFUNCTION("""COMPUTED_VALUE"""),"каждого")</f>
        <v>каждого</v>
      </c>
      <c r="AB207" s="1" t="str">
        <f>IFERROR(__xludf.DUMMYFUNCTION("""COMPUTED_VALUE"""),"дня")</f>
        <v>дня</v>
      </c>
    </row>
    <row r="208" ht="14.25" customHeight="1">
      <c r="A208" s="1" t="s">
        <v>1934</v>
      </c>
      <c r="B208" s="1" t="s">
        <v>1935</v>
      </c>
      <c r="C208" s="2" t="s">
        <v>1936</v>
      </c>
      <c r="D208" s="7" t="s">
        <v>1937</v>
      </c>
      <c r="E208" s="1" t="s">
        <v>25</v>
      </c>
      <c r="F208" s="4" t="s">
        <v>1938</v>
      </c>
      <c r="G208" s="4" t="s">
        <v>1937</v>
      </c>
      <c r="H208" s="8" t="s">
        <v>1939</v>
      </c>
      <c r="I208" s="4" t="s">
        <v>1930</v>
      </c>
      <c r="J208" s="1" t="s">
        <v>1931</v>
      </c>
      <c r="K208" s="1" t="s">
        <v>363</v>
      </c>
      <c r="L208" s="1" t="s">
        <v>1932</v>
      </c>
      <c r="M208" s="1" t="s">
        <v>1909</v>
      </c>
      <c r="N208" s="1" t="s">
        <v>51</v>
      </c>
      <c r="O208" s="1" t="s">
        <v>889</v>
      </c>
      <c r="P208" s="1" t="s">
        <v>81</v>
      </c>
      <c r="Q208" s="1" t="s">
        <v>1911</v>
      </c>
      <c r="R208" s="1" t="s">
        <v>1909</v>
      </c>
      <c r="S208" s="1" t="s">
        <v>70</v>
      </c>
      <c r="T208" s="1" t="s">
        <v>1455</v>
      </c>
      <c r="U208" s="4" t="s">
        <v>1940</v>
      </c>
      <c r="X208" s="1" t="str">
        <f>IFERROR(__xludf.DUMMYFUNCTION("split(F208,"" ,:;.?!"")"),"одинокой")</f>
        <v>одинокой</v>
      </c>
      <c r="Y208" s="1" t="str">
        <f>IFERROR(__xludf.DUMMYFUNCTION("""COMPUTED_VALUE"""),"женщины")</f>
        <v>женщины</v>
      </c>
      <c r="Z208" s="1" t="str">
        <f>IFERROR(__xludf.DUMMYFUNCTION("""COMPUTED_VALUE"""),"―")</f>
        <v>―</v>
      </c>
      <c r="AA208" s="1" t="str">
        <f>IFERROR(__xludf.DUMMYFUNCTION("""COMPUTED_VALUE"""),"однако")</f>
        <v>однако</v>
      </c>
      <c r="AB208" s="1" t="str">
        <f>IFERROR(__xludf.DUMMYFUNCTION("""COMPUTED_VALUE"""),"шмыгнув")</f>
        <v>шмыгнув</v>
      </c>
      <c r="AC208" s="1" t="str">
        <f>IFERROR(__xludf.DUMMYFUNCTION("""COMPUTED_VALUE"""),"пару")</f>
        <v>пару</v>
      </c>
      <c r="AD208" s="1" t="str">
        <f>IFERROR(__xludf.DUMMYFUNCTION("""COMPUTED_VALUE"""),"раз")</f>
        <v>раз</v>
      </c>
    </row>
    <row r="209" ht="14.25" customHeight="1">
      <c r="A209" s="1" t="s">
        <v>1941</v>
      </c>
      <c r="B209" s="1" t="s">
        <v>1642</v>
      </c>
      <c r="C209" s="2" t="s">
        <v>1942</v>
      </c>
      <c r="D209" s="7" t="s">
        <v>1644</v>
      </c>
      <c r="E209" s="1" t="s">
        <v>25</v>
      </c>
      <c r="F209" s="4" t="s">
        <v>1943</v>
      </c>
      <c r="G209" s="4" t="s">
        <v>1644</v>
      </c>
      <c r="H209" s="8" t="s">
        <v>1944</v>
      </c>
      <c r="I209" s="4" t="s">
        <v>1930</v>
      </c>
      <c r="J209" s="1" t="s">
        <v>1931</v>
      </c>
      <c r="K209" s="1" t="s">
        <v>363</v>
      </c>
      <c r="L209" s="1" t="s">
        <v>1932</v>
      </c>
      <c r="M209" s="1" t="s">
        <v>1909</v>
      </c>
      <c r="N209" s="1" t="s">
        <v>51</v>
      </c>
      <c r="O209" s="1" t="s">
        <v>889</v>
      </c>
      <c r="P209" s="1" t="s">
        <v>81</v>
      </c>
      <c r="Q209" s="1" t="s">
        <v>1911</v>
      </c>
      <c r="R209" s="1" t="s">
        <v>1909</v>
      </c>
      <c r="S209" s="1" t="s">
        <v>70</v>
      </c>
      <c r="T209" s="1" t="s">
        <v>1455</v>
      </c>
      <c r="U209" s="4" t="s">
        <v>1945</v>
      </c>
      <c r="X209" s="1" t="str">
        <f>IFERROR(__xludf.DUMMYFUNCTION("split(F209,"" ,:;.?!"")"),"цветам")</f>
        <v>цветам</v>
      </c>
      <c r="Y209" s="1" t="str">
        <f>IFERROR(__xludf.DUMMYFUNCTION("""COMPUTED_VALUE"""),"на")</f>
        <v>на</v>
      </c>
      <c r="Z209" s="1" t="str">
        <f>IFERROR(__xludf.DUMMYFUNCTION("""COMPUTED_VALUE"""),"подоконнике")</f>
        <v>подоконнике</v>
      </c>
    </row>
    <row r="210" ht="14.25" customHeight="1">
      <c r="A210" s="1" t="s">
        <v>1946</v>
      </c>
      <c r="B210" s="1" t="s">
        <v>413</v>
      </c>
      <c r="C210" s="2" t="s">
        <v>1947</v>
      </c>
      <c r="D210" s="7" t="s">
        <v>415</v>
      </c>
      <c r="E210" s="1" t="s">
        <v>25</v>
      </c>
      <c r="F210" s="4" t="s">
        <v>1948</v>
      </c>
      <c r="G210" s="4" t="s">
        <v>415</v>
      </c>
      <c r="H210" s="8" t="s">
        <v>1949</v>
      </c>
      <c r="I210" s="4" t="s">
        <v>1930</v>
      </c>
      <c r="J210" s="1" t="s">
        <v>1931</v>
      </c>
      <c r="K210" s="1" t="s">
        <v>363</v>
      </c>
      <c r="L210" s="1" t="s">
        <v>1932</v>
      </c>
      <c r="M210" s="1" t="s">
        <v>1909</v>
      </c>
      <c r="N210" s="1" t="s">
        <v>51</v>
      </c>
      <c r="O210" s="1" t="s">
        <v>889</v>
      </c>
      <c r="P210" s="1" t="s">
        <v>81</v>
      </c>
      <c r="Q210" s="1" t="s">
        <v>1911</v>
      </c>
      <c r="R210" s="1" t="s">
        <v>1909</v>
      </c>
      <c r="S210" s="1" t="s">
        <v>70</v>
      </c>
      <c r="T210" s="1" t="s">
        <v>1455</v>
      </c>
      <c r="U210" s="4" t="s">
        <v>1950</v>
      </c>
      <c r="X210" s="1" t="str">
        <f>IFERROR(__xludf.DUMMYFUNCTION("split(F210,"" ,:;.?!"")"),"случайности")</f>
        <v>случайности</v>
      </c>
      <c r="Y210" s="1" t="str">
        <f>IFERROR(__xludf.DUMMYFUNCTION("""COMPUTED_VALUE"""),"своего")</f>
        <v>своего</v>
      </c>
      <c r="Z210" s="1" t="str">
        <f>IFERROR(__xludf.DUMMYFUNCTION("""COMPUTED_VALUE"""),"появления")</f>
        <v>появления</v>
      </c>
      <c r="AA210" s="1" t="str">
        <f>IFERROR(__xludf.DUMMYFUNCTION("""COMPUTED_VALUE"""),"в")</f>
        <v>в</v>
      </c>
      <c r="AB210" s="1" t="str">
        <f>IFERROR(__xludf.DUMMYFUNCTION("""COMPUTED_VALUE"""),"этом")</f>
        <v>этом</v>
      </c>
      <c r="AC210" s="1" t="str">
        <f>IFERROR(__xludf.DUMMYFUNCTION("""COMPUTED_VALUE"""),"месте")</f>
        <v>месте</v>
      </c>
    </row>
    <row r="211" ht="14.25" customHeight="1">
      <c r="A211" s="1" t="s">
        <v>1951</v>
      </c>
      <c r="B211" s="1" t="s">
        <v>1952</v>
      </c>
      <c r="C211" s="2" t="s">
        <v>1953</v>
      </c>
      <c r="D211" s="7" t="s">
        <v>1954</v>
      </c>
      <c r="E211" s="1" t="s">
        <v>197</v>
      </c>
      <c r="F211" s="4" t="s">
        <v>1955</v>
      </c>
      <c r="G211" s="4" t="s">
        <v>1954</v>
      </c>
      <c r="H211" s="8" t="s">
        <v>1486</v>
      </c>
      <c r="I211" s="4" t="s">
        <v>1956</v>
      </c>
      <c r="J211" s="1" t="s">
        <v>1957</v>
      </c>
      <c r="K211" s="1" t="s">
        <v>268</v>
      </c>
      <c r="L211" s="1" t="s">
        <v>1958</v>
      </c>
      <c r="M211" s="1" t="s">
        <v>1909</v>
      </c>
      <c r="N211" s="1" t="s">
        <v>139</v>
      </c>
      <c r="O211" s="1" t="s">
        <v>457</v>
      </c>
      <c r="Q211" s="1" t="s">
        <v>1911</v>
      </c>
      <c r="R211" s="1" t="s">
        <v>1909</v>
      </c>
      <c r="S211" s="1" t="s">
        <v>70</v>
      </c>
      <c r="T211" s="1" t="s">
        <v>1455</v>
      </c>
      <c r="U211" s="4" t="s">
        <v>1959</v>
      </c>
      <c r="X211" s="1" t="str">
        <f>IFERROR(__xludf.DUMMYFUNCTION("split(F211,"" ,:;.?!"")"),"человеку")</f>
        <v>человеку</v>
      </c>
      <c r="Y211" s="1" t="str">
        <f>IFERROR(__xludf.DUMMYFUNCTION("""COMPUTED_VALUE"""),"надо")</f>
        <v>надо</v>
      </c>
      <c r="Z211" s="1" t="str">
        <f>IFERROR(__xludf.DUMMYFUNCTION("""COMPUTED_VALUE"""),"мучиться")</f>
        <v>мучиться</v>
      </c>
    </row>
    <row r="212" ht="14.25" customHeight="1">
      <c r="A212" s="1" t="s">
        <v>1960</v>
      </c>
      <c r="B212" s="1" t="s">
        <v>1961</v>
      </c>
      <c r="C212" s="2" t="s">
        <v>1962</v>
      </c>
      <c r="D212" s="7" t="s">
        <v>1963</v>
      </c>
      <c r="E212" s="1" t="s">
        <v>25</v>
      </c>
      <c r="F212" s="4" t="s">
        <v>1964</v>
      </c>
      <c r="G212" s="4" t="s">
        <v>1963</v>
      </c>
      <c r="H212" s="8" t="s">
        <v>1965</v>
      </c>
      <c r="I212" s="4" t="s">
        <v>1966</v>
      </c>
      <c r="J212" s="1" t="s">
        <v>1957</v>
      </c>
      <c r="K212" s="1" t="s">
        <v>268</v>
      </c>
      <c r="L212" s="1" t="s">
        <v>1967</v>
      </c>
      <c r="M212" s="1" t="s">
        <v>1909</v>
      </c>
      <c r="N212" s="1" t="s">
        <v>139</v>
      </c>
      <c r="O212" s="1" t="s">
        <v>457</v>
      </c>
      <c r="Q212" s="1" t="s">
        <v>1911</v>
      </c>
      <c r="R212" s="1" t="s">
        <v>1909</v>
      </c>
      <c r="S212" s="1" t="s">
        <v>70</v>
      </c>
      <c r="T212" s="1" t="s">
        <v>1455</v>
      </c>
      <c r="U212" s="4" t="s">
        <v>1968</v>
      </c>
      <c r="X212" s="1" t="str">
        <f>IFERROR(__xludf.DUMMYFUNCTION("split(F212,"" ,:;.?!"")"),"инвалиду")</f>
        <v>инвалиду</v>
      </c>
      <c r="Y212" s="1" t="str">
        <f>IFERROR(__xludf.DUMMYFUNCTION("""COMPUTED_VALUE"""),"мелочь")</f>
        <v>мелочь</v>
      </c>
      <c r="Z212" s="1" t="str">
        <f>IFERROR(__xludf.DUMMYFUNCTION("""COMPUTED_VALUE"""),"в")</f>
        <v>в</v>
      </c>
      <c r="AA212" s="1" t="str">
        <f>IFERROR(__xludf.DUMMYFUNCTION("""COMPUTED_VALUE"""),"котомку")</f>
        <v>котомку</v>
      </c>
      <c r="AB212" s="1" t="str">
        <f>IFERROR(__xludf.DUMMYFUNCTION("""COMPUTED_VALUE"""),"а")</f>
        <v>а</v>
      </c>
      <c r="AC212" s="1" t="str">
        <f>IFERROR(__xludf.DUMMYFUNCTION("""COMPUTED_VALUE"""),"то")</f>
        <v>то</v>
      </c>
    </row>
    <row r="213" ht="14.25" customHeight="1">
      <c r="A213" s="1" t="s">
        <v>1969</v>
      </c>
      <c r="B213" s="1" t="s">
        <v>1970</v>
      </c>
      <c r="C213" s="2" t="s">
        <v>1971</v>
      </c>
      <c r="D213" s="7" t="s">
        <v>1972</v>
      </c>
      <c r="E213" s="1" t="s">
        <v>25</v>
      </c>
      <c r="F213" s="4" t="s">
        <v>1973</v>
      </c>
      <c r="G213" s="4" t="s">
        <v>1972</v>
      </c>
      <c r="H213" s="8" t="s">
        <v>1974</v>
      </c>
      <c r="I213" s="4" t="s">
        <v>1975</v>
      </c>
      <c r="J213" s="1" t="s">
        <v>1976</v>
      </c>
      <c r="K213" s="1" t="s">
        <v>1977</v>
      </c>
      <c r="L213" s="1" t="s">
        <v>1978</v>
      </c>
      <c r="M213" s="1" t="s">
        <v>1909</v>
      </c>
      <c r="N213" s="1" t="s">
        <v>51</v>
      </c>
      <c r="O213" s="1" t="s">
        <v>1794</v>
      </c>
      <c r="P213" s="1" t="s">
        <v>1979</v>
      </c>
      <c r="Q213" s="1" t="s">
        <v>1911</v>
      </c>
      <c r="R213" s="1" t="s">
        <v>1909</v>
      </c>
      <c r="S213" s="1" t="s">
        <v>70</v>
      </c>
      <c r="T213" s="1" t="s">
        <v>1455</v>
      </c>
      <c r="U213" s="4" t="s">
        <v>1980</v>
      </c>
      <c r="X213" s="1" t="str">
        <f>IFERROR(__xludf.DUMMYFUNCTION("split(F213,"" ,:;.?!"")"),"тени")</f>
        <v>тени</v>
      </c>
      <c r="Y213" s="1" t="str">
        <f>IFERROR(__xludf.DUMMYFUNCTION("""COMPUTED_VALUE"""),"вспугивая")</f>
        <v>вспугивая</v>
      </c>
      <c r="Z213" s="1" t="str">
        <f>IFERROR(__xludf.DUMMYFUNCTION("""COMPUTED_VALUE"""),"стайки")</f>
        <v>стайки</v>
      </c>
      <c r="AA213" s="1" t="str">
        <f>IFERROR(__xludf.DUMMYFUNCTION("""COMPUTED_VALUE"""),"оводеневших")</f>
        <v>оводеневших</v>
      </c>
      <c r="AB213" s="1" t="str">
        <f>IFERROR(__xludf.DUMMYFUNCTION("""COMPUTED_VALUE"""),"солнечных")</f>
        <v>солнечных</v>
      </c>
      <c r="AC213" s="1" t="str">
        <f>IFERROR(__xludf.DUMMYFUNCTION("""COMPUTED_VALUE"""),"зайчиков")</f>
        <v>зайчиков</v>
      </c>
    </row>
    <row r="214" ht="14.25" customHeight="1">
      <c r="A214" s="1" t="s">
        <v>1981</v>
      </c>
      <c r="B214" s="1" t="s">
        <v>1070</v>
      </c>
      <c r="C214" s="2" t="s">
        <v>1982</v>
      </c>
      <c r="D214" s="7" t="s">
        <v>1072</v>
      </c>
      <c r="E214" s="1" t="s">
        <v>197</v>
      </c>
      <c r="F214" s="4" t="s">
        <v>1983</v>
      </c>
      <c r="G214" s="4" t="s">
        <v>1072</v>
      </c>
      <c r="H214" s="8" t="s">
        <v>1984</v>
      </c>
      <c r="I214" s="4" t="s">
        <v>1975</v>
      </c>
      <c r="J214" s="1" t="s">
        <v>1976</v>
      </c>
      <c r="K214" s="1" t="s">
        <v>1977</v>
      </c>
      <c r="L214" s="1" t="s">
        <v>1978</v>
      </c>
      <c r="M214" s="1" t="s">
        <v>1909</v>
      </c>
      <c r="N214" s="1" t="s">
        <v>51</v>
      </c>
      <c r="O214" s="1" t="s">
        <v>1794</v>
      </c>
      <c r="P214" s="1" t="s">
        <v>1979</v>
      </c>
      <c r="Q214" s="1" t="s">
        <v>1911</v>
      </c>
      <c r="R214" s="1" t="s">
        <v>1909</v>
      </c>
      <c r="S214" s="1" t="s">
        <v>70</v>
      </c>
      <c r="T214" s="1" t="s">
        <v>1455</v>
      </c>
      <c r="U214" s="4" t="s">
        <v>1985</v>
      </c>
      <c r="X214" s="1" t="str">
        <f>IFERROR(__xludf.DUMMYFUNCTION("split(F214,"" ,:;.?!"")"),"зренью")</f>
        <v>зренью</v>
      </c>
      <c r="Y214" s="1" t="str">
        <f>IFERROR(__xludf.DUMMYFUNCTION("""COMPUTED_VALUE"""),"не")</f>
        <v>не</v>
      </c>
      <c r="Z214" s="1" t="str">
        <f>IFERROR(__xludf.DUMMYFUNCTION("""COMPUTED_VALUE"""),"стать")</f>
        <v>стать</v>
      </c>
      <c r="AA214" s="1" t="str">
        <f>IFERROR(__xludf.DUMMYFUNCTION("""COMPUTED_VALUE"""),"бы")</f>
        <v>бы</v>
      </c>
      <c r="AB214" s="1" t="str">
        <f>IFERROR(__xludf.DUMMYFUNCTION("""COMPUTED_VALUE"""),"нескромным")</f>
        <v>нескромным</v>
      </c>
      <c r="AC214" s="1" t="str">
        <f>IFERROR(__xludf.DUMMYFUNCTION("""COMPUTED_VALUE"""),"обжоркой")</f>
        <v>обжоркой</v>
      </c>
    </row>
    <row r="215" ht="14.25" customHeight="1">
      <c r="A215" s="1" t="s">
        <v>1986</v>
      </c>
      <c r="B215" s="1" t="s">
        <v>1987</v>
      </c>
      <c r="C215" s="2" t="s">
        <v>1988</v>
      </c>
      <c r="D215" s="7" t="s">
        <v>1989</v>
      </c>
      <c r="E215" s="1" t="s">
        <v>25</v>
      </c>
      <c r="F215" s="4" t="s">
        <v>1990</v>
      </c>
      <c r="G215" s="4" t="s">
        <v>1989</v>
      </c>
      <c r="H215" s="8" t="s">
        <v>1991</v>
      </c>
      <c r="I215" s="4" t="s">
        <v>1992</v>
      </c>
      <c r="J215" s="1" t="s">
        <v>1993</v>
      </c>
      <c r="K215" s="1" t="s">
        <v>1359</v>
      </c>
      <c r="L215" s="1" t="s">
        <v>1994</v>
      </c>
      <c r="M215" s="1" t="s">
        <v>1909</v>
      </c>
      <c r="N215" s="1" t="s">
        <v>51</v>
      </c>
      <c r="O215" s="1" t="s">
        <v>67</v>
      </c>
      <c r="P215" s="1" t="s">
        <v>1995</v>
      </c>
      <c r="Q215" s="1" t="s">
        <v>1996</v>
      </c>
      <c r="R215" s="1" t="s">
        <v>1909</v>
      </c>
      <c r="S215" s="1" t="s">
        <v>70</v>
      </c>
      <c r="T215" s="1" t="s">
        <v>1455</v>
      </c>
      <c r="U215" s="4" t="s">
        <v>1997</v>
      </c>
      <c r="X215" s="1" t="str">
        <f>IFERROR(__xludf.DUMMYFUNCTION("split(F215,"" ,:;.?!"")"),"откровенности")</f>
        <v>откровенности</v>
      </c>
      <c r="Y215" s="1" t="str">
        <f>IFERROR(__xludf.DUMMYFUNCTION("""COMPUTED_VALUE"""),"по")</f>
        <v>по</v>
      </c>
      <c r="Z215" s="1" t="str">
        <f>IFERROR(__xludf.DUMMYFUNCTION("""COMPUTED_VALUE"""),"части")</f>
        <v>части</v>
      </c>
      <c r="AA215" s="1" t="str">
        <f>IFERROR(__xludf.DUMMYFUNCTION("""COMPUTED_VALUE"""),"разных")</f>
        <v>разных</v>
      </c>
      <c r="AB215" s="1" t="str">
        <f>IFERROR(__xludf.DUMMYFUNCTION("""COMPUTED_VALUE"""),"личных")</f>
        <v>личных</v>
      </c>
      <c r="AC215" s="1" t="str">
        <f>IFERROR(__xludf.DUMMYFUNCTION("""COMPUTED_VALUE"""),"проблем")</f>
        <v>проблем</v>
      </c>
    </row>
    <row r="216" ht="14.25" customHeight="1">
      <c r="A216" s="1" t="s">
        <v>1998</v>
      </c>
      <c r="B216" s="1" t="s">
        <v>1999</v>
      </c>
      <c r="C216" s="2" t="s">
        <v>2000</v>
      </c>
      <c r="D216" s="7" t="s">
        <v>2001</v>
      </c>
      <c r="E216" s="1" t="s">
        <v>25</v>
      </c>
      <c r="F216" s="4" t="s">
        <v>2002</v>
      </c>
      <c r="G216" s="4" t="s">
        <v>2001</v>
      </c>
      <c r="H216" s="8" t="s">
        <v>2003</v>
      </c>
      <c r="I216" s="4" t="s">
        <v>2004</v>
      </c>
      <c r="J216" s="1" t="s">
        <v>2005</v>
      </c>
      <c r="K216" s="1" t="s">
        <v>2006</v>
      </c>
      <c r="L216" s="1" t="s">
        <v>2007</v>
      </c>
      <c r="M216" s="1" t="s">
        <v>1909</v>
      </c>
      <c r="N216" s="1" t="s">
        <v>51</v>
      </c>
      <c r="O216" s="1" t="s">
        <v>67</v>
      </c>
      <c r="P216" s="1" t="s">
        <v>2008</v>
      </c>
      <c r="Q216" s="1" t="s">
        <v>1996</v>
      </c>
      <c r="R216" s="1" t="s">
        <v>1909</v>
      </c>
      <c r="S216" s="1" t="s">
        <v>70</v>
      </c>
      <c r="T216" s="1" t="s">
        <v>1455</v>
      </c>
      <c r="U216" s="4" t="s">
        <v>2009</v>
      </c>
      <c r="X216" s="1" t="str">
        <f>IFERROR(__xludf.DUMMYFUNCTION("split(F216,"" ,:;.?!"")"),"русской")</f>
        <v>русской</v>
      </c>
      <c r="Y216" s="1" t="str">
        <f>IFERROR(__xludf.DUMMYFUNCTION("""COMPUTED_VALUE"""),"крови")</f>
        <v>крови</v>
      </c>
      <c r="Z216" s="1" t="str">
        <f>IFERROR(__xludf.DUMMYFUNCTION("""COMPUTED_VALUE"""),"ради")</f>
        <v>ради</v>
      </c>
      <c r="AA216" s="1" t="str">
        <f>IFERROR(__xludf.DUMMYFUNCTION("""COMPUTED_VALUE"""),"спасения")</f>
        <v>спасения</v>
      </c>
      <c r="AB216" s="1" t="str">
        <f>IFERROR(__xludf.DUMMYFUNCTION("""COMPUTED_VALUE"""),"союзных")</f>
        <v>союзных</v>
      </c>
      <c r="AC216" s="1" t="str">
        <f>IFERROR(__xludf.DUMMYFUNCTION("""COMPUTED_VALUE"""),"армий")</f>
        <v>армий</v>
      </c>
    </row>
    <row r="217" ht="14.25" customHeight="1">
      <c r="A217" s="1" t="s">
        <v>2010</v>
      </c>
      <c r="B217" s="1" t="s">
        <v>1116</v>
      </c>
      <c r="C217" s="2" t="s">
        <v>2011</v>
      </c>
      <c r="D217" s="7" t="s">
        <v>1118</v>
      </c>
      <c r="E217" s="1" t="s">
        <v>25</v>
      </c>
      <c r="F217" s="4" t="s">
        <v>2012</v>
      </c>
      <c r="G217" s="4" t="s">
        <v>1118</v>
      </c>
      <c r="H217" s="8" t="s">
        <v>2013</v>
      </c>
      <c r="I217" s="4" t="s">
        <v>2014</v>
      </c>
      <c r="J217" s="1" t="s">
        <v>2015</v>
      </c>
      <c r="K217" s="1" t="s">
        <v>888</v>
      </c>
      <c r="L217" s="1" t="s">
        <v>2016</v>
      </c>
      <c r="M217" s="1" t="s">
        <v>1909</v>
      </c>
      <c r="N217" s="1" t="s">
        <v>139</v>
      </c>
      <c r="O217" s="1" t="s">
        <v>457</v>
      </c>
      <c r="Q217" s="1" t="s">
        <v>1911</v>
      </c>
      <c r="R217" s="1" t="s">
        <v>1909</v>
      </c>
      <c r="S217" s="1" t="s">
        <v>70</v>
      </c>
      <c r="T217" s="1" t="s">
        <v>1455</v>
      </c>
      <c r="U217" s="4" t="s">
        <v>2017</v>
      </c>
      <c r="X217" s="1" t="str">
        <f>IFERROR(__xludf.DUMMYFUNCTION("split(F217,"" ,:;.?!"")"),"душе")</f>
        <v>душе</v>
      </c>
      <c r="Y217" s="1" t="str">
        <f>IFERROR(__xludf.DUMMYFUNCTION("""COMPUTED_VALUE"""),"Млехи")</f>
        <v>Млехи</v>
      </c>
    </row>
    <row r="218" ht="14.25" customHeight="1">
      <c r="A218" s="1" t="s">
        <v>25</v>
      </c>
      <c r="B218" s="1" t="s">
        <v>2018</v>
      </c>
      <c r="C218" s="2"/>
      <c r="D218" s="7" t="s">
        <v>2019</v>
      </c>
      <c r="E218" s="1" t="s">
        <v>25</v>
      </c>
      <c r="F218" s="4" t="s">
        <v>2020</v>
      </c>
      <c r="G218" s="4" t="s">
        <v>2019</v>
      </c>
      <c r="H218" s="8" t="s">
        <v>2021</v>
      </c>
      <c r="I218" s="4" t="s">
        <v>2022</v>
      </c>
      <c r="J218" s="1" t="s">
        <v>2023</v>
      </c>
      <c r="K218" s="1" t="s">
        <v>1657</v>
      </c>
      <c r="L218" s="1" t="s">
        <v>2024</v>
      </c>
      <c r="M218" s="1" t="s">
        <v>1909</v>
      </c>
      <c r="N218" s="1" t="s">
        <v>139</v>
      </c>
      <c r="O218" s="1" t="s">
        <v>457</v>
      </c>
      <c r="Q218" s="1" t="s">
        <v>1911</v>
      </c>
      <c r="R218" s="1" t="s">
        <v>1909</v>
      </c>
      <c r="S218" s="1" t="s">
        <v>70</v>
      </c>
      <c r="T218" s="1" t="s">
        <v>1455</v>
      </c>
      <c r="U218" s="4" t="s">
        <v>2025</v>
      </c>
      <c r="X218" s="1" t="str">
        <f>IFERROR(__xludf.DUMMYFUNCTION("split(F218,"" ,:;.?!"")"),"Боженьке")</f>
        <v>Боженьке</v>
      </c>
      <c r="Y218" s="1" t="str">
        <f>IFERROR(__xludf.DUMMYFUNCTION("""COMPUTED_VALUE"""),"услужить")</f>
        <v>услужить</v>
      </c>
      <c r="Z218" s="1" t="str">
        <f>IFERROR(__xludf.DUMMYFUNCTION("""COMPUTED_VALUE"""),"наверное")</f>
        <v>наверное</v>
      </c>
    </row>
    <row r="219" ht="14.25" customHeight="1">
      <c r="A219" s="1" t="s">
        <v>2026</v>
      </c>
      <c r="B219" s="1" t="s">
        <v>698</v>
      </c>
      <c r="C219" s="2" t="s">
        <v>2027</v>
      </c>
      <c r="D219" s="7" t="s">
        <v>700</v>
      </c>
      <c r="E219" s="1" t="s">
        <v>25</v>
      </c>
      <c r="F219" s="4" t="s">
        <v>2028</v>
      </c>
      <c r="G219" s="4" t="s">
        <v>700</v>
      </c>
      <c r="H219" s="8" t="s">
        <v>2029</v>
      </c>
      <c r="I219" s="4" t="s">
        <v>2030</v>
      </c>
      <c r="J219" s="1" t="s">
        <v>2031</v>
      </c>
      <c r="K219" s="1" t="s">
        <v>903</v>
      </c>
      <c r="L219" s="1" t="s">
        <v>2032</v>
      </c>
      <c r="M219" s="1" t="s">
        <v>1909</v>
      </c>
      <c r="N219" s="1" t="s">
        <v>139</v>
      </c>
      <c r="O219" s="1" t="s">
        <v>457</v>
      </c>
      <c r="Q219" s="1" t="s">
        <v>1911</v>
      </c>
      <c r="R219" s="1" t="s">
        <v>1909</v>
      </c>
      <c r="S219" s="1" t="s">
        <v>70</v>
      </c>
      <c r="T219" s="1" t="s">
        <v>1455</v>
      </c>
      <c r="U219" s="4" t="s">
        <v>2033</v>
      </c>
      <c r="X219" s="1" t="str">
        <f>IFERROR(__xludf.DUMMYFUNCTION("split(F219,"" ,:;.?!"")"),"России")</f>
        <v>России</v>
      </c>
      <c r="Y219" s="1" t="str">
        <f>IFERROR(__xludf.DUMMYFUNCTION("""COMPUTED_VALUE"""),"и")</f>
        <v>и</v>
      </c>
      <c r="Z219" s="1" t="str">
        <f>IFERROR(__xludf.DUMMYFUNCTION("""COMPUTED_VALUE"""),"был")</f>
        <v>был</v>
      </c>
      <c r="AA219" s="1" t="str">
        <f>IFERROR(__xludf.DUMMYFUNCTION("""COMPUTED_VALUE"""),"готов")</f>
        <v>готов</v>
      </c>
      <c r="AB219" s="1" t="str">
        <f>IFERROR(__xludf.DUMMYFUNCTION("""COMPUTED_VALUE"""),"поделиться")</f>
        <v>поделиться</v>
      </c>
      <c r="AC219" s="1" t="str">
        <f>IFERROR(__xludf.DUMMYFUNCTION("""COMPUTED_VALUE"""),"местом")</f>
        <v>местом</v>
      </c>
    </row>
    <row r="220" ht="14.25" customHeight="1">
      <c r="A220" s="1" t="s">
        <v>2034</v>
      </c>
      <c r="B220" s="1" t="s">
        <v>545</v>
      </c>
      <c r="C220" s="2" t="s">
        <v>2035</v>
      </c>
      <c r="D220" s="7" t="s">
        <v>547</v>
      </c>
      <c r="E220" s="1" t="s">
        <v>25</v>
      </c>
      <c r="F220" s="4" t="s">
        <v>2036</v>
      </c>
      <c r="G220" s="4" t="s">
        <v>547</v>
      </c>
      <c r="H220" s="8" t="s">
        <v>401</v>
      </c>
      <c r="I220" s="4" t="s">
        <v>2037</v>
      </c>
      <c r="J220" s="1" t="s">
        <v>2038</v>
      </c>
      <c r="K220" s="1" t="s">
        <v>1534</v>
      </c>
      <c r="L220" s="1" t="s">
        <v>2039</v>
      </c>
      <c r="M220" s="1" t="s">
        <v>1909</v>
      </c>
      <c r="N220" s="1" t="s">
        <v>51</v>
      </c>
      <c r="O220" s="1" t="s">
        <v>67</v>
      </c>
      <c r="P220" s="1" t="s">
        <v>2040</v>
      </c>
      <c r="Q220" s="1" t="s">
        <v>2041</v>
      </c>
      <c r="R220" s="1" t="s">
        <v>1909</v>
      </c>
      <c r="S220" s="1" t="s">
        <v>70</v>
      </c>
      <c r="T220" s="1" t="s">
        <v>1455</v>
      </c>
      <c r="U220" s="4" t="s">
        <v>2042</v>
      </c>
      <c r="X220" s="1" t="str">
        <f>IFERROR(__xludf.DUMMYFUNCTION("split(F220,"" ,:;.?!"")"),"возможности")</f>
        <v>возможности</v>
      </c>
      <c r="Y220" s="1" t="str">
        <f>IFERROR(__xludf.DUMMYFUNCTION("""COMPUTED_VALUE"""),"нового")</f>
        <v>нового</v>
      </c>
      <c r="Z220" s="1" t="str">
        <f>IFERROR(__xludf.DUMMYFUNCTION("""COMPUTED_VALUE"""),"однако")</f>
        <v>однако</v>
      </c>
      <c r="AA220" s="1" t="str">
        <f>IFERROR(__xludf.DUMMYFUNCTION("""COMPUTED_VALUE"""),"временного")</f>
        <v>временного</v>
      </c>
      <c r="AB220" s="1" t="str">
        <f>IFERROR(__xludf.DUMMYFUNCTION("""COMPUTED_VALUE"""),"урегулирования")</f>
        <v>урегулирования</v>
      </c>
      <c r="AC220" s="1" t="str">
        <f>IFERROR(__xludf.DUMMYFUNCTION("""COMPUTED_VALUE"""),"социальных")</f>
        <v>социальных</v>
      </c>
    </row>
    <row r="221" ht="14.25" customHeight="1">
      <c r="A221" s="1" t="s">
        <v>2043</v>
      </c>
      <c r="B221" s="1" t="s">
        <v>698</v>
      </c>
      <c r="C221" s="2" t="s">
        <v>2044</v>
      </c>
      <c r="D221" s="7" t="s">
        <v>700</v>
      </c>
      <c r="E221" s="1" t="s">
        <v>25</v>
      </c>
      <c r="F221" s="4" t="s">
        <v>2045</v>
      </c>
      <c r="G221" s="4" t="s">
        <v>700</v>
      </c>
      <c r="H221" s="8" t="s">
        <v>2046</v>
      </c>
      <c r="I221" s="4" t="s">
        <v>2047</v>
      </c>
      <c r="J221" s="1" t="s">
        <v>2048</v>
      </c>
      <c r="K221" s="1" t="s">
        <v>2049</v>
      </c>
      <c r="L221" s="1" t="s">
        <v>2050</v>
      </c>
      <c r="M221" s="1" t="s">
        <v>1909</v>
      </c>
      <c r="N221" s="1" t="s">
        <v>51</v>
      </c>
      <c r="O221" s="1" t="s">
        <v>67</v>
      </c>
      <c r="P221" s="1" t="s">
        <v>2051</v>
      </c>
      <c r="Q221" s="1" t="s">
        <v>1996</v>
      </c>
      <c r="R221" s="1" t="s">
        <v>1909</v>
      </c>
      <c r="S221" s="1" t="s">
        <v>70</v>
      </c>
      <c r="T221" s="1" t="s">
        <v>1455</v>
      </c>
      <c r="U221" s="4" t="s">
        <v>2052</v>
      </c>
      <c r="X221" s="1" t="str">
        <f>IFERROR(__xludf.DUMMYFUNCTION("split(F221,"" ,:;.?!"")"),"декабристам")</f>
        <v>декабристам</v>
      </c>
      <c r="Y221" s="1" t="str">
        <f>IFERROR(__xludf.DUMMYFUNCTION("""COMPUTED_VALUE"""),"резко")</f>
        <v>резко</v>
      </c>
      <c r="Z221" s="1" t="str">
        <f>IFERROR(__xludf.DUMMYFUNCTION("""COMPUTED_VALUE"""),"отзывался")</f>
        <v>отзывался</v>
      </c>
      <c r="AA221" s="1" t="str">
        <f>IFERROR(__xludf.DUMMYFUNCTION("""COMPUTED_VALUE"""),"об")</f>
        <v>об</v>
      </c>
      <c r="AB221" s="1" t="str">
        <f>IFERROR(__xludf.DUMMYFUNCTION("""COMPUTED_VALUE"""),"их")</f>
        <v>их</v>
      </c>
      <c r="AC221" s="1" t="str">
        <f>IFERROR(__xludf.DUMMYFUNCTION("""COMPUTED_VALUE"""),"казни")</f>
        <v>казни</v>
      </c>
    </row>
    <row r="222" ht="14.25" customHeight="1">
      <c r="A222" s="1" t="s">
        <v>2053</v>
      </c>
      <c r="B222" s="1" t="s">
        <v>59</v>
      </c>
      <c r="C222" s="2" t="s">
        <v>2054</v>
      </c>
      <c r="D222" s="7" t="s">
        <v>61</v>
      </c>
      <c r="E222" s="1" t="s">
        <v>25</v>
      </c>
      <c r="F222" s="4" t="s">
        <v>2055</v>
      </c>
      <c r="G222" s="4" t="s">
        <v>61</v>
      </c>
      <c r="H222" s="8" t="s">
        <v>2056</v>
      </c>
      <c r="I222" s="4" t="s">
        <v>2057</v>
      </c>
      <c r="J222" s="1" t="s">
        <v>2058</v>
      </c>
      <c r="L222" s="1" t="s">
        <v>2059</v>
      </c>
      <c r="M222" s="1" t="s">
        <v>1909</v>
      </c>
      <c r="N222" s="1" t="s">
        <v>51</v>
      </c>
      <c r="O222" s="1" t="s">
        <v>2060</v>
      </c>
      <c r="P222" s="1" t="s">
        <v>2061</v>
      </c>
      <c r="Q222" s="1" t="s">
        <v>1828</v>
      </c>
      <c r="R222" s="1" t="s">
        <v>1909</v>
      </c>
      <c r="S222" s="1" t="s">
        <v>70</v>
      </c>
      <c r="T222" s="1" t="s">
        <v>1455</v>
      </c>
      <c r="U222" s="4" t="s">
        <v>2062</v>
      </c>
      <c r="X222" s="1" t="str">
        <f>IFERROR(__xludf.DUMMYFUNCTION("split(F222,"" ,:;.?!"")"),"организациям")</f>
        <v>организациям</v>
      </c>
      <c r="Y222" s="1" t="str">
        <f>IFERROR(__xludf.DUMMYFUNCTION("""COMPUTED_VALUE"""),"включая")</f>
        <v>включая</v>
      </c>
      <c r="Z222" s="1" t="str">
        <f>IFERROR(__xludf.DUMMYFUNCTION("""COMPUTED_VALUE"""),"бюро")</f>
        <v>бюро</v>
      </c>
      <c r="AA222" s="1" t="str">
        <f>IFERROR(__xludf.DUMMYFUNCTION("""COMPUTED_VALUE"""),"Сергея")</f>
        <v>Сергея</v>
      </c>
      <c r="AB222" s="1" t="str">
        <f>IFERROR(__xludf.DUMMYFUNCTION("""COMPUTED_VALUE"""),"Королёва")</f>
        <v>Королёва</v>
      </c>
    </row>
    <row r="223" ht="14.25" customHeight="1">
      <c r="A223" s="1" t="s">
        <v>2063</v>
      </c>
      <c r="B223" s="1" t="s">
        <v>2064</v>
      </c>
      <c r="C223" s="2" t="s">
        <v>2065</v>
      </c>
      <c r="D223" s="7" t="s">
        <v>2066</v>
      </c>
      <c r="E223" s="1" t="s">
        <v>25</v>
      </c>
      <c r="F223" s="4" t="s">
        <v>2067</v>
      </c>
      <c r="G223" s="4" t="s">
        <v>2066</v>
      </c>
      <c r="H223" s="8" t="s">
        <v>2068</v>
      </c>
      <c r="I223" s="4" t="s">
        <v>2069</v>
      </c>
      <c r="J223" s="1" t="s">
        <v>2070</v>
      </c>
      <c r="K223" s="1" t="s">
        <v>1805</v>
      </c>
      <c r="L223" s="1" t="s">
        <v>2071</v>
      </c>
      <c r="M223" s="1" t="s">
        <v>1909</v>
      </c>
      <c r="N223" s="1" t="s">
        <v>51</v>
      </c>
      <c r="O223" s="1" t="s">
        <v>2072</v>
      </c>
      <c r="P223" s="1" t="s">
        <v>2073</v>
      </c>
      <c r="Q223" s="1" t="s">
        <v>2074</v>
      </c>
      <c r="R223" s="1" t="s">
        <v>1909</v>
      </c>
      <c r="S223" s="1" t="s">
        <v>70</v>
      </c>
      <c r="T223" s="1" t="s">
        <v>1455</v>
      </c>
      <c r="U223" s="4" t="s">
        <v>2075</v>
      </c>
      <c r="X223" s="1" t="str">
        <f>IFERROR(__xludf.DUMMYFUNCTION("split(F223,"" ,:;.?!"")"),"невостребованности")</f>
        <v>невостребованности</v>
      </c>
      <c r="Y223" s="1" t="str">
        <f>IFERROR(__xludf.DUMMYFUNCTION("""COMPUTED_VALUE"""),"переживал")</f>
        <v>переживал</v>
      </c>
      <c r="Z223" s="1" t="str">
        <f>IFERROR(__xludf.DUMMYFUNCTION("""COMPUTED_VALUE"""),"что")</f>
        <v>что</v>
      </c>
      <c r="AA223" s="1" t="str">
        <f>IFERROR(__xludf.DUMMYFUNCTION("""COMPUTED_VALUE"""),"недостаточно")</f>
        <v>недостаточно</v>
      </c>
      <c r="AB223" s="1" t="str">
        <f>IFERROR(__xludf.DUMMYFUNCTION("""COMPUTED_VALUE"""),"остро")</f>
        <v>остро</v>
      </c>
      <c r="AC223" s="1" t="str">
        <f>IFERROR(__xludf.DUMMYFUNCTION("""COMPUTED_VALUE"""),"написал")</f>
        <v>написал</v>
      </c>
    </row>
    <row r="224" ht="14.25" customHeight="1">
      <c r="A224" s="1" t="s">
        <v>25</v>
      </c>
      <c r="B224" s="1" t="s">
        <v>2076</v>
      </c>
      <c r="C224" s="2"/>
      <c r="D224" s="7" t="s">
        <v>2077</v>
      </c>
      <c r="E224" s="1" t="s">
        <v>25</v>
      </c>
      <c r="F224" s="4" t="s">
        <v>2078</v>
      </c>
      <c r="G224" s="4" t="s">
        <v>2077</v>
      </c>
      <c r="H224" s="8" t="s">
        <v>2079</v>
      </c>
      <c r="I224" s="4" t="s">
        <v>2080</v>
      </c>
      <c r="J224" s="1" t="s">
        <v>2081</v>
      </c>
      <c r="K224" s="1" t="s">
        <v>744</v>
      </c>
      <c r="L224" s="1" t="s">
        <v>2082</v>
      </c>
      <c r="M224" s="1" t="s">
        <v>1909</v>
      </c>
      <c r="N224" s="1" t="s">
        <v>139</v>
      </c>
      <c r="O224" s="1" t="s">
        <v>366</v>
      </c>
      <c r="Q224" s="1" t="s">
        <v>1911</v>
      </c>
      <c r="R224" s="1" t="s">
        <v>1909</v>
      </c>
      <c r="S224" s="1" t="s">
        <v>70</v>
      </c>
      <c r="T224" s="1" t="s">
        <v>1455</v>
      </c>
      <c r="U224" s="4" t="s">
        <v>2083</v>
      </c>
      <c r="X224" s="1" t="str">
        <f>IFERROR(__xludf.DUMMYFUNCTION("split(F224,"" ,:;.?!"")"),"холодной")</f>
        <v>холодной</v>
      </c>
      <c r="Y224" s="1" t="str">
        <f>IFERROR(__xludf.DUMMYFUNCTION("""COMPUTED_VALUE"""),"газированной")</f>
        <v>газированной</v>
      </c>
      <c r="Z224" s="1" t="str">
        <f>IFERROR(__xludf.DUMMYFUNCTION("""COMPUTED_VALUE"""),"воды")</f>
        <v>воды</v>
      </c>
      <c r="AA224" s="1" t="str">
        <f>IFERROR(__xludf.DUMMYFUNCTION("""COMPUTED_VALUE"""),"и")</f>
        <v>и</v>
      </c>
      <c r="AB224" s="1" t="str">
        <f>IFERROR(__xludf.DUMMYFUNCTION("""COMPUTED_VALUE"""),"закурить")</f>
        <v>закурить</v>
      </c>
      <c r="AC224" s="1" t="str">
        <f>IFERROR(__xludf.DUMMYFUNCTION("""COMPUTED_VALUE"""),"и")</f>
        <v>и</v>
      </c>
    </row>
    <row r="225" ht="14.25" customHeight="1">
      <c r="A225" s="1" t="s">
        <v>2084</v>
      </c>
      <c r="B225" s="1" t="s">
        <v>638</v>
      </c>
      <c r="C225" s="2" t="s">
        <v>2085</v>
      </c>
      <c r="D225" s="7" t="s">
        <v>640</v>
      </c>
      <c r="E225" s="1" t="s">
        <v>25</v>
      </c>
      <c r="F225" s="4" t="s">
        <v>2086</v>
      </c>
      <c r="G225" s="4" t="s">
        <v>640</v>
      </c>
      <c r="H225" s="8" t="s">
        <v>1518</v>
      </c>
      <c r="I225" s="4" t="s">
        <v>2080</v>
      </c>
      <c r="J225" s="1" t="s">
        <v>2081</v>
      </c>
      <c r="K225" s="1" t="s">
        <v>744</v>
      </c>
      <c r="L225" s="1" t="s">
        <v>2082</v>
      </c>
      <c r="M225" s="1" t="s">
        <v>1909</v>
      </c>
      <c r="N225" s="1" t="s">
        <v>139</v>
      </c>
      <c r="O225" s="1" t="s">
        <v>366</v>
      </c>
      <c r="Q225" s="1" t="s">
        <v>1911</v>
      </c>
      <c r="R225" s="1" t="s">
        <v>1909</v>
      </c>
      <c r="S225" s="1" t="s">
        <v>70</v>
      </c>
      <c r="T225" s="1" t="s">
        <v>1455</v>
      </c>
      <c r="U225" s="4" t="s">
        <v>2087</v>
      </c>
      <c r="X225" s="1" t="str">
        <f>IFERROR(__xludf.DUMMYFUNCTION("split(F225,"" ,:;.?!"")"),"тому")</f>
        <v>тому</v>
      </c>
      <c r="Y225" s="1" t="str">
        <f>IFERROR(__xludf.DUMMYFUNCTION("""COMPUTED_VALUE"""),"что")</f>
        <v>что</v>
      </c>
      <c r="Z225" s="1" t="str">
        <f>IFERROR(__xludf.DUMMYFUNCTION("""COMPUTED_VALUE"""),"в")</f>
        <v>в</v>
      </c>
      <c r="AA225" s="1" t="str">
        <f>IFERROR(__xludf.DUMMYFUNCTION("""COMPUTED_VALUE"""),"кошельке")</f>
        <v>кошельке</v>
      </c>
      <c r="AB225" s="1" t="str">
        <f>IFERROR(__xludf.DUMMYFUNCTION("""COMPUTED_VALUE"""),"у")</f>
        <v>у</v>
      </c>
      <c r="AC225" s="1" t="str">
        <f>IFERROR(__xludf.DUMMYFUNCTION("""COMPUTED_VALUE"""),"него")</f>
        <v>него</v>
      </c>
    </row>
    <row r="226" ht="14.25" customHeight="1">
      <c r="A226" s="1" t="s">
        <v>2088</v>
      </c>
      <c r="B226" s="1" t="s">
        <v>2089</v>
      </c>
      <c r="C226" s="2" t="s">
        <v>2090</v>
      </c>
      <c r="D226" s="7" t="s">
        <v>2091</v>
      </c>
      <c r="E226" s="1" t="s">
        <v>25</v>
      </c>
      <c r="F226" s="4" t="s">
        <v>2092</v>
      </c>
      <c r="G226" s="4" t="s">
        <v>2091</v>
      </c>
      <c r="H226" s="8" t="s">
        <v>908</v>
      </c>
      <c r="I226" s="4" t="s">
        <v>2080</v>
      </c>
      <c r="J226" s="1" t="s">
        <v>2081</v>
      </c>
      <c r="K226" s="1" t="s">
        <v>744</v>
      </c>
      <c r="L226" s="1" t="s">
        <v>2082</v>
      </c>
      <c r="M226" s="1" t="s">
        <v>1909</v>
      </c>
      <c r="N226" s="1" t="s">
        <v>139</v>
      </c>
      <c r="O226" s="1" t="s">
        <v>366</v>
      </c>
      <c r="Q226" s="1" t="s">
        <v>1911</v>
      </c>
      <c r="R226" s="1" t="s">
        <v>1909</v>
      </c>
      <c r="S226" s="1" t="s">
        <v>70</v>
      </c>
      <c r="T226" s="1" t="s">
        <v>1455</v>
      </c>
      <c r="U226" s="4" t="s">
        <v>2093</v>
      </c>
      <c r="X226" s="1" t="str">
        <f>IFERROR(__xludf.DUMMYFUNCTION("split(F226,"" ,:;.?!"")"),"чувству")</f>
        <v>чувству</v>
      </c>
      <c r="Y226" s="1" t="str">
        <f>IFERROR(__xludf.DUMMYFUNCTION("""COMPUTED_VALUE"""),"юмора")</f>
        <v>юмора</v>
      </c>
      <c r="Z226" s="1" t="str">
        <f>IFERROR(__xludf.DUMMYFUNCTION("""COMPUTED_VALUE"""),"своего")</f>
        <v>своего</v>
      </c>
      <c r="AA226" s="1" t="str">
        <f>IFERROR(__xludf.DUMMYFUNCTION("""COMPUTED_VALUE"""),"сына")</f>
        <v>сына</v>
      </c>
      <c r="AB226" s="1" t="str">
        <f>IFERROR(__xludf.DUMMYFUNCTION("""COMPUTED_VALUE"""),"успели")</f>
        <v>успели</v>
      </c>
      <c r="AC226" s="1" t="str">
        <f>IFERROR(__xludf.DUMMYFUNCTION("""COMPUTED_VALUE"""),"уже")</f>
        <v>уже</v>
      </c>
    </row>
    <row r="227" ht="14.25" customHeight="1">
      <c r="A227" s="1" t="s">
        <v>2094</v>
      </c>
      <c r="B227" s="1" t="s">
        <v>2095</v>
      </c>
      <c r="C227" s="2" t="s">
        <v>2096</v>
      </c>
      <c r="D227" s="7" t="s">
        <v>2097</v>
      </c>
      <c r="E227" s="1" t="s">
        <v>25</v>
      </c>
      <c r="F227" s="4" t="s">
        <v>2098</v>
      </c>
      <c r="G227" s="4" t="s">
        <v>2097</v>
      </c>
      <c r="H227" s="8" t="s">
        <v>2099</v>
      </c>
      <c r="I227" s="4" t="s">
        <v>2080</v>
      </c>
      <c r="J227" s="1" t="s">
        <v>2081</v>
      </c>
      <c r="K227" s="1" t="s">
        <v>744</v>
      </c>
      <c r="L227" s="1" t="s">
        <v>2082</v>
      </c>
      <c r="M227" s="1" t="s">
        <v>1909</v>
      </c>
      <c r="N227" s="1" t="s">
        <v>139</v>
      </c>
      <c r="O227" s="1" t="s">
        <v>366</v>
      </c>
      <c r="Q227" s="1" t="s">
        <v>1911</v>
      </c>
      <c r="R227" s="1" t="s">
        <v>1909</v>
      </c>
      <c r="S227" s="1" t="s">
        <v>70</v>
      </c>
      <c r="T227" s="1" t="s">
        <v>1455</v>
      </c>
      <c r="U227" s="4" t="s">
        <v>2100</v>
      </c>
      <c r="X227" s="1" t="str">
        <f>IFERROR(__xludf.DUMMYFUNCTION("split(F227,"" ,:;.?!"")"),"Петрову")</f>
        <v>Петрову</v>
      </c>
      <c r="Y227" s="1" t="str">
        <f>IFERROR(__xludf.DUMMYFUNCTION("""COMPUTED_VALUE"""),"ей")</f>
        <v>ей</v>
      </c>
      <c r="Z227" s="1" t="str">
        <f>IFERROR(__xludf.DUMMYFUNCTION("""COMPUTED_VALUE"""),"захотелось")</f>
        <v>захотелось</v>
      </c>
      <c r="AA227" s="1" t="str">
        <f>IFERROR(__xludf.DUMMYFUNCTION("""COMPUTED_VALUE"""),"познакомиться")</f>
        <v>познакомиться</v>
      </c>
      <c r="AB227" s="1" t="str">
        <f>IFERROR(__xludf.DUMMYFUNCTION("""COMPUTED_VALUE"""),"с")</f>
        <v>с</v>
      </c>
      <c r="AC227" s="1" t="str">
        <f>IFERROR(__xludf.DUMMYFUNCTION("""COMPUTED_VALUE"""),"таким")</f>
        <v>таким</v>
      </c>
    </row>
    <row r="228" ht="14.25" customHeight="1">
      <c r="A228" s="1" t="s">
        <v>2101</v>
      </c>
      <c r="B228" s="1" t="s">
        <v>2102</v>
      </c>
      <c r="C228" s="2" t="s">
        <v>2103</v>
      </c>
      <c r="D228" s="7" t="s">
        <v>2104</v>
      </c>
      <c r="E228" s="1" t="s">
        <v>25</v>
      </c>
      <c r="F228" s="4" t="s">
        <v>2105</v>
      </c>
      <c r="G228" s="4" t="s">
        <v>2104</v>
      </c>
      <c r="H228" s="8" t="s">
        <v>2099</v>
      </c>
      <c r="I228" s="4" t="s">
        <v>2080</v>
      </c>
      <c r="J228" s="1" t="s">
        <v>2081</v>
      </c>
      <c r="K228" s="1" t="s">
        <v>744</v>
      </c>
      <c r="L228" s="1" t="s">
        <v>2082</v>
      </c>
      <c r="M228" s="1" t="s">
        <v>1909</v>
      </c>
      <c r="N228" s="1" t="s">
        <v>139</v>
      </c>
      <c r="O228" s="1" t="s">
        <v>366</v>
      </c>
      <c r="Q228" s="1" t="s">
        <v>1911</v>
      </c>
      <c r="R228" s="1" t="s">
        <v>1909</v>
      </c>
      <c r="S228" s="1" t="s">
        <v>70</v>
      </c>
      <c r="T228" s="1" t="s">
        <v>1455</v>
      </c>
      <c r="U228" s="4" t="s">
        <v>2106</v>
      </c>
      <c r="X228" s="1" t="str">
        <f>IFERROR(__xludf.DUMMYFUNCTION("split(F228,"" ,:;.?!"")"),"Петрову")</f>
        <v>Петрову</v>
      </c>
      <c r="Y228" s="1" t="str">
        <f>IFERROR(__xludf.DUMMYFUNCTION("""COMPUTED_VALUE"""),"и")</f>
        <v>и</v>
      </c>
      <c r="Z228" s="1" t="str">
        <f>IFERROR(__xludf.DUMMYFUNCTION("""COMPUTED_VALUE"""),"не")</f>
        <v>не</v>
      </c>
      <c r="AA228" s="1" t="str">
        <f>IFERROR(__xludf.DUMMYFUNCTION("""COMPUTED_VALUE"""),"дававшая")</f>
        <v>дававшая</v>
      </c>
      <c r="AB228" s="1" t="str">
        <f>IFERROR(__xludf.DUMMYFUNCTION("""COMPUTED_VALUE"""),"ей")</f>
        <v>ей</v>
      </c>
      <c r="AC228" s="1" t="str">
        <f>IFERROR(__xludf.DUMMYFUNCTION("""COMPUTED_VALUE"""),"прочитать")</f>
        <v>прочитать</v>
      </c>
    </row>
    <row r="229" ht="14.25" customHeight="1">
      <c r="A229" s="1" t="s">
        <v>2107</v>
      </c>
      <c r="B229" s="1" t="s">
        <v>73</v>
      </c>
      <c r="C229" s="2" t="s">
        <v>2108</v>
      </c>
      <c r="D229" s="7" t="s">
        <v>75</v>
      </c>
      <c r="E229" s="1" t="s">
        <v>197</v>
      </c>
      <c r="F229" s="4" t="s">
        <v>2109</v>
      </c>
      <c r="G229" s="4" t="s">
        <v>75</v>
      </c>
      <c r="H229" s="8" t="s">
        <v>2110</v>
      </c>
      <c r="I229" s="4" t="s">
        <v>2080</v>
      </c>
      <c r="J229" s="1" t="s">
        <v>2081</v>
      </c>
      <c r="K229" s="1" t="s">
        <v>744</v>
      </c>
      <c r="L229" s="1" t="s">
        <v>2082</v>
      </c>
      <c r="M229" s="1" t="s">
        <v>1909</v>
      </c>
      <c r="N229" s="1" t="s">
        <v>139</v>
      </c>
      <c r="O229" s="1" t="s">
        <v>366</v>
      </c>
      <c r="Q229" s="1" t="s">
        <v>1911</v>
      </c>
      <c r="R229" s="1" t="s">
        <v>1909</v>
      </c>
      <c r="S229" s="1" t="s">
        <v>70</v>
      </c>
      <c r="T229" s="1" t="s">
        <v>1455</v>
      </c>
      <c r="U229" s="4" t="s">
        <v>2111</v>
      </c>
      <c r="X229" s="1" t="str">
        <f>IFERROR(__xludf.DUMMYFUNCTION("split(F229,"" ,:;.?!"")"),"стали")</f>
        <v>стали</v>
      </c>
      <c r="Y229" s="1" t="str">
        <f>IFERROR(__xludf.DUMMYFUNCTION("""COMPUTED_VALUE"""),"расспрашивать")</f>
        <v>расспрашивать</v>
      </c>
      <c r="Z229" s="1" t="str">
        <f>IFERROR(__xludf.DUMMYFUNCTION("""COMPUTED_VALUE"""),"не")</f>
        <v>не</v>
      </c>
      <c r="AA229" s="1" t="str">
        <f>IFERROR(__xludf.DUMMYFUNCTION("""COMPUTED_VALUE"""),"занималась")</f>
        <v>занималась</v>
      </c>
      <c r="AB229" s="1" t="str">
        <f>IFERROR(__xludf.DUMMYFUNCTION("""COMPUTED_VALUE"""),"ли")</f>
        <v>ли</v>
      </c>
      <c r="AC229" s="1" t="str">
        <f>IFERROR(__xludf.DUMMYFUNCTION("""COMPUTED_VALUE"""),"Петрова")</f>
        <v>Петрова</v>
      </c>
    </row>
    <row r="230" ht="14.25" customHeight="1">
      <c r="A230" s="1" t="s">
        <v>2112</v>
      </c>
      <c r="B230" s="1" t="s">
        <v>2113</v>
      </c>
      <c r="C230" s="2" t="s">
        <v>2114</v>
      </c>
      <c r="D230" s="7" t="s">
        <v>2115</v>
      </c>
      <c r="E230" s="1" t="s">
        <v>25</v>
      </c>
      <c r="F230" s="4" t="s">
        <v>2116</v>
      </c>
      <c r="G230" s="4" t="s">
        <v>2115</v>
      </c>
      <c r="H230" s="9" t="s">
        <v>2099</v>
      </c>
      <c r="I230" s="4" t="s">
        <v>2080</v>
      </c>
      <c r="J230" s="1" t="s">
        <v>2081</v>
      </c>
      <c r="K230" s="1" t="s">
        <v>744</v>
      </c>
      <c r="L230" s="1" t="s">
        <v>2082</v>
      </c>
      <c r="M230" s="1" t="s">
        <v>1909</v>
      </c>
      <c r="N230" s="1" t="s">
        <v>139</v>
      </c>
      <c r="O230" s="1" t="s">
        <v>366</v>
      </c>
      <c r="Q230" s="1" t="s">
        <v>1911</v>
      </c>
      <c r="R230" s="1" t="s">
        <v>1909</v>
      </c>
      <c r="S230" s="1" t="s">
        <v>70</v>
      </c>
      <c r="T230" s="1" t="s">
        <v>1455</v>
      </c>
      <c r="U230" s="4" t="s">
        <v>2117</v>
      </c>
      <c r="X230" s="1" t="str">
        <f>IFERROR(__xludf.DUMMYFUNCTION("split(F230,"" ,:;.?!"")"),"Петрову)")</f>
        <v>Петрову)</v>
      </c>
      <c r="Y230" s="1" t="str">
        <f>IFERROR(__xludf.DUMMYFUNCTION("""COMPUTED_VALUE"""),"―")</f>
        <v>―</v>
      </c>
      <c r="Z230" s="1" t="str">
        <f>IFERROR(__xludf.DUMMYFUNCTION("""COMPUTED_VALUE"""),"отнеси")</f>
        <v>отнеси</v>
      </c>
      <c r="AA230" s="1" t="str">
        <f>IFERROR(__xludf.DUMMYFUNCTION("""COMPUTED_VALUE"""),"пакет")</f>
        <v>пакет</v>
      </c>
      <c r="AB230" s="1" t="str">
        <f>IFERROR(__xludf.DUMMYFUNCTION("""COMPUTED_VALUE"""),"на")</f>
        <v>на</v>
      </c>
      <c r="AC230" s="1" t="str">
        <f>IFERROR(__xludf.DUMMYFUNCTION("""COMPUTED_VALUE"""),"кухню")</f>
        <v>кухню</v>
      </c>
    </row>
    <row r="231" ht="14.25" customHeight="1">
      <c r="A231" s="1" t="s">
        <v>2118</v>
      </c>
      <c r="B231" s="1" t="s">
        <v>2119</v>
      </c>
      <c r="C231" s="2" t="s">
        <v>2120</v>
      </c>
      <c r="D231" s="7" t="s">
        <v>2121</v>
      </c>
      <c r="E231" s="1" t="s">
        <v>25</v>
      </c>
      <c r="F231" s="4" t="s">
        <v>2122</v>
      </c>
      <c r="G231" s="4" t="s">
        <v>2121</v>
      </c>
      <c r="H231" s="8" t="s">
        <v>2099</v>
      </c>
      <c r="I231" s="4" t="s">
        <v>2080</v>
      </c>
      <c r="J231" s="1" t="s">
        <v>2081</v>
      </c>
      <c r="K231" s="1" t="s">
        <v>744</v>
      </c>
      <c r="L231" s="1" t="s">
        <v>2082</v>
      </c>
      <c r="M231" s="1" t="s">
        <v>1909</v>
      </c>
      <c r="N231" s="1" t="s">
        <v>139</v>
      </c>
      <c r="O231" s="1" t="s">
        <v>366</v>
      </c>
      <c r="Q231" s="1" t="s">
        <v>1911</v>
      </c>
      <c r="R231" s="1" t="s">
        <v>1909</v>
      </c>
      <c r="S231" s="1" t="s">
        <v>70</v>
      </c>
      <c r="T231" s="1" t="s">
        <v>1455</v>
      </c>
      <c r="U231" s="4" t="s">
        <v>2123</v>
      </c>
      <c r="X231" s="1" t="str">
        <f>IFERROR(__xludf.DUMMYFUNCTION("split(F231,"" ,:;.?!"")"),"Петрову")</f>
        <v>Петрову</v>
      </c>
      <c r="Y231" s="1" t="str">
        <f>IFERROR(__xludf.DUMMYFUNCTION("""COMPUTED_VALUE"""),"но")</f>
        <v>но</v>
      </c>
      <c r="Z231" s="1" t="str">
        <f>IFERROR(__xludf.DUMMYFUNCTION("""COMPUTED_VALUE"""),"доставляли")</f>
        <v>доставляли</v>
      </c>
      <c r="AA231" s="1" t="str">
        <f>IFERROR(__xludf.DUMMYFUNCTION("""COMPUTED_VALUE"""),"ей")</f>
        <v>ей</v>
      </c>
      <c r="AB231" s="1" t="str">
        <f>IFERROR(__xludf.DUMMYFUNCTION("""COMPUTED_VALUE"""),"неудобство")</f>
        <v>неудобство</v>
      </c>
    </row>
    <row r="232" ht="14.25" customHeight="1">
      <c r="A232" s="1" t="s">
        <v>2124</v>
      </c>
      <c r="B232" s="1" t="s">
        <v>2125</v>
      </c>
      <c r="C232" s="2" t="s">
        <v>2126</v>
      </c>
      <c r="D232" s="7" t="s">
        <v>2127</v>
      </c>
      <c r="E232" s="1" t="s">
        <v>25</v>
      </c>
      <c r="F232" s="4" t="s">
        <v>2128</v>
      </c>
      <c r="G232" s="4" t="s">
        <v>2127</v>
      </c>
      <c r="H232" s="8" t="s">
        <v>2099</v>
      </c>
      <c r="I232" s="4" t="s">
        <v>2080</v>
      </c>
      <c r="J232" s="1" t="s">
        <v>2081</v>
      </c>
      <c r="K232" s="1" t="s">
        <v>744</v>
      </c>
      <c r="L232" s="1" t="s">
        <v>2082</v>
      </c>
      <c r="M232" s="1" t="s">
        <v>1909</v>
      </c>
      <c r="N232" s="1" t="s">
        <v>139</v>
      </c>
      <c r="O232" s="1" t="s">
        <v>366</v>
      </c>
      <c r="Q232" s="1" t="s">
        <v>1911</v>
      </c>
      <c r="R232" s="1" t="s">
        <v>1909</v>
      </c>
      <c r="S232" s="1" t="s">
        <v>70</v>
      </c>
      <c r="T232" s="1" t="s">
        <v>1455</v>
      </c>
      <c r="U232" s="4" t="s">
        <v>2129</v>
      </c>
      <c r="X232" s="1" t="str">
        <f>IFERROR(__xludf.DUMMYFUNCTION("split(F232,"" ,:;.?!"")"),"Петрову")</f>
        <v>Петрову</v>
      </c>
      <c r="Y232" s="1" t="str">
        <f>IFERROR(__xludf.DUMMYFUNCTION("""COMPUTED_VALUE"""),"до")</f>
        <v>до</v>
      </c>
      <c r="Z232" s="1" t="str">
        <f>IFERROR(__xludf.DUMMYFUNCTION("""COMPUTED_VALUE"""),"невозможности")</f>
        <v>невозможности</v>
      </c>
    </row>
    <row r="233" ht="14.25" customHeight="1">
      <c r="A233" s="1" t="s">
        <v>2130</v>
      </c>
      <c r="B233" s="1" t="s">
        <v>2131</v>
      </c>
      <c r="C233" s="2" t="s">
        <v>2132</v>
      </c>
      <c r="D233" s="7" t="s">
        <v>2133</v>
      </c>
      <c r="E233" s="1" t="s">
        <v>25</v>
      </c>
      <c r="F233" s="4" t="s">
        <v>2134</v>
      </c>
      <c r="G233" s="4" t="s">
        <v>2133</v>
      </c>
      <c r="H233" s="8" t="s">
        <v>2135</v>
      </c>
      <c r="I233" s="4" t="s">
        <v>2080</v>
      </c>
      <c r="J233" s="1" t="s">
        <v>2081</v>
      </c>
      <c r="K233" s="1" t="s">
        <v>744</v>
      </c>
      <c r="L233" s="1" t="s">
        <v>2082</v>
      </c>
      <c r="M233" s="1" t="s">
        <v>1909</v>
      </c>
      <c r="N233" s="1" t="s">
        <v>139</v>
      </c>
      <c r="O233" s="1" t="s">
        <v>366</v>
      </c>
      <c r="Q233" s="1" t="s">
        <v>1911</v>
      </c>
      <c r="R233" s="1" t="s">
        <v>1909</v>
      </c>
      <c r="S233" s="1" t="s">
        <v>70</v>
      </c>
      <c r="T233" s="1" t="s">
        <v>1455</v>
      </c>
      <c r="U233" s="4" t="s">
        <v>2136</v>
      </c>
      <c r="X233" s="1" t="str">
        <f>IFERROR(__xludf.DUMMYFUNCTION("split(F233,"" ,:;.?!"")"),"провинциалам")</f>
        <v>провинциалам</v>
      </c>
      <c r="Y233" s="1" t="str">
        <f>IFERROR(__xludf.DUMMYFUNCTION("""COMPUTED_VALUE"""),"и")</f>
        <v>и</v>
      </c>
      <c r="Z233" s="1" t="str">
        <f>IFERROR(__xludf.DUMMYFUNCTION("""COMPUTED_VALUE"""),"не")</f>
        <v>не</v>
      </c>
      <c r="AA233" s="1" t="str">
        <f>IFERROR(__xludf.DUMMYFUNCTION("""COMPUTED_VALUE"""),"только")</f>
        <v>только</v>
      </c>
      <c r="AB233" s="1" t="str">
        <f>IFERROR(__xludf.DUMMYFUNCTION("""COMPUTED_VALUE"""),"провинциалом")</f>
        <v>провинциалом</v>
      </c>
      <c r="AC233" s="1" t="str">
        <f>IFERROR(__xludf.DUMMYFUNCTION("""COMPUTED_VALUE"""),"с")</f>
        <v>с</v>
      </c>
    </row>
    <row r="234" ht="14.25" customHeight="1">
      <c r="A234" s="1" t="s">
        <v>2137</v>
      </c>
      <c r="B234" s="1" t="s">
        <v>381</v>
      </c>
      <c r="C234" s="2" t="s">
        <v>2138</v>
      </c>
      <c r="D234" s="7" t="s">
        <v>383</v>
      </c>
      <c r="E234" s="1" t="s">
        <v>25</v>
      </c>
      <c r="F234" s="4" t="s">
        <v>2139</v>
      </c>
      <c r="G234" s="4" t="s">
        <v>383</v>
      </c>
      <c r="H234" s="8" t="s">
        <v>1518</v>
      </c>
      <c r="I234" s="4" t="s">
        <v>2140</v>
      </c>
      <c r="J234" s="1" t="s">
        <v>2141</v>
      </c>
      <c r="K234" s="1" t="s">
        <v>454</v>
      </c>
      <c r="L234" s="1" t="s">
        <v>2142</v>
      </c>
      <c r="M234" s="1" t="s">
        <v>1909</v>
      </c>
      <c r="N234" s="1" t="s">
        <v>139</v>
      </c>
      <c r="O234" s="1" t="s">
        <v>366</v>
      </c>
      <c r="Q234" s="1" t="s">
        <v>1911</v>
      </c>
      <c r="R234" s="1" t="s">
        <v>1909</v>
      </c>
      <c r="S234" s="1" t="s">
        <v>70</v>
      </c>
      <c r="T234" s="1" t="s">
        <v>1455</v>
      </c>
      <c r="U234" s="4" t="s">
        <v>2143</v>
      </c>
      <c r="X234" s="1" t="str">
        <f>IFERROR(__xludf.DUMMYFUNCTION("split(F234,"" ,:;.?!"")"),"тому")</f>
        <v>тому</v>
      </c>
      <c r="Y234" s="1" t="str">
        <f>IFERROR(__xludf.DUMMYFUNCTION("""COMPUTED_VALUE"""),"что")</f>
        <v>что</v>
      </c>
      <c r="Z234" s="1" t="str">
        <f>IFERROR(__xludf.DUMMYFUNCTION("""COMPUTED_VALUE"""),"они")</f>
        <v>они</v>
      </c>
      <c r="AA234" s="1" t="str">
        <f>IFERROR(__xludf.DUMMYFUNCTION("""COMPUTED_VALUE"""),"до")</f>
        <v>до</v>
      </c>
      <c r="AB234" s="1" t="str">
        <f>IFERROR(__xludf.DUMMYFUNCTION("""COMPUTED_VALUE"""),"сих")</f>
        <v>сих</v>
      </c>
      <c r="AC234" s="1" t="str">
        <f>IFERROR(__xludf.DUMMYFUNCTION("""COMPUTED_VALUE"""),"пор")</f>
        <v>пор</v>
      </c>
    </row>
    <row r="235" ht="14.25" customHeight="1">
      <c r="A235" s="1" t="s">
        <v>2144</v>
      </c>
      <c r="B235" s="1" t="s">
        <v>2145</v>
      </c>
      <c r="C235" s="2" t="s">
        <v>2146</v>
      </c>
      <c r="D235" s="7" t="s">
        <v>2147</v>
      </c>
      <c r="E235" s="1" t="s">
        <v>25</v>
      </c>
      <c r="F235" s="4" t="s">
        <v>2148</v>
      </c>
      <c r="G235" s="4" t="s">
        <v>2147</v>
      </c>
      <c r="H235" s="8" t="s">
        <v>2149</v>
      </c>
      <c r="I235" s="4" t="s">
        <v>2140</v>
      </c>
      <c r="J235" s="1" t="s">
        <v>2141</v>
      </c>
      <c r="K235" s="1" t="s">
        <v>454</v>
      </c>
      <c r="L235" s="1" t="s">
        <v>2142</v>
      </c>
      <c r="M235" s="1" t="s">
        <v>1909</v>
      </c>
      <c r="N235" s="1" t="s">
        <v>139</v>
      </c>
      <c r="O235" s="1" t="s">
        <v>366</v>
      </c>
      <c r="Q235" s="1" t="s">
        <v>1911</v>
      </c>
      <c r="R235" s="1" t="s">
        <v>1909</v>
      </c>
      <c r="S235" s="1" t="s">
        <v>70</v>
      </c>
      <c r="T235" s="1" t="s">
        <v>1455</v>
      </c>
      <c r="U235" s="4" t="s">
        <v>2150</v>
      </c>
      <c r="X235" s="1" t="str">
        <f>IFERROR(__xludf.DUMMYFUNCTION("split(F235,"" ,:;.?!"")"),"взгляду")</f>
        <v>взгляду</v>
      </c>
      <c r="Y235" s="1" t="str">
        <f>IFERROR(__xludf.DUMMYFUNCTION("""COMPUTED_VALUE"""),"сразу")</f>
        <v>сразу</v>
      </c>
      <c r="Z235" s="1" t="str">
        <f>IFERROR(__xludf.DUMMYFUNCTION("""COMPUTED_VALUE"""),"стало")</f>
        <v>стало</v>
      </c>
      <c r="AA235" s="1" t="str">
        <f>IFERROR(__xludf.DUMMYFUNCTION("""COMPUTED_VALUE"""),"понятно")</f>
        <v>понятно</v>
      </c>
      <c r="AB235" s="1" t="str">
        <f>IFERROR(__xludf.DUMMYFUNCTION("""COMPUTED_VALUE"""),"что")</f>
        <v>что</v>
      </c>
      <c r="AC235" s="1" t="str">
        <f>IFERROR(__xludf.DUMMYFUNCTION("""COMPUTED_VALUE"""),"заметила")</f>
        <v>заметила</v>
      </c>
    </row>
    <row r="236" ht="14.25" customHeight="1">
      <c r="A236" s="1" t="s">
        <v>2151</v>
      </c>
      <c r="B236" s="1" t="s">
        <v>381</v>
      </c>
      <c r="C236" s="2" t="s">
        <v>2152</v>
      </c>
      <c r="D236" s="7" t="s">
        <v>383</v>
      </c>
      <c r="E236" s="1" t="s">
        <v>25</v>
      </c>
      <c r="F236" s="4" t="s">
        <v>2153</v>
      </c>
      <c r="G236" s="4" t="s">
        <v>383</v>
      </c>
      <c r="H236" s="8" t="s">
        <v>542</v>
      </c>
      <c r="I236" s="4" t="s">
        <v>2140</v>
      </c>
      <c r="J236" s="1" t="s">
        <v>2141</v>
      </c>
      <c r="K236" s="1" t="s">
        <v>454</v>
      </c>
      <c r="L236" s="1" t="s">
        <v>2142</v>
      </c>
      <c r="M236" s="1" t="s">
        <v>1909</v>
      </c>
      <c r="N236" s="1" t="s">
        <v>139</v>
      </c>
      <c r="O236" s="1" t="s">
        <v>366</v>
      </c>
      <c r="Q236" s="1" t="s">
        <v>1911</v>
      </c>
      <c r="R236" s="1" t="s">
        <v>1909</v>
      </c>
      <c r="S236" s="1" t="s">
        <v>70</v>
      </c>
      <c r="T236" s="1" t="s">
        <v>1455</v>
      </c>
      <c r="U236" s="4" t="s">
        <v>2154</v>
      </c>
      <c r="X236" s="1" t="str">
        <f>IFERROR(__xludf.DUMMYFUNCTION("split(F236,"" ,:;.?!"")"),"приходу")</f>
        <v>приходу</v>
      </c>
      <c r="Y236" s="1" t="str">
        <f>IFERROR(__xludf.DUMMYFUNCTION("""COMPUTED_VALUE"""),"Мальты")</f>
        <v>Мальты</v>
      </c>
    </row>
    <row r="237" ht="14.25" customHeight="1">
      <c r="A237" s="1" t="s">
        <v>2155</v>
      </c>
      <c r="B237" s="1" t="s">
        <v>2156</v>
      </c>
      <c r="C237" s="2" t="s">
        <v>2157</v>
      </c>
      <c r="D237" s="7" t="s">
        <v>2158</v>
      </c>
      <c r="E237" s="1" t="s">
        <v>25</v>
      </c>
      <c r="F237" s="4" t="s">
        <v>2159</v>
      </c>
      <c r="G237" s="4" t="s">
        <v>2158</v>
      </c>
      <c r="H237" s="8" t="s">
        <v>1646</v>
      </c>
      <c r="I237" s="4" t="s">
        <v>2160</v>
      </c>
      <c r="J237" s="1" t="s">
        <v>2161</v>
      </c>
      <c r="L237" s="1" t="s">
        <v>2162</v>
      </c>
      <c r="M237" s="1" t="s">
        <v>1909</v>
      </c>
      <c r="N237" s="1" t="s">
        <v>51</v>
      </c>
      <c r="O237" s="1" t="s">
        <v>1372</v>
      </c>
      <c r="P237" s="1" t="s">
        <v>53</v>
      </c>
      <c r="Q237" s="1" t="s">
        <v>2041</v>
      </c>
      <c r="R237" s="1" t="s">
        <v>1909</v>
      </c>
      <c r="S237" s="1" t="s">
        <v>70</v>
      </c>
      <c r="T237" s="1" t="s">
        <v>1455</v>
      </c>
      <c r="U237" s="4" t="s">
        <v>2163</v>
      </c>
      <c r="X237" s="1" t="str">
        <f>IFERROR(__xludf.DUMMYFUNCTION("split(F237,"" ,:;.?!"")"),"русским")</f>
        <v>русским</v>
      </c>
      <c r="Y237" s="1" t="str">
        <f>IFERROR(__xludf.DUMMYFUNCTION("""COMPUTED_VALUE"""),"психологическим")</f>
        <v>психологическим</v>
      </c>
      <c r="Z237" s="1" t="str">
        <f>IFERROR(__xludf.DUMMYFUNCTION("""COMPUTED_VALUE"""),"театром")</f>
        <v>театром</v>
      </c>
    </row>
    <row r="238" ht="14.25" customHeight="1">
      <c r="A238" s="1" t="s">
        <v>25</v>
      </c>
      <c r="B238" s="1" t="s">
        <v>1474</v>
      </c>
      <c r="C238" s="2"/>
      <c r="D238" s="7" t="s">
        <v>1475</v>
      </c>
      <c r="E238" s="1" t="s">
        <v>25</v>
      </c>
      <c r="F238" s="4" t="s">
        <v>2164</v>
      </c>
      <c r="G238" s="4" t="s">
        <v>1475</v>
      </c>
      <c r="H238" s="8" t="s">
        <v>2165</v>
      </c>
      <c r="I238" s="4" t="s">
        <v>2166</v>
      </c>
      <c r="J238" s="1" t="s">
        <v>2167</v>
      </c>
      <c r="L238" s="1" t="s">
        <v>2168</v>
      </c>
      <c r="M238" s="1" t="s">
        <v>1909</v>
      </c>
      <c r="N238" s="1" t="s">
        <v>51</v>
      </c>
      <c r="O238" s="1" t="s">
        <v>67</v>
      </c>
      <c r="P238" s="1" t="s">
        <v>2169</v>
      </c>
      <c r="Q238" s="1" t="s">
        <v>1828</v>
      </c>
      <c r="R238" s="1" t="s">
        <v>1909</v>
      </c>
      <c r="S238" s="1" t="s">
        <v>70</v>
      </c>
      <c r="T238" s="1" t="s">
        <v>1455</v>
      </c>
      <c r="U238" s="4" t="s">
        <v>2170</v>
      </c>
      <c r="X238" s="1" t="str">
        <f>IFERROR(__xludf.DUMMYFUNCTION("split(F238,"" ,:;.?!"")"),"зверьку")</f>
        <v>зверьку</v>
      </c>
      <c r="Y238" s="1" t="str">
        <f>IFERROR(__xludf.DUMMYFUNCTION("""COMPUTED_VALUE"""),"с")</f>
        <v>с</v>
      </c>
      <c r="Z238" s="1" t="str">
        <f>IFERROR(__xludf.DUMMYFUNCTION("""COMPUTED_VALUE"""),"которым")</f>
        <v>которым</v>
      </c>
      <c r="AA238" s="1" t="str">
        <f>IFERROR(__xludf.DUMMYFUNCTION("""COMPUTED_VALUE"""),"мы")</f>
        <v>мы</v>
      </c>
      <c r="AB238" s="1" t="str">
        <f>IFERROR(__xludf.DUMMYFUNCTION("""COMPUTED_VALUE"""),"работали")</f>
        <v>работали</v>
      </c>
      <c r="AC238" s="1" t="str">
        <f>IFERROR(__xludf.DUMMYFUNCTION("""COMPUTED_VALUE"""),"было")</f>
        <v>было</v>
      </c>
    </row>
    <row r="239" ht="14.25" customHeight="1">
      <c r="A239" s="1" t="s">
        <v>2171</v>
      </c>
      <c r="B239" s="1" t="s">
        <v>2172</v>
      </c>
      <c r="C239" s="2" t="s">
        <v>2173</v>
      </c>
      <c r="D239" s="7" t="s">
        <v>2174</v>
      </c>
      <c r="E239" s="1" t="s">
        <v>25</v>
      </c>
      <c r="F239" s="4" t="s">
        <v>2175</v>
      </c>
      <c r="G239" s="4" t="s">
        <v>2174</v>
      </c>
      <c r="H239" s="8" t="s">
        <v>2176</v>
      </c>
      <c r="I239" s="4" t="s">
        <v>2177</v>
      </c>
      <c r="J239" s="1" t="s">
        <v>2178</v>
      </c>
      <c r="K239" s="1" t="s">
        <v>2179</v>
      </c>
      <c r="L239" s="1" t="s">
        <v>2180</v>
      </c>
      <c r="M239" s="1" t="s">
        <v>1909</v>
      </c>
      <c r="N239" s="1" t="s">
        <v>51</v>
      </c>
      <c r="O239" s="1" t="s">
        <v>889</v>
      </c>
      <c r="P239" s="1" t="s">
        <v>1924</v>
      </c>
      <c r="Q239" s="1" t="s">
        <v>1911</v>
      </c>
      <c r="R239" s="1" t="s">
        <v>1909</v>
      </c>
      <c r="S239" s="1" t="s">
        <v>70</v>
      </c>
      <c r="T239" s="1" t="s">
        <v>1455</v>
      </c>
      <c r="U239" s="4" t="s">
        <v>2181</v>
      </c>
      <c r="X239" s="1" t="str">
        <f>IFERROR(__xludf.DUMMYFUNCTION("split(F239,"" ,:;.?!"")"),"политической")</f>
        <v>политической</v>
      </c>
      <c r="Y239" s="1" t="str">
        <f>IFERROR(__xludf.DUMMYFUNCTION("""COMPUTED_VALUE"""),"доблестью")</f>
        <v>доблестью</v>
      </c>
      <c r="Z239" s="1" t="str">
        <f>IFERROR(__xludf.DUMMYFUNCTION("""COMPUTED_VALUE"""),"Эдуарда")</f>
        <v>Эдуарда</v>
      </c>
      <c r="AA239" s="1" t="str">
        <f>IFERROR(__xludf.DUMMYFUNCTION("""COMPUTED_VALUE"""),"Лимонова")</f>
        <v>Лимонова</v>
      </c>
      <c r="AB239" s="1" t="str">
        <f>IFERROR(__xludf.DUMMYFUNCTION("""COMPUTED_VALUE"""),"теперь")</f>
        <v>теперь</v>
      </c>
      <c r="AC239" s="1" t="str">
        <f>IFERROR(__xludf.DUMMYFUNCTION("""COMPUTED_VALUE"""),"его")</f>
        <v>его</v>
      </c>
    </row>
    <row r="240" ht="14.25" customHeight="1">
      <c r="A240" s="1" t="s">
        <v>25</v>
      </c>
      <c r="B240" s="1" t="s">
        <v>2182</v>
      </c>
      <c r="C240" s="2"/>
      <c r="D240" s="7" t="s">
        <v>2183</v>
      </c>
      <c r="E240" s="1" t="s">
        <v>25</v>
      </c>
      <c r="F240" s="4" t="s">
        <v>2184</v>
      </c>
      <c r="G240" s="4" t="s">
        <v>2183</v>
      </c>
      <c r="H240" s="8" t="s">
        <v>863</v>
      </c>
      <c r="I240" s="4" t="s">
        <v>2177</v>
      </c>
      <c r="J240" s="1" t="s">
        <v>2178</v>
      </c>
      <c r="K240" s="1" t="s">
        <v>2179</v>
      </c>
      <c r="L240" s="1" t="s">
        <v>2180</v>
      </c>
      <c r="M240" s="1" t="s">
        <v>1909</v>
      </c>
      <c r="N240" s="1" t="s">
        <v>51</v>
      </c>
      <c r="O240" s="1" t="s">
        <v>889</v>
      </c>
      <c r="P240" s="1" t="s">
        <v>1924</v>
      </c>
      <c r="Q240" s="1" t="s">
        <v>1911</v>
      </c>
      <c r="R240" s="1" t="s">
        <v>1909</v>
      </c>
      <c r="S240" s="1" t="s">
        <v>70</v>
      </c>
      <c r="T240" s="1" t="s">
        <v>1455</v>
      </c>
      <c r="U240" s="4" t="s">
        <v>2185</v>
      </c>
      <c r="X240" s="1" t="str">
        <f>IFERROR(__xludf.DUMMYFUNCTION("split(F240,"" ,:;.?!"")"),"солнцу")</f>
        <v>солнцу</v>
      </c>
    </row>
    <row r="241" ht="14.25" customHeight="1">
      <c r="A241" s="1" t="s">
        <v>2186</v>
      </c>
      <c r="B241" s="1" t="s">
        <v>156</v>
      </c>
      <c r="C241" s="2" t="s">
        <v>2187</v>
      </c>
      <c r="D241" s="7" t="s">
        <v>158</v>
      </c>
      <c r="E241" s="1" t="s">
        <v>25</v>
      </c>
      <c r="F241" s="4" t="s">
        <v>2188</v>
      </c>
      <c r="G241" s="4" t="s">
        <v>158</v>
      </c>
      <c r="H241" s="8" t="s">
        <v>2189</v>
      </c>
      <c r="I241" s="4" t="s">
        <v>2190</v>
      </c>
      <c r="J241" s="1" t="s">
        <v>2191</v>
      </c>
      <c r="K241" s="1" t="s">
        <v>2192</v>
      </c>
      <c r="L241" s="1" t="s">
        <v>2193</v>
      </c>
      <c r="M241" s="1" t="s">
        <v>1909</v>
      </c>
      <c r="N241" s="1" t="s">
        <v>139</v>
      </c>
      <c r="O241" s="1" t="s">
        <v>457</v>
      </c>
      <c r="Q241" s="1" t="s">
        <v>1911</v>
      </c>
      <c r="R241" s="1" t="s">
        <v>1909</v>
      </c>
      <c r="S241" s="1" t="s">
        <v>70</v>
      </c>
      <c r="T241" s="1" t="s">
        <v>1455</v>
      </c>
      <c r="U241" s="4" t="s">
        <v>2194</v>
      </c>
      <c r="X241" s="1" t="str">
        <f>IFERROR(__xludf.DUMMYFUNCTION("split(F241,"" ,:;.?!"")"),"мелочам")</f>
        <v>мелочам</v>
      </c>
      <c r="Y241" s="1" t="str">
        <f>IFERROR(__xludf.DUMMYFUNCTION("""COMPUTED_VALUE"""),"и")</f>
        <v>и</v>
      </c>
      <c r="Z241" s="1" t="str">
        <f>IFERROR(__xludf.DUMMYFUNCTION("""COMPUTED_VALUE"""),"деталям")</f>
        <v>деталям</v>
      </c>
      <c r="AA241" s="1" t="str">
        <f>IFERROR(__xludf.DUMMYFUNCTION("""COMPUTED_VALUE"""),"но")</f>
        <v>но</v>
      </c>
      <c r="AB241" s="1" t="str">
        <f>IFERROR(__xludf.DUMMYFUNCTION("""COMPUTED_VALUE"""),"постепенно")</f>
        <v>постепенно</v>
      </c>
      <c r="AC241" s="1" t="str">
        <f>IFERROR(__xludf.DUMMYFUNCTION("""COMPUTED_VALUE"""),"исподволь")</f>
        <v>исподволь</v>
      </c>
    </row>
    <row r="242" ht="14.25" customHeight="1">
      <c r="A242" s="1" t="s">
        <v>2195</v>
      </c>
      <c r="B242" s="1" t="s">
        <v>2196</v>
      </c>
      <c r="C242" s="2" t="s">
        <v>2197</v>
      </c>
      <c r="D242" s="7" t="s">
        <v>2198</v>
      </c>
      <c r="E242" s="1" t="s">
        <v>25</v>
      </c>
      <c r="F242" s="4" t="s">
        <v>2199</v>
      </c>
      <c r="G242" s="4" t="s">
        <v>2198</v>
      </c>
      <c r="H242" s="8" t="s">
        <v>2200</v>
      </c>
      <c r="I242" s="4" t="s">
        <v>2190</v>
      </c>
      <c r="J242" s="1" t="s">
        <v>2191</v>
      </c>
      <c r="K242" s="1" t="s">
        <v>2192</v>
      </c>
      <c r="L242" s="1" t="s">
        <v>2193</v>
      </c>
      <c r="M242" s="1" t="s">
        <v>1909</v>
      </c>
      <c r="N242" s="1" t="s">
        <v>139</v>
      </c>
      <c r="O242" s="1" t="s">
        <v>457</v>
      </c>
      <c r="Q242" s="1" t="s">
        <v>1911</v>
      </c>
      <c r="R242" s="1" t="s">
        <v>1909</v>
      </c>
      <c r="S242" s="1" t="s">
        <v>70</v>
      </c>
      <c r="T242" s="1" t="s">
        <v>1455</v>
      </c>
      <c r="U242" s="4" t="s">
        <v>2201</v>
      </c>
      <c r="X242" s="1" t="str">
        <f>IFERROR(__xludf.DUMMYFUNCTION("split(F242,"" ,:;.?!"")"),"Савушкину")</f>
        <v>Савушкину</v>
      </c>
      <c r="Y242" s="1" t="str">
        <f>IFERROR(__xludf.DUMMYFUNCTION("""COMPUTED_VALUE"""),"заболтать")</f>
        <v>заболтать</v>
      </c>
      <c r="Z242" s="1" t="str">
        <f>IFERROR(__xludf.DUMMYFUNCTION("""COMPUTED_VALUE"""),"переломить")</f>
        <v>переломить</v>
      </c>
      <c r="AA242" s="1" t="str">
        <f>IFERROR(__xludf.DUMMYFUNCTION("""COMPUTED_VALUE"""),"или")</f>
        <v>или</v>
      </c>
      <c r="AB242" s="1" t="str">
        <f>IFERROR(__xludf.DUMMYFUNCTION("""COMPUTED_VALUE"""),"даже")</f>
        <v>даже</v>
      </c>
      <c r="AC242" s="1" t="str">
        <f>IFERROR(__xludf.DUMMYFUNCTION("""COMPUTED_VALUE"""),"запугать")</f>
        <v>запугать</v>
      </c>
    </row>
    <row r="243" ht="14.25" customHeight="1">
      <c r="A243" s="1" t="s">
        <v>2202</v>
      </c>
      <c r="B243" s="1" t="s">
        <v>381</v>
      </c>
      <c r="C243" s="2" t="s">
        <v>2203</v>
      </c>
      <c r="D243" s="7" t="s">
        <v>383</v>
      </c>
      <c r="E243" s="1" t="s">
        <v>25</v>
      </c>
      <c r="F243" s="4" t="s">
        <v>2204</v>
      </c>
      <c r="G243" s="4" t="s">
        <v>383</v>
      </c>
      <c r="H243" s="8" t="s">
        <v>542</v>
      </c>
      <c r="I243" s="4" t="s">
        <v>2190</v>
      </c>
      <c r="J243" s="1" t="s">
        <v>2191</v>
      </c>
      <c r="K243" s="1" t="s">
        <v>2192</v>
      </c>
      <c r="L243" s="1" t="s">
        <v>2193</v>
      </c>
      <c r="M243" s="1" t="s">
        <v>1909</v>
      </c>
      <c r="N243" s="1" t="s">
        <v>139</v>
      </c>
      <c r="O243" s="1" t="s">
        <v>457</v>
      </c>
      <c r="Q243" s="1" t="s">
        <v>1911</v>
      </c>
      <c r="R243" s="1" t="s">
        <v>1909</v>
      </c>
      <c r="S243" s="1" t="s">
        <v>70</v>
      </c>
      <c r="T243" s="1" t="s">
        <v>1455</v>
      </c>
      <c r="U243" s="4" t="s">
        <v>2205</v>
      </c>
      <c r="X243" s="1" t="str">
        <f>IFERROR(__xludf.DUMMYFUNCTION("split(F243,"" ,:;.?!"")"),"приходу")</f>
        <v>приходу</v>
      </c>
      <c r="Y243" s="1" t="str">
        <f>IFERROR(__xludf.DUMMYFUNCTION("""COMPUTED_VALUE"""),"Любаши")</f>
        <v>Любаши</v>
      </c>
      <c r="Z243" s="1" t="str">
        <f>IFERROR(__xludf.DUMMYFUNCTION("""COMPUTED_VALUE"""),"хотя")</f>
        <v>хотя</v>
      </c>
      <c r="AA243" s="1" t="str">
        <f>IFERROR(__xludf.DUMMYFUNCTION("""COMPUTED_VALUE"""),"увидел")</f>
        <v>увидел</v>
      </c>
      <c r="AB243" s="1" t="str">
        <f>IFERROR(__xludf.DUMMYFUNCTION("""COMPUTED_VALUE"""),"ее")</f>
        <v>ее</v>
      </c>
      <c r="AC243" s="1" t="str">
        <f>IFERROR(__xludf.DUMMYFUNCTION("""COMPUTED_VALUE"""),"издалека")</f>
        <v>издалека</v>
      </c>
    </row>
    <row r="244" ht="14.25" customHeight="1">
      <c r="A244" s="1" t="s">
        <v>2206</v>
      </c>
      <c r="B244" s="1" t="s">
        <v>1445</v>
      </c>
      <c r="C244" s="2" t="s">
        <v>2207</v>
      </c>
      <c r="D244" s="7" t="s">
        <v>1447</v>
      </c>
      <c r="E244" s="1" t="s">
        <v>25</v>
      </c>
      <c r="F244" s="4" t="s">
        <v>2208</v>
      </c>
      <c r="G244" s="4" t="s">
        <v>1447</v>
      </c>
      <c r="H244" s="8" t="s">
        <v>2209</v>
      </c>
      <c r="I244" s="4" t="s">
        <v>2190</v>
      </c>
      <c r="J244" s="1" t="s">
        <v>2191</v>
      </c>
      <c r="K244" s="1" t="s">
        <v>2192</v>
      </c>
      <c r="L244" s="1" t="s">
        <v>2193</v>
      </c>
      <c r="M244" s="1" t="s">
        <v>1909</v>
      </c>
      <c r="N244" s="1" t="s">
        <v>139</v>
      </c>
      <c r="O244" s="1" t="s">
        <v>457</v>
      </c>
      <c r="Q244" s="1" t="s">
        <v>1911</v>
      </c>
      <c r="R244" s="1" t="s">
        <v>1909</v>
      </c>
      <c r="S244" s="1" t="s">
        <v>70</v>
      </c>
      <c r="T244" s="1" t="s">
        <v>1455</v>
      </c>
      <c r="U244" s="4" t="s">
        <v>2210</v>
      </c>
      <c r="X244" s="1" t="str">
        <f>IFERROR(__xludf.DUMMYFUNCTION("split(F244,"" ,:;.?!"")"),"времени")</f>
        <v>времени</v>
      </c>
      <c r="Y244" s="1" t="str">
        <f>IFERROR(__xludf.DUMMYFUNCTION("""COMPUTED_VALUE"""),"всего-то")</f>
        <v>всего-то</v>
      </c>
      <c r="Z244" s="1" t="str">
        <f>IFERROR(__xludf.DUMMYFUNCTION("""COMPUTED_VALUE"""),"надо")</f>
        <v>надо</v>
      </c>
      <c r="AA244" s="1" t="str">
        <f>IFERROR(__xludf.DUMMYFUNCTION("""COMPUTED_VALUE"""),"было")</f>
        <v>было</v>
      </c>
      <c r="AB244" s="1" t="str">
        <f>IFERROR(__xludf.DUMMYFUNCTION("""COMPUTED_VALUE"""),"две")</f>
        <v>две</v>
      </c>
      <c r="AC244" s="1" t="str">
        <f>IFERROR(__xludf.DUMMYFUNCTION("""COMPUTED_VALUE"""),"недели")</f>
        <v>недели</v>
      </c>
    </row>
    <row r="245" ht="14.25" customHeight="1">
      <c r="A245" s="1" t="s">
        <v>2211</v>
      </c>
      <c r="B245" s="1" t="s">
        <v>2212</v>
      </c>
      <c r="C245" s="2" t="s">
        <v>2213</v>
      </c>
      <c r="D245" s="7" t="s">
        <v>2214</v>
      </c>
      <c r="E245" s="1" t="s">
        <v>25</v>
      </c>
      <c r="F245" s="4" t="s">
        <v>2215</v>
      </c>
      <c r="G245" s="4" t="s">
        <v>2214</v>
      </c>
      <c r="H245" s="8" t="s">
        <v>2216</v>
      </c>
      <c r="I245" s="4" t="s">
        <v>2217</v>
      </c>
      <c r="J245" s="1" t="s">
        <v>2218</v>
      </c>
      <c r="K245" s="1" t="s">
        <v>202</v>
      </c>
      <c r="L245" s="1" t="s">
        <v>2219</v>
      </c>
      <c r="M245" s="1" t="s">
        <v>1909</v>
      </c>
      <c r="N245" s="1" t="s">
        <v>139</v>
      </c>
      <c r="O245" s="1" t="s">
        <v>457</v>
      </c>
      <c r="Q245" s="1" t="s">
        <v>1911</v>
      </c>
      <c r="R245" s="1" t="s">
        <v>1909</v>
      </c>
      <c r="S245" s="1" t="s">
        <v>70</v>
      </c>
      <c r="T245" s="1" t="s">
        <v>1455</v>
      </c>
      <c r="U245" s="4" t="s">
        <v>2220</v>
      </c>
      <c r="X245" s="1" t="str">
        <f>IFERROR(__xludf.DUMMYFUNCTION("split(F245,"" ,:;.?!"")"),"малышам")</f>
        <v>малышам</v>
      </c>
    </row>
    <row r="246" ht="14.25" customHeight="1">
      <c r="B246" s="1" t="s">
        <v>2221</v>
      </c>
      <c r="C246" s="2"/>
      <c r="D246" s="7" t="s">
        <v>2222</v>
      </c>
      <c r="E246" s="1" t="s">
        <v>25</v>
      </c>
      <c r="F246" s="4" t="s">
        <v>2223</v>
      </c>
      <c r="G246" s="4" t="s">
        <v>2222</v>
      </c>
      <c r="H246" s="8" t="s">
        <v>2224</v>
      </c>
      <c r="I246" s="4" t="s">
        <v>2225</v>
      </c>
      <c r="J246" s="1" t="s">
        <v>2226</v>
      </c>
      <c r="K246" s="1" t="s">
        <v>480</v>
      </c>
      <c r="L246" s="1" t="s">
        <v>2227</v>
      </c>
      <c r="M246" s="1" t="s">
        <v>1909</v>
      </c>
      <c r="N246" s="1" t="s">
        <v>139</v>
      </c>
      <c r="O246" s="1" t="s">
        <v>366</v>
      </c>
      <c r="Q246" s="1" t="s">
        <v>1911</v>
      </c>
      <c r="R246" s="1" t="s">
        <v>1909</v>
      </c>
      <c r="S246" s="1" t="s">
        <v>70</v>
      </c>
      <c r="T246" s="1" t="s">
        <v>1455</v>
      </c>
      <c r="U246" s="4" t="s">
        <v>2228</v>
      </c>
      <c r="X246" s="1" t="str">
        <f>IFERROR(__xludf.DUMMYFUNCTION("split(F246,"" ,:;.?!"")"),"логику")</f>
        <v>логику</v>
      </c>
      <c r="Y246" s="1" t="str">
        <f>IFERROR(__xludf.DUMMYFUNCTION("""COMPUTED_VALUE"""),"порядок")</f>
        <v>порядок</v>
      </c>
      <c r="Z246" s="1" t="str">
        <f>IFERROR(__xludf.DUMMYFUNCTION("""COMPUTED_VALUE"""),"во")</f>
        <v>во</v>
      </c>
      <c r="AA246" s="1" t="str">
        <f>IFERROR(__xludf.DUMMYFUNCTION("""COMPUTED_VALUE"""),"всём")</f>
        <v>всём</v>
      </c>
      <c r="AB246" s="1" t="str">
        <f>IFERROR(__xludf.DUMMYFUNCTION("""COMPUTED_VALUE"""),"Вера")</f>
        <v>Вера</v>
      </c>
      <c r="AC246" s="1" t="str">
        <f>IFERROR(__xludf.DUMMYFUNCTION("""COMPUTED_VALUE"""),"Николаевна")</f>
        <v>Николаевна</v>
      </c>
    </row>
    <row r="247" ht="14.25" customHeight="1">
      <c r="A247" s="1" t="s">
        <v>2229</v>
      </c>
      <c r="B247" s="1" t="s">
        <v>2230</v>
      </c>
      <c r="C247" s="2" t="s">
        <v>2231</v>
      </c>
      <c r="D247" s="7" t="s">
        <v>2232</v>
      </c>
      <c r="E247" s="1" t="s">
        <v>25</v>
      </c>
      <c r="F247" s="4" t="s">
        <v>2233</v>
      </c>
      <c r="G247" s="4" t="s">
        <v>2232</v>
      </c>
      <c r="H247" s="8" t="s">
        <v>2234</v>
      </c>
      <c r="I247" s="4" t="s">
        <v>2225</v>
      </c>
      <c r="J247" s="1" t="s">
        <v>2226</v>
      </c>
      <c r="K247" s="1" t="s">
        <v>480</v>
      </c>
      <c r="L247" s="1" t="s">
        <v>2227</v>
      </c>
      <c r="M247" s="1" t="s">
        <v>1909</v>
      </c>
      <c r="N247" s="1" t="s">
        <v>139</v>
      </c>
      <c r="O247" s="1" t="s">
        <v>366</v>
      </c>
      <c r="Q247" s="1" t="s">
        <v>1911</v>
      </c>
      <c r="R247" s="1" t="s">
        <v>1909</v>
      </c>
      <c r="S247" s="1" t="s">
        <v>70</v>
      </c>
      <c r="T247" s="1" t="s">
        <v>1455</v>
      </c>
      <c r="U247" s="4" t="s">
        <v>2235</v>
      </c>
      <c r="X247" s="1" t="str">
        <f>IFERROR(__xludf.DUMMYFUNCTION("split(F247,"" ,:;.?!"")"),"чёрным")</f>
        <v>чёрным</v>
      </c>
      <c r="Y247" s="1" t="str">
        <f>IFERROR(__xludf.DUMMYFUNCTION("""COMPUTED_VALUE"""),"протезом")</f>
        <v>протезом</v>
      </c>
      <c r="Z247" s="1" t="str">
        <f>IFERROR(__xludf.DUMMYFUNCTION("""COMPUTED_VALUE"""),"прибить")</f>
        <v>прибить</v>
      </c>
      <c r="AA247" s="1" t="str">
        <f>IFERROR(__xludf.DUMMYFUNCTION("""COMPUTED_VALUE"""),"её")</f>
        <v>её</v>
      </c>
    </row>
    <row r="248" ht="14.25" customHeight="1">
      <c r="A248" s="1" t="s">
        <v>2236</v>
      </c>
      <c r="B248" s="1" t="s">
        <v>776</v>
      </c>
      <c r="C248" s="2" t="s">
        <v>2237</v>
      </c>
      <c r="D248" s="7" t="s">
        <v>778</v>
      </c>
      <c r="E248" s="1" t="s">
        <v>25</v>
      </c>
      <c r="F248" s="4" t="s">
        <v>2238</v>
      </c>
      <c r="G248" s="4" t="s">
        <v>778</v>
      </c>
      <c r="H248" s="8" t="s">
        <v>2239</v>
      </c>
      <c r="I248" s="4" t="s">
        <v>2225</v>
      </c>
      <c r="J248" s="1" t="s">
        <v>2226</v>
      </c>
      <c r="K248" s="1" t="s">
        <v>480</v>
      </c>
      <c r="L248" s="1" t="s">
        <v>2227</v>
      </c>
      <c r="M248" s="1" t="s">
        <v>1909</v>
      </c>
      <c r="N248" s="1" t="s">
        <v>139</v>
      </c>
      <c r="O248" s="1" t="s">
        <v>366</v>
      </c>
      <c r="Q248" s="1" t="s">
        <v>1911</v>
      </c>
      <c r="R248" s="1" t="s">
        <v>1909</v>
      </c>
      <c r="S248" s="1" t="s">
        <v>70</v>
      </c>
      <c r="T248" s="1" t="s">
        <v>1455</v>
      </c>
      <c r="U248" s="4" t="s">
        <v>2240</v>
      </c>
      <c r="X248" s="1" t="str">
        <f>IFERROR(__xludf.DUMMYFUNCTION("split(F248,"" ,:;.?!"")"),"Мише")</f>
        <v>Мише</v>
      </c>
    </row>
    <row r="249" ht="14.25" customHeight="1">
      <c r="B249" s="1" t="s">
        <v>2241</v>
      </c>
      <c r="C249" s="2"/>
      <c r="D249" s="7" t="s">
        <v>2242</v>
      </c>
      <c r="E249" s="1" t="s">
        <v>25</v>
      </c>
      <c r="F249" s="4" t="s">
        <v>2243</v>
      </c>
      <c r="G249" s="4" t="s">
        <v>2242</v>
      </c>
      <c r="H249" s="8" t="s">
        <v>1666</v>
      </c>
      <c r="I249" s="4" t="s">
        <v>2225</v>
      </c>
      <c r="J249" s="1" t="s">
        <v>2226</v>
      </c>
      <c r="K249" s="1" t="s">
        <v>480</v>
      </c>
      <c r="L249" s="1" t="s">
        <v>2227</v>
      </c>
      <c r="M249" s="1" t="s">
        <v>1909</v>
      </c>
      <c r="N249" s="1" t="s">
        <v>139</v>
      </c>
      <c r="O249" s="1" t="s">
        <v>366</v>
      </c>
      <c r="Q249" s="1" t="s">
        <v>1911</v>
      </c>
      <c r="R249" s="1" t="s">
        <v>1909</v>
      </c>
      <c r="S249" s="1" t="s">
        <v>70</v>
      </c>
      <c r="T249" s="1" t="s">
        <v>1455</v>
      </c>
      <c r="U249" s="4" t="s">
        <v>2244</v>
      </c>
      <c r="X249" s="1" t="str">
        <f>IFERROR(__xludf.DUMMYFUNCTION("split(F249,"" ,:;.?!"")"),"были")</f>
        <v>были</v>
      </c>
      <c r="Y249" s="1" t="str">
        <f>IFERROR(__xludf.DUMMYFUNCTION("""COMPUTED_VALUE"""),"не")</f>
        <v>не</v>
      </c>
      <c r="Z249" s="1" t="str">
        <f>IFERROR(__xludf.DUMMYFUNCTION("""COMPUTED_VALUE"""),"меньше")</f>
        <v>меньше</v>
      </c>
      <c r="AA249" s="1" t="str">
        <f>IFERROR(__xludf.DUMMYFUNCTION("""COMPUTED_VALUE"""),"и")</f>
        <v>и</v>
      </c>
      <c r="AB249" s="1" t="str">
        <f>IFERROR(__xludf.DUMMYFUNCTION("""COMPUTED_VALUE"""),"Наталья")</f>
        <v>Наталья</v>
      </c>
      <c r="AC249" s="1" t="str">
        <f>IFERROR(__xludf.DUMMYFUNCTION("""COMPUTED_VALUE"""),"с")</f>
        <v>с</v>
      </c>
    </row>
    <row r="250" ht="14.25" customHeight="1">
      <c r="A250" s="1" t="s">
        <v>25</v>
      </c>
      <c r="B250" s="1" t="s">
        <v>2245</v>
      </c>
      <c r="C250" s="2"/>
      <c r="D250" s="7" t="s">
        <v>2246</v>
      </c>
      <c r="E250" s="1" t="s">
        <v>25</v>
      </c>
      <c r="F250" s="4" t="s">
        <v>2247</v>
      </c>
      <c r="G250" s="4" t="s">
        <v>2246</v>
      </c>
      <c r="H250" s="8" t="s">
        <v>2248</v>
      </c>
      <c r="I250" s="4" t="s">
        <v>2225</v>
      </c>
      <c r="J250" s="1" t="s">
        <v>2226</v>
      </c>
      <c r="K250" s="1" t="s">
        <v>480</v>
      </c>
      <c r="L250" s="1" t="s">
        <v>2227</v>
      </c>
      <c r="M250" s="1" t="s">
        <v>1909</v>
      </c>
      <c r="N250" s="1" t="s">
        <v>139</v>
      </c>
      <c r="O250" s="1" t="s">
        <v>366</v>
      </c>
      <c r="Q250" s="1" t="s">
        <v>1911</v>
      </c>
      <c r="R250" s="1" t="s">
        <v>1909</v>
      </c>
      <c r="S250" s="1" t="s">
        <v>70</v>
      </c>
      <c r="T250" s="1" t="s">
        <v>1455</v>
      </c>
      <c r="U250" s="4" t="s">
        <v>2249</v>
      </c>
      <c r="X250" s="1" t="str">
        <f>IFERROR(__xludf.DUMMYFUNCTION("split(F250,"" ,:;.?!"")"),"белку")</f>
        <v>белку</v>
      </c>
      <c r="Y250" s="1" t="str">
        <f>IFERROR(__xludf.DUMMYFUNCTION("""COMPUTED_VALUE"""),"в")</f>
        <v>в</v>
      </c>
      <c r="Z250" s="1" t="str">
        <f>IFERROR(__xludf.DUMMYFUNCTION("""COMPUTED_VALUE"""),"парке")</f>
        <v>парке</v>
      </c>
      <c r="AA250" s="1" t="str">
        <f>IFERROR(__xludf.DUMMYFUNCTION("""COMPUTED_VALUE"""),"кормил")</f>
        <v>кормил</v>
      </c>
      <c r="AB250" s="1" t="str">
        <f>IFERROR(__xludf.DUMMYFUNCTION("""COMPUTED_VALUE"""),"почти")</f>
        <v>почти</v>
      </c>
      <c r="AC250" s="1" t="str">
        <f>IFERROR(__xludf.DUMMYFUNCTION("""COMPUTED_VALUE"""),"с")</f>
        <v>с</v>
      </c>
    </row>
    <row r="251" ht="14.25" customHeight="1">
      <c r="A251" s="1" t="s">
        <v>2250</v>
      </c>
      <c r="B251" s="1" t="s">
        <v>2251</v>
      </c>
      <c r="C251" s="2" t="s">
        <v>2252</v>
      </c>
      <c r="D251" s="7" t="s">
        <v>2253</v>
      </c>
      <c r="E251" s="1" t="s">
        <v>25</v>
      </c>
      <c r="F251" s="4" t="s">
        <v>2254</v>
      </c>
      <c r="G251" s="4" t="s">
        <v>2253</v>
      </c>
      <c r="H251" s="8" t="s">
        <v>2255</v>
      </c>
      <c r="I251" s="4" t="s">
        <v>2225</v>
      </c>
      <c r="J251" s="1" t="s">
        <v>2226</v>
      </c>
      <c r="K251" s="1" t="s">
        <v>480</v>
      </c>
      <c r="L251" s="1" t="s">
        <v>2227</v>
      </c>
      <c r="M251" s="1" t="s">
        <v>1909</v>
      </c>
      <c r="N251" s="1" t="s">
        <v>139</v>
      </c>
      <c r="O251" s="1" t="s">
        <v>366</v>
      </c>
      <c r="Q251" s="1" t="s">
        <v>1911</v>
      </c>
      <c r="R251" s="1" t="s">
        <v>1909</v>
      </c>
      <c r="S251" s="1" t="s">
        <v>70</v>
      </c>
      <c r="T251" s="1" t="s">
        <v>1455</v>
      </c>
      <c r="U251" s="4" t="s">
        <v>2256</v>
      </c>
      <c r="X251" s="1" t="str">
        <f>IFERROR(__xludf.DUMMYFUNCTION("split(F251,"" ,:;.?!"")"),"газу")</f>
        <v>газу</v>
      </c>
    </row>
    <row r="252" ht="14.25" customHeight="1">
      <c r="A252" s="1" t="s">
        <v>25</v>
      </c>
      <c r="B252" s="1" t="s">
        <v>1474</v>
      </c>
      <c r="C252" s="2"/>
      <c r="D252" s="7" t="s">
        <v>1475</v>
      </c>
      <c r="E252" s="1" t="s">
        <v>25</v>
      </c>
      <c r="F252" s="4" t="s">
        <v>2257</v>
      </c>
      <c r="G252" s="4" t="s">
        <v>1475</v>
      </c>
      <c r="H252" s="8" t="s">
        <v>2258</v>
      </c>
      <c r="I252" s="4" t="s">
        <v>2259</v>
      </c>
      <c r="J252" s="1" t="s">
        <v>2260</v>
      </c>
      <c r="L252" s="1" t="s">
        <v>2261</v>
      </c>
      <c r="M252" s="1" t="s">
        <v>1909</v>
      </c>
      <c r="N252" s="1" t="s">
        <v>51</v>
      </c>
      <c r="O252" s="1" t="s">
        <v>189</v>
      </c>
      <c r="P252" s="1" t="s">
        <v>2262</v>
      </c>
      <c r="Q252" s="1" t="s">
        <v>1828</v>
      </c>
      <c r="R252" s="1" t="s">
        <v>1909</v>
      </c>
      <c r="S252" s="1" t="s">
        <v>70</v>
      </c>
      <c r="T252" s="1" t="s">
        <v>1455</v>
      </c>
      <c r="U252" s="4" t="s">
        <v>2263</v>
      </c>
      <c r="X252" s="1" t="str">
        <f>IFERROR(__xludf.DUMMYFUNCTION("split(F252,"" ,:;.?!"")"),"мелочи")</f>
        <v>мелочи</v>
      </c>
      <c r="Y252" s="1" t="str">
        <f>IFERROR(__xludf.DUMMYFUNCTION("""COMPUTED_VALUE"""),"ли")</f>
        <v>ли</v>
      </c>
    </row>
    <row r="253" ht="14.25" customHeight="1">
      <c r="A253" s="1" t="s">
        <v>2264</v>
      </c>
      <c r="B253" s="1" t="s">
        <v>2265</v>
      </c>
      <c r="C253" s="2" t="s">
        <v>2266</v>
      </c>
      <c r="D253" s="7" t="s">
        <v>2267</v>
      </c>
      <c r="E253" s="1" t="s">
        <v>25</v>
      </c>
      <c r="F253" s="4" t="s">
        <v>2268</v>
      </c>
      <c r="G253" s="4" t="s">
        <v>2267</v>
      </c>
      <c r="H253" s="8" t="s">
        <v>2269</v>
      </c>
      <c r="I253" s="4" t="s">
        <v>2270</v>
      </c>
      <c r="J253" s="1" t="s">
        <v>1888</v>
      </c>
      <c r="L253" s="1" t="s">
        <v>2271</v>
      </c>
      <c r="M253" s="1" t="s">
        <v>1909</v>
      </c>
      <c r="N253" s="1" t="s">
        <v>51</v>
      </c>
      <c r="O253" s="1" t="s">
        <v>1794</v>
      </c>
      <c r="P253" s="1" t="s">
        <v>2272</v>
      </c>
      <c r="Q253" s="1" t="s">
        <v>1828</v>
      </c>
      <c r="R253" s="1" t="s">
        <v>1909</v>
      </c>
      <c r="S253" s="1" t="s">
        <v>70</v>
      </c>
      <c r="T253" s="1" t="s">
        <v>1455</v>
      </c>
      <c r="U253" s="4" t="s">
        <v>2273</v>
      </c>
      <c r="X253" s="1" t="str">
        <f>IFERROR(__xludf.DUMMYFUNCTION("split(F253,"" ,:;.?!"")"),"будущему")</f>
        <v>будущему</v>
      </c>
      <c r="Y253" s="1" t="str">
        <f>IFERROR(__xludf.DUMMYFUNCTION("""COMPUTED_VALUE"""),"доктору")</f>
        <v>доктору</v>
      </c>
    </row>
    <row r="254" ht="14.25" customHeight="1">
      <c r="A254" s="1" t="s">
        <v>2274</v>
      </c>
      <c r="B254" s="1" t="s">
        <v>2275</v>
      </c>
      <c r="C254" s="2" t="s">
        <v>2276</v>
      </c>
      <c r="D254" s="7" t="s">
        <v>2277</v>
      </c>
      <c r="E254" s="1" t="s">
        <v>2278</v>
      </c>
      <c r="F254" s="4" t="s">
        <v>2279</v>
      </c>
      <c r="G254" s="4" t="s">
        <v>2277</v>
      </c>
      <c r="H254" s="8" t="s">
        <v>2280</v>
      </c>
      <c r="I254" s="4" t="s">
        <v>2281</v>
      </c>
      <c r="J254" s="1" t="s">
        <v>2282</v>
      </c>
      <c r="L254" s="1" t="s">
        <v>2283</v>
      </c>
      <c r="M254" s="1" t="s">
        <v>2284</v>
      </c>
      <c r="N254" s="1" t="s">
        <v>51</v>
      </c>
      <c r="O254" s="1" t="s">
        <v>189</v>
      </c>
      <c r="P254" s="1" t="s">
        <v>1481</v>
      </c>
      <c r="Q254" s="1" t="s">
        <v>2285</v>
      </c>
      <c r="R254" s="1" t="s">
        <v>2286</v>
      </c>
      <c r="S254" s="1" t="s">
        <v>35</v>
      </c>
      <c r="T254" s="1" t="s">
        <v>1455</v>
      </c>
      <c r="U254" s="4" t="s">
        <v>2287</v>
      </c>
      <c r="X254" s="1" t="str">
        <f>IFERROR(__xludf.DUMMYFUNCTION("split(F254,"" ,:;.?!"")"),"духовной")</f>
        <v>духовной</v>
      </c>
      <c r="Y254" s="1" t="str">
        <f>IFERROR(__xludf.DUMMYFUNCTION("""COMPUTED_VALUE"""),"родословной»")</f>
        <v>родословной»</v>
      </c>
      <c r="Z254" s="1" t="str">
        <f>IFERROR(__xludf.DUMMYFUNCTION("""COMPUTED_VALUE"""),"владыки")</f>
        <v>владыки</v>
      </c>
    </row>
    <row r="255" ht="14.25" customHeight="1">
      <c r="A255" s="1" t="s">
        <v>2288</v>
      </c>
      <c r="B255" s="1" t="s">
        <v>59</v>
      </c>
      <c r="C255" s="2" t="s">
        <v>2289</v>
      </c>
      <c r="D255" s="7" t="s">
        <v>61</v>
      </c>
      <c r="E255" s="1" t="s">
        <v>25</v>
      </c>
      <c r="F255" s="4" t="s">
        <v>2290</v>
      </c>
      <c r="G255" s="4" t="s">
        <v>61</v>
      </c>
      <c r="H255" s="8" t="s">
        <v>1366</v>
      </c>
      <c r="I255" s="4" t="s">
        <v>2281</v>
      </c>
      <c r="J255" s="1" t="s">
        <v>2282</v>
      </c>
      <c r="L255" s="1" t="s">
        <v>2283</v>
      </c>
      <c r="M255" s="1" t="s">
        <v>2284</v>
      </c>
      <c r="N255" s="1" t="s">
        <v>51</v>
      </c>
      <c r="O255" s="1" t="s">
        <v>189</v>
      </c>
      <c r="P255" s="1" t="s">
        <v>1481</v>
      </c>
      <c r="Q255" s="1" t="s">
        <v>2285</v>
      </c>
      <c r="R255" s="1" t="s">
        <v>2286</v>
      </c>
      <c r="S255" s="1" t="s">
        <v>35</v>
      </c>
      <c r="T255" s="1" t="s">
        <v>1455</v>
      </c>
      <c r="U255" s="4" t="s">
        <v>2291</v>
      </c>
      <c r="X255" s="1" t="str">
        <f>IFERROR(__xludf.DUMMYFUNCTION("split(F255,"" ,:;.?!"")"),"людям")</f>
        <v>людям</v>
      </c>
    </row>
    <row r="256" ht="14.25" customHeight="1">
      <c r="A256" s="1" t="s">
        <v>2292</v>
      </c>
      <c r="B256" s="1" t="s">
        <v>1271</v>
      </c>
      <c r="C256" s="2" t="s">
        <v>2293</v>
      </c>
      <c r="D256" s="7" t="s">
        <v>1273</v>
      </c>
      <c r="E256" s="1" t="s">
        <v>25</v>
      </c>
      <c r="F256" s="4" t="s">
        <v>2294</v>
      </c>
      <c r="G256" s="4" t="s">
        <v>1273</v>
      </c>
      <c r="H256" s="8" t="s">
        <v>1550</v>
      </c>
      <c r="I256" s="4" t="s">
        <v>2281</v>
      </c>
      <c r="J256" s="1" t="s">
        <v>2282</v>
      </c>
      <c r="L256" s="1" t="s">
        <v>2283</v>
      </c>
      <c r="M256" s="1" t="s">
        <v>2284</v>
      </c>
      <c r="N256" s="1" t="s">
        <v>51</v>
      </c>
      <c r="O256" s="1" t="s">
        <v>189</v>
      </c>
      <c r="P256" s="1" t="s">
        <v>1481</v>
      </c>
      <c r="Q256" s="1" t="s">
        <v>2285</v>
      </c>
      <c r="R256" s="1" t="s">
        <v>2286</v>
      </c>
      <c r="S256" s="1" t="s">
        <v>35</v>
      </c>
      <c r="T256" s="1" t="s">
        <v>1455</v>
      </c>
      <c r="U256" s="4" t="s">
        <v>2295</v>
      </c>
      <c r="X256" s="1" t="str">
        <f>IFERROR(__xludf.DUMMYFUNCTION("split(F256,"" ,:;.?!"")"),"делом")</f>
        <v>делом</v>
      </c>
      <c r="Y256" s="1" t="str">
        <f>IFERROR(__xludf.DUMMYFUNCTION("""COMPUTED_VALUE"""),"преподаю")</f>
        <v>преподаю</v>
      </c>
      <c r="Z256" s="1" t="str">
        <f>IFERROR(__xludf.DUMMYFUNCTION("""COMPUTED_VALUE"""),"древнегреческий")</f>
        <v>древнегреческий</v>
      </c>
      <c r="AA256" s="1" t="str">
        <f>IFERROR(__xludf.DUMMYFUNCTION("""COMPUTED_VALUE"""),"латынь")</f>
        <v>латынь</v>
      </c>
      <c r="AB256" s="1" t="str">
        <f>IFERROR(__xludf.DUMMYFUNCTION("""COMPUTED_VALUE"""),"историю")</f>
        <v>историю</v>
      </c>
      <c r="AC256" s="1" t="str">
        <f>IFERROR(__xludf.DUMMYFUNCTION("""COMPUTED_VALUE"""),"позднеантичной")</f>
        <v>позднеантичной</v>
      </c>
    </row>
    <row r="257" ht="14.25" customHeight="1">
      <c r="A257" s="1" t="s">
        <v>2296</v>
      </c>
      <c r="B257" s="1" t="s">
        <v>156</v>
      </c>
      <c r="C257" s="2" t="s">
        <v>2297</v>
      </c>
      <c r="D257" s="7" t="s">
        <v>158</v>
      </c>
      <c r="E257" s="1" t="s">
        <v>25</v>
      </c>
      <c r="F257" s="4" t="s">
        <v>2298</v>
      </c>
      <c r="G257" s="4" t="s">
        <v>158</v>
      </c>
      <c r="H257" s="8" t="s">
        <v>2299</v>
      </c>
      <c r="I257" s="4" t="s">
        <v>2300</v>
      </c>
      <c r="J257" s="1" t="s">
        <v>2301</v>
      </c>
      <c r="K257" s="1" t="s">
        <v>829</v>
      </c>
      <c r="L257" s="1" t="s">
        <v>2302</v>
      </c>
      <c r="M257" s="1" t="s">
        <v>2303</v>
      </c>
      <c r="N257" s="1" t="s">
        <v>51</v>
      </c>
      <c r="O257" s="1" t="s">
        <v>67</v>
      </c>
      <c r="P257" s="1" t="s">
        <v>2008</v>
      </c>
      <c r="Q257" s="1" t="s">
        <v>2285</v>
      </c>
      <c r="R257" s="1" t="s">
        <v>2286</v>
      </c>
      <c r="S257" s="1" t="s">
        <v>35</v>
      </c>
      <c r="T257" s="1" t="s">
        <v>1455</v>
      </c>
      <c r="U257" s="4" t="s">
        <v>2304</v>
      </c>
      <c r="X257" s="1" t="str">
        <f>IFERROR(__xludf.DUMMYFUNCTION("split(F257,"" ,:;.?!"")"),"воскресенью")</f>
        <v>воскресенью</v>
      </c>
      <c r="Y257" s="1" t="str">
        <f>IFERROR(__xludf.DUMMYFUNCTION("""COMPUTED_VALUE"""),"надо")</f>
        <v>надо</v>
      </c>
      <c r="Z257" s="1" t="str">
        <f>IFERROR(__xludf.DUMMYFUNCTION("""COMPUTED_VALUE"""),"пройти")</f>
        <v>пройти</v>
      </c>
      <c r="AA257" s="1" t="str">
        <f>IFERROR(__xludf.DUMMYFUNCTION("""COMPUTED_VALUE"""),"через")</f>
        <v>через</v>
      </c>
      <c r="AB257" s="1" t="str">
        <f>IFERROR(__xludf.DUMMYFUNCTION("""COMPUTED_VALUE"""),"Голгофу")</f>
        <v>Голгофу</v>
      </c>
    </row>
    <row r="258" ht="14.25" customHeight="1">
      <c r="A258" s="1" t="s">
        <v>25</v>
      </c>
      <c r="B258" s="1" t="s">
        <v>1474</v>
      </c>
      <c r="C258" s="2"/>
      <c r="D258" s="7" t="s">
        <v>1475</v>
      </c>
      <c r="E258" s="1" t="s">
        <v>25</v>
      </c>
      <c r="F258" s="4" t="s">
        <v>2305</v>
      </c>
      <c r="G258" s="4" t="s">
        <v>1475</v>
      </c>
      <c r="H258" s="8" t="s">
        <v>2306</v>
      </c>
      <c r="I258" s="4" t="s">
        <v>2307</v>
      </c>
      <c r="J258" s="1" t="s">
        <v>2308</v>
      </c>
      <c r="K258" s="1" t="s">
        <v>2309</v>
      </c>
      <c r="L258" s="1" t="s">
        <v>2310</v>
      </c>
      <c r="M258" s="1" t="s">
        <v>2311</v>
      </c>
      <c r="N258" s="1" t="s">
        <v>51</v>
      </c>
      <c r="O258" s="1" t="s">
        <v>189</v>
      </c>
      <c r="P258" s="1" t="s">
        <v>2312</v>
      </c>
      <c r="Q258" s="1" t="s">
        <v>2285</v>
      </c>
      <c r="R258" s="1" t="s">
        <v>2286</v>
      </c>
      <c r="S258" s="1" t="s">
        <v>35</v>
      </c>
      <c r="T258" s="1" t="s">
        <v>1455</v>
      </c>
      <c r="U258" s="4" t="s">
        <v>2313</v>
      </c>
      <c r="X258" s="1" t="str">
        <f>IFERROR(__xludf.DUMMYFUNCTION("split(F258,"" ,:;.?!"")"),"Толстой")</f>
        <v>Толстой</v>
      </c>
      <c r="Y258" s="1" t="str">
        <f>IFERROR(__xludf.DUMMYFUNCTION("""COMPUTED_VALUE"""),"был")</f>
        <v>был</v>
      </c>
      <c r="Z258" s="1" t="str">
        <f>IFERROR(__xludf.DUMMYFUNCTION("""COMPUTED_VALUE"""),"известным")</f>
        <v>известным</v>
      </c>
      <c r="AA258" s="1" t="str">
        <f>IFERROR(__xludf.DUMMYFUNCTION("""COMPUTED_VALUE"""),"реформатором")</f>
        <v>реформатором</v>
      </c>
      <c r="AB258" s="1" t="str">
        <f>IFERROR(__xludf.DUMMYFUNCTION("""COMPUTED_VALUE"""),"но")</f>
        <v>но</v>
      </c>
      <c r="AC258" s="1" t="str">
        <f>IFERROR(__xludf.DUMMYFUNCTION("""COMPUTED_VALUE"""),"не")</f>
        <v>не</v>
      </c>
    </row>
    <row r="259" ht="14.25" customHeight="1">
      <c r="A259" s="1" t="s">
        <v>2314</v>
      </c>
      <c r="B259" s="1" t="s">
        <v>22</v>
      </c>
      <c r="C259" s="2" t="s">
        <v>2315</v>
      </c>
      <c r="D259" s="7" t="s">
        <v>24</v>
      </c>
      <c r="E259" s="1" t="s">
        <v>25</v>
      </c>
      <c r="F259" s="4" t="s">
        <v>2316</v>
      </c>
      <c r="G259" s="4" t="s">
        <v>24</v>
      </c>
      <c r="H259" s="8" t="s">
        <v>2317</v>
      </c>
      <c r="I259" s="4" t="s">
        <v>2318</v>
      </c>
      <c r="J259" s="1" t="s">
        <v>2319</v>
      </c>
      <c r="L259" s="1" t="s">
        <v>2320</v>
      </c>
      <c r="M259" s="1" t="s">
        <v>2321</v>
      </c>
      <c r="N259" s="1" t="s">
        <v>51</v>
      </c>
      <c r="O259" s="1" t="s">
        <v>67</v>
      </c>
      <c r="P259" s="1" t="s">
        <v>2322</v>
      </c>
      <c r="Q259" s="1" t="s">
        <v>2285</v>
      </c>
      <c r="R259" s="1" t="s">
        <v>2286</v>
      </c>
      <c r="S259" s="1" t="s">
        <v>35</v>
      </c>
      <c r="T259" s="1" t="s">
        <v>1455</v>
      </c>
      <c r="U259" s="4" t="s">
        <v>2323</v>
      </c>
      <c r="X259" s="1" t="str">
        <f>IFERROR(__xludf.DUMMYFUNCTION("split(F259,"" ,:;.?!"")"),"чужому")</f>
        <v>чужому</v>
      </c>
      <c r="Y259" s="1" t="str">
        <f>IFERROR(__xludf.DUMMYFUNCTION("""COMPUTED_VALUE"""),"горю")</f>
        <v>горю</v>
      </c>
    </row>
    <row r="260" ht="14.25" customHeight="1">
      <c r="A260" s="1" t="s">
        <v>2324</v>
      </c>
      <c r="B260" s="1" t="s">
        <v>2325</v>
      </c>
      <c r="C260" s="2" t="s">
        <v>2326</v>
      </c>
      <c r="D260" s="7" t="s">
        <v>2327</v>
      </c>
      <c r="E260" s="1" t="s">
        <v>25</v>
      </c>
      <c r="F260" s="4" t="s">
        <v>2328</v>
      </c>
      <c r="G260" s="4" t="s">
        <v>2327</v>
      </c>
      <c r="H260" s="8" t="s">
        <v>2329</v>
      </c>
      <c r="I260" s="4" t="s">
        <v>2330</v>
      </c>
      <c r="J260" s="1" t="s">
        <v>2331</v>
      </c>
      <c r="K260" s="1" t="s">
        <v>794</v>
      </c>
      <c r="L260" s="1" t="s">
        <v>2332</v>
      </c>
      <c r="M260" s="1" t="s">
        <v>2333</v>
      </c>
      <c r="N260" s="1" t="s">
        <v>51</v>
      </c>
      <c r="O260" s="1" t="s">
        <v>67</v>
      </c>
      <c r="P260" s="1" t="s">
        <v>2334</v>
      </c>
      <c r="Q260" s="1" t="s">
        <v>2285</v>
      </c>
      <c r="R260" s="1" t="s">
        <v>2286</v>
      </c>
      <c r="S260" s="1" t="s">
        <v>35</v>
      </c>
      <c r="T260" s="1" t="s">
        <v>1455</v>
      </c>
      <c r="U260" s="4" t="s">
        <v>2335</v>
      </c>
      <c r="X260" s="1" t="str">
        <f>IFERROR(__xludf.DUMMYFUNCTION("split(F260,"" ,:;.?!"")"),"Рафаэлевой")</f>
        <v>Рафаэлевой</v>
      </c>
      <c r="Y260" s="1" t="str">
        <f>IFERROR(__xludf.DUMMYFUNCTION("""COMPUTED_VALUE"""),"«Мадонной»")</f>
        <v>«Мадонной»</v>
      </c>
      <c r="Z260" s="1" t="str">
        <f>IFERROR(__xludf.DUMMYFUNCTION("""COMPUTED_VALUE"""),"если")</f>
        <v>если</v>
      </c>
      <c r="AA260" s="1" t="str">
        <f>IFERROR(__xludf.DUMMYFUNCTION("""COMPUTED_VALUE"""),"не")</f>
        <v>не</v>
      </c>
      <c r="AB260" s="1" t="str">
        <f>IFERROR(__xludf.DUMMYFUNCTION("""COMPUTED_VALUE"""),"верят")</f>
        <v>верят</v>
      </c>
      <c r="AC260" s="1" t="str">
        <f>IFERROR(__xludf.DUMMYFUNCTION("""COMPUTED_VALUE"""),"в")</f>
        <v>в</v>
      </c>
    </row>
    <row r="261" ht="14.25" customHeight="1">
      <c r="A261" s="1" t="s">
        <v>2336</v>
      </c>
      <c r="B261" s="1" t="s">
        <v>156</v>
      </c>
      <c r="C261" s="2" t="s">
        <v>2337</v>
      </c>
      <c r="D261" s="7" t="s">
        <v>158</v>
      </c>
      <c r="E261" s="1" t="s">
        <v>25</v>
      </c>
      <c r="F261" s="4" t="s">
        <v>2338</v>
      </c>
      <c r="G261" s="4" t="s">
        <v>158</v>
      </c>
      <c r="H261" s="8" t="s">
        <v>2339</v>
      </c>
      <c r="I261" s="4" t="s">
        <v>2340</v>
      </c>
      <c r="J261" s="1" t="s">
        <v>29</v>
      </c>
      <c r="L261" s="1" t="s">
        <v>2341</v>
      </c>
      <c r="M261" s="1" t="s">
        <v>2342</v>
      </c>
      <c r="N261" s="1" t="s">
        <v>32</v>
      </c>
      <c r="O261" s="1" t="s">
        <v>80</v>
      </c>
      <c r="P261" s="1" t="s">
        <v>2343</v>
      </c>
      <c r="S261" s="1" t="s">
        <v>35</v>
      </c>
      <c r="T261" s="1" t="s">
        <v>1455</v>
      </c>
      <c r="U261" s="4" t="s">
        <v>2344</v>
      </c>
      <c r="X261" s="1" t="str">
        <f>IFERROR(__xludf.DUMMYFUNCTION("split(F261,"" ,:;.?!"")"),"моменту")</f>
        <v>моменту</v>
      </c>
      <c r="Y261" s="1" t="str">
        <f>IFERROR(__xludf.DUMMYFUNCTION("""COMPUTED_VALUE"""),"смотреть")</f>
        <v>смотреть</v>
      </c>
      <c r="Z261" s="1" t="str">
        <f>IFERROR(__xludf.DUMMYFUNCTION("""COMPUTED_VALUE"""),"на")</f>
        <v>на</v>
      </c>
      <c r="AA261" s="1" t="str">
        <f>IFERROR(__xludf.DUMMYFUNCTION("""COMPUTED_VALUE"""),"жизнь")</f>
        <v>жизнь</v>
      </c>
      <c r="AB261" s="1" t="str">
        <f>IFERROR(__xludf.DUMMYFUNCTION("""COMPUTED_VALUE"""),"спокойно")</f>
        <v>спокойно</v>
      </c>
      <c r="AC261" s="1" t="str">
        <f>IFERROR(__xludf.DUMMYFUNCTION("""COMPUTED_VALUE"""),"а")</f>
        <v>а</v>
      </c>
    </row>
    <row r="262" ht="14.25" customHeight="1">
      <c r="A262" s="1" t="s">
        <v>2336</v>
      </c>
      <c r="B262" s="1" t="s">
        <v>156</v>
      </c>
      <c r="C262" s="2" t="s">
        <v>2337</v>
      </c>
      <c r="D262" s="7" t="s">
        <v>158</v>
      </c>
      <c r="E262" s="1" t="s">
        <v>25</v>
      </c>
      <c r="F262" s="4" t="s">
        <v>2345</v>
      </c>
      <c r="G262" s="4" t="s">
        <v>158</v>
      </c>
      <c r="H262" s="8" t="s">
        <v>2339</v>
      </c>
      <c r="I262" s="4" t="s">
        <v>2340</v>
      </c>
      <c r="J262" s="1" t="s">
        <v>29</v>
      </c>
      <c r="L262" s="1" t="s">
        <v>2341</v>
      </c>
      <c r="M262" s="1" t="s">
        <v>2342</v>
      </c>
      <c r="N262" s="1" t="s">
        <v>32</v>
      </c>
      <c r="O262" s="1" t="s">
        <v>80</v>
      </c>
      <c r="P262" s="1" t="s">
        <v>2343</v>
      </c>
      <c r="S262" s="1" t="s">
        <v>35</v>
      </c>
      <c r="T262" s="1" t="s">
        <v>1455</v>
      </c>
      <c r="U262" s="4" t="s">
        <v>2346</v>
      </c>
      <c r="X262" s="1" t="str">
        <f>IFERROR(__xludf.DUMMYFUNCTION("split(F262,"" ,:;.?!"")"),"моменту")</f>
        <v>моменту</v>
      </c>
      <c r="Y262" s="1" t="str">
        <f>IFERROR(__xludf.DUMMYFUNCTION("""COMPUTED_VALUE"""),"смотреть")</f>
        <v>смотреть</v>
      </c>
      <c r="Z262" s="1" t="str">
        <f>IFERROR(__xludf.DUMMYFUNCTION("""COMPUTED_VALUE"""),"на")</f>
        <v>на</v>
      </c>
      <c r="AA262" s="1" t="str">
        <f>IFERROR(__xludf.DUMMYFUNCTION("""COMPUTED_VALUE"""),"жизнь")</f>
        <v>жизнь</v>
      </c>
      <c r="AB262" s="1" t="str">
        <f>IFERROR(__xludf.DUMMYFUNCTION("""COMPUTED_VALUE"""),"спокойно")</f>
        <v>спокойно</v>
      </c>
      <c r="AC262" s="1" t="str">
        <f>IFERROR(__xludf.DUMMYFUNCTION("""COMPUTED_VALUE"""),"а")</f>
        <v>а</v>
      </c>
    </row>
    <row r="263" ht="14.25" customHeight="1">
      <c r="A263" s="1" t="s">
        <v>2347</v>
      </c>
      <c r="B263" s="1" t="s">
        <v>2348</v>
      </c>
      <c r="C263" s="2" t="s">
        <v>2349</v>
      </c>
      <c r="D263" s="7" t="s">
        <v>2350</v>
      </c>
      <c r="E263" s="1" t="s">
        <v>25</v>
      </c>
      <c r="F263" s="4" t="s">
        <v>2351</v>
      </c>
      <c r="G263" s="4" t="s">
        <v>2350</v>
      </c>
      <c r="H263" s="8" t="s">
        <v>2352</v>
      </c>
      <c r="I263" s="4" t="s">
        <v>2353</v>
      </c>
      <c r="J263" s="1" t="s">
        <v>2354</v>
      </c>
      <c r="K263" s="1" t="s">
        <v>2355</v>
      </c>
      <c r="L263" s="1" t="s">
        <v>2356</v>
      </c>
      <c r="M263" s="1" t="s">
        <v>2286</v>
      </c>
      <c r="N263" s="1" t="s">
        <v>51</v>
      </c>
      <c r="O263" s="1" t="s">
        <v>189</v>
      </c>
      <c r="P263" s="1" t="s">
        <v>2357</v>
      </c>
      <c r="S263" s="1" t="s">
        <v>272</v>
      </c>
      <c r="T263" s="1" t="s">
        <v>1455</v>
      </c>
      <c r="U263" s="4" t="s">
        <v>2358</v>
      </c>
      <c r="X263" s="1" t="str">
        <f>IFERROR(__xludf.DUMMYFUNCTION("split(F263,"" ,:;.?!"")"),"литургии	")</f>
        <v>литургии	</v>
      </c>
      <c r="Y263" s="1" t="str">
        <f>IFERROR(__xludf.DUMMYFUNCTION("""COMPUTED_VALUE"""),"И")</f>
        <v>И</v>
      </c>
      <c r="Z263" s="1" t="str">
        <f>IFERROR(__xludf.DUMMYFUNCTION("""COMPUTED_VALUE"""),"меня")</f>
        <v>меня</v>
      </c>
      <c r="AA263" s="1" t="str">
        <f>IFERROR(__xludf.DUMMYFUNCTION("""COMPUTED_VALUE"""),"креститься")</f>
        <v>креститься</v>
      </c>
      <c r="AB263" s="1" t="str">
        <f>IFERROR(__xludf.DUMMYFUNCTION("""COMPUTED_VALUE"""),"приучали")</f>
        <v>приучали</v>
      </c>
      <c r="AC263" s="1" t="str">
        <f>IFERROR(__xludf.DUMMYFUNCTION("""COMPUTED_VALUE"""),"	")</f>
        <v>	</v>
      </c>
      <c r="AD263" s="1" t="str">
        <f>IFERROR(__xludf.DUMMYFUNCTION("""COMPUTED_VALUE"""),"Но")</f>
        <v>Но</v>
      </c>
    </row>
    <row r="264" ht="14.25" customHeight="1">
      <c r="A264" s="1" t="s">
        <v>2359</v>
      </c>
      <c r="B264" s="1" t="s">
        <v>59</v>
      </c>
      <c r="C264" s="2" t="s">
        <v>2360</v>
      </c>
      <c r="D264" s="7" t="s">
        <v>61</v>
      </c>
      <c r="E264" s="1" t="s">
        <v>25</v>
      </c>
      <c r="F264" s="4" t="s">
        <v>2361</v>
      </c>
      <c r="G264" s="4" t="s">
        <v>61</v>
      </c>
      <c r="H264" s="8" t="s">
        <v>2362</v>
      </c>
      <c r="I264" s="4" t="s">
        <v>2363</v>
      </c>
      <c r="J264" s="1" t="s">
        <v>2364</v>
      </c>
      <c r="L264" s="1" t="s">
        <v>2365</v>
      </c>
      <c r="M264" s="1" t="s">
        <v>2286</v>
      </c>
      <c r="N264" s="1" t="s">
        <v>2366</v>
      </c>
      <c r="O264" s="1" t="s">
        <v>67</v>
      </c>
      <c r="P264" s="1" t="s">
        <v>2367</v>
      </c>
      <c r="Q264" s="1" t="s">
        <v>2041</v>
      </c>
      <c r="R264" s="1" t="s">
        <v>2286</v>
      </c>
      <c r="S264" s="1" t="s">
        <v>70</v>
      </c>
      <c r="T264" s="1" t="s">
        <v>1455</v>
      </c>
      <c r="U264" s="4" t="s">
        <v>2368</v>
      </c>
      <c r="X264" s="1" t="str">
        <f>IFERROR(__xludf.DUMMYFUNCTION("split(F264,"" ,:;.?!"")"),"компаниям")</f>
        <v>компаниям</v>
      </c>
      <c r="Y264" s="1" t="str">
        <f>IFERROR(__xludf.DUMMYFUNCTION("""COMPUTED_VALUE"""),"как")</f>
        <v>как</v>
      </c>
      <c r="Z264" s="1" t="str">
        <f>IFERROR(__xludf.DUMMYFUNCTION("""COMPUTED_VALUE"""),"разработчикам")</f>
        <v>разработчикам</v>
      </c>
      <c r="AA264" s="1" t="str">
        <f>IFERROR(__xludf.DUMMYFUNCTION("""COMPUTED_VALUE"""),"так")</f>
        <v>так</v>
      </c>
      <c r="AB264" s="1" t="str">
        <f>IFERROR(__xludf.DUMMYFUNCTION("""COMPUTED_VALUE"""),"и")</f>
        <v>и</v>
      </c>
      <c r="AC264" s="1" t="str">
        <f>IFERROR(__xludf.DUMMYFUNCTION("""COMPUTED_VALUE"""),"потребителям")</f>
        <v>потребителям</v>
      </c>
    </row>
    <row r="265" ht="14.25" customHeight="1">
      <c r="A265" s="1" t="s">
        <v>25</v>
      </c>
      <c r="B265" s="1" t="s">
        <v>2369</v>
      </c>
      <c r="C265" s="2"/>
      <c r="D265" s="7" t="s">
        <v>2370</v>
      </c>
      <c r="E265" s="1" t="s">
        <v>25</v>
      </c>
      <c r="F265" s="4" t="s">
        <v>2371</v>
      </c>
      <c r="G265" s="4" t="s">
        <v>2370</v>
      </c>
      <c r="H265" s="8" t="s">
        <v>2372</v>
      </c>
      <c r="I265" s="4" t="s">
        <v>2373</v>
      </c>
      <c r="J265" s="1" t="s">
        <v>2364</v>
      </c>
      <c r="L265" s="1" t="s">
        <v>2374</v>
      </c>
      <c r="M265" s="1" t="s">
        <v>2286</v>
      </c>
      <c r="N265" s="1" t="s">
        <v>2366</v>
      </c>
      <c r="O265" s="1" t="s">
        <v>1372</v>
      </c>
      <c r="P265" s="1" t="s">
        <v>2040</v>
      </c>
      <c r="Q265" s="1" t="s">
        <v>2041</v>
      </c>
      <c r="R265" s="1" t="s">
        <v>2286</v>
      </c>
      <c r="S265" s="1" t="s">
        <v>70</v>
      </c>
      <c r="T265" s="1" t="s">
        <v>1455</v>
      </c>
      <c r="U265" s="4" t="s">
        <v>2375</v>
      </c>
      <c r="X265" s="1" t="str">
        <f>IFERROR(__xludf.DUMMYFUNCTION("split(F265,"" ,:;.?!"")"),"Обаме")</f>
        <v>Обаме</v>
      </c>
      <c r="Y265" s="1" t="str">
        <f>IFERROR(__xludf.DUMMYFUNCTION("""COMPUTED_VALUE"""),"автор")</f>
        <v>автор</v>
      </c>
      <c r="Z265" s="1" t="str">
        <f>IFERROR(__xludf.DUMMYFUNCTION("""COMPUTED_VALUE"""),"тем")</f>
        <v>тем</v>
      </c>
      <c r="AA265" s="1" t="str">
        <f>IFERROR(__xludf.DUMMYFUNCTION("""COMPUTED_VALUE"""),"не")</f>
        <v>не</v>
      </c>
      <c r="AB265" s="1" t="str">
        <f>IFERROR(__xludf.DUMMYFUNCTION("""COMPUTED_VALUE"""),"менее")</f>
        <v>менее</v>
      </c>
      <c r="AC265" s="1" t="str">
        <f>IFERROR(__xludf.DUMMYFUNCTION("""COMPUTED_VALUE"""),"признает")</f>
        <v>признает</v>
      </c>
    </row>
    <row r="266" ht="14.25" customHeight="1">
      <c r="A266" s="1" t="s">
        <v>2376</v>
      </c>
      <c r="B266" s="1" t="s">
        <v>397</v>
      </c>
      <c r="C266" s="2" t="s">
        <v>2377</v>
      </c>
      <c r="D266" s="7" t="s">
        <v>399</v>
      </c>
      <c r="E266" s="1" t="s">
        <v>25</v>
      </c>
      <c r="F266" s="4" t="s">
        <v>2378</v>
      </c>
      <c r="G266" s="4" t="s">
        <v>399</v>
      </c>
      <c r="H266" s="8" t="s">
        <v>2379</v>
      </c>
      <c r="I266" s="4" t="s">
        <v>2380</v>
      </c>
      <c r="J266" s="1" t="s">
        <v>2381</v>
      </c>
      <c r="K266" s="1" t="s">
        <v>734</v>
      </c>
      <c r="L266" s="1" t="s">
        <v>2382</v>
      </c>
      <c r="M266" s="1" t="s">
        <v>2286</v>
      </c>
      <c r="N266" s="1" t="s">
        <v>139</v>
      </c>
      <c r="O266" s="1" t="s">
        <v>366</v>
      </c>
      <c r="Q266" s="1" t="s">
        <v>2383</v>
      </c>
      <c r="R266" s="1" t="s">
        <v>2286</v>
      </c>
      <c r="S266" s="1" t="s">
        <v>272</v>
      </c>
      <c r="T266" s="1" t="s">
        <v>1455</v>
      </c>
      <c r="U266" s="4" t="s">
        <v>2384</v>
      </c>
      <c r="X266" s="1" t="str">
        <f>IFERROR(__xludf.DUMMYFUNCTION("split(F266,"" ,:;.?!"")"),"водопроводу")</f>
        <v>водопроводу</v>
      </c>
      <c r="Y266" s="1" t="str">
        <f>IFERROR(__xludf.DUMMYFUNCTION("""COMPUTED_VALUE"""),"и")</f>
        <v>и</v>
      </c>
      <c r="Z266" s="1" t="str">
        <f>IFERROR(__xludf.DUMMYFUNCTION("""COMPUTED_VALUE"""),"зная")</f>
        <v>зная</v>
      </c>
      <c r="AA266" s="1" t="str">
        <f>IFERROR(__xludf.DUMMYFUNCTION("""COMPUTED_VALUE"""),"что")</f>
        <v>что</v>
      </c>
      <c r="AB266" s="1" t="str">
        <f>IFERROR(__xludf.DUMMYFUNCTION("""COMPUTED_VALUE"""),"все")</f>
        <v>все</v>
      </c>
      <c r="AC266" s="1" t="str">
        <f>IFERROR(__xludf.DUMMYFUNCTION("""COMPUTED_VALUE"""),"хорошее")</f>
        <v>хорошее</v>
      </c>
    </row>
    <row r="267" ht="14.25" customHeight="1">
      <c r="A267" s="1" t="s">
        <v>2385</v>
      </c>
      <c r="B267" s="1" t="s">
        <v>1445</v>
      </c>
      <c r="C267" s="2" t="s">
        <v>2386</v>
      </c>
      <c r="D267" s="7" t="s">
        <v>1447</v>
      </c>
      <c r="E267" s="1" t="s">
        <v>25</v>
      </c>
      <c r="F267" s="4" t="s">
        <v>2387</v>
      </c>
      <c r="G267" s="4" t="s">
        <v>1447</v>
      </c>
      <c r="H267" s="8" t="s">
        <v>2176</v>
      </c>
      <c r="I267" s="4" t="s">
        <v>2380</v>
      </c>
      <c r="J267" s="1" t="s">
        <v>2381</v>
      </c>
      <c r="K267" s="1" t="s">
        <v>734</v>
      </c>
      <c r="L267" s="1" t="s">
        <v>2382</v>
      </c>
      <c r="M267" s="1" t="s">
        <v>2286</v>
      </c>
      <c r="N267" s="1" t="s">
        <v>139</v>
      </c>
      <c r="O267" s="1" t="s">
        <v>366</v>
      </c>
      <c r="Q267" s="1" t="s">
        <v>2383</v>
      </c>
      <c r="R267" s="1" t="s">
        <v>2286</v>
      </c>
      <c r="S267" s="1" t="s">
        <v>272</v>
      </c>
      <c r="T267" s="1" t="s">
        <v>1455</v>
      </c>
      <c r="U267" s="4" t="s">
        <v>2388</v>
      </c>
      <c r="X267" s="1" t="str">
        <f>IFERROR(__xludf.DUMMYFUNCTION("split(F267,"" ,:;.?!"")"),"политической")</f>
        <v>политической</v>
      </c>
      <c r="Y267" s="1" t="str">
        <f>IFERROR(__xludf.DUMMYFUNCTION("""COMPUTED_VALUE"""),"позицией")</f>
        <v>позицией</v>
      </c>
      <c r="Z267" s="1" t="str">
        <f>IFERROR(__xludf.DUMMYFUNCTION("""COMPUTED_VALUE"""),"так")</f>
        <v>так</v>
      </c>
      <c r="AA267" s="1" t="str">
        <f>IFERROR(__xludf.DUMMYFUNCTION("""COMPUTED_VALUE"""),"и")</f>
        <v>и</v>
      </c>
      <c r="AB267" s="1" t="str">
        <f>IFERROR(__xludf.DUMMYFUNCTION("""COMPUTED_VALUE"""),"не")</f>
        <v>не</v>
      </c>
      <c r="AC267" s="1" t="str">
        <f>IFERROR(__xludf.DUMMYFUNCTION("""COMPUTED_VALUE"""),"обзавелась")</f>
        <v>обзавелась</v>
      </c>
    </row>
    <row r="268" ht="14.25" customHeight="1">
      <c r="A268" s="1" t="s">
        <v>2389</v>
      </c>
      <c r="B268" s="1" t="s">
        <v>556</v>
      </c>
      <c r="C268" s="2" t="s">
        <v>2382</v>
      </c>
      <c r="D268" s="7" t="s">
        <v>558</v>
      </c>
      <c r="E268" s="1" t="s">
        <v>25</v>
      </c>
      <c r="F268" s="4" t="s">
        <v>2390</v>
      </c>
      <c r="G268" s="4" t="s">
        <v>558</v>
      </c>
      <c r="H268" s="8" t="s">
        <v>2391</v>
      </c>
      <c r="I268" s="4" t="s">
        <v>2380</v>
      </c>
      <c r="J268" s="1" t="s">
        <v>2381</v>
      </c>
      <c r="K268" s="1" t="s">
        <v>734</v>
      </c>
      <c r="L268" s="1" t="s">
        <v>2382</v>
      </c>
      <c r="M268" s="1" t="s">
        <v>2286</v>
      </c>
      <c r="N268" s="1" t="s">
        <v>139</v>
      </c>
      <c r="O268" s="1" t="s">
        <v>366</v>
      </c>
      <c r="Q268" s="1" t="s">
        <v>2383</v>
      </c>
      <c r="R268" s="1" t="s">
        <v>2286</v>
      </c>
      <c r="S268" s="1" t="s">
        <v>272</v>
      </c>
      <c r="T268" s="1" t="s">
        <v>1455</v>
      </c>
      <c r="U268" s="4" t="s">
        <v>2392</v>
      </c>
      <c r="X268" s="1" t="str">
        <f>IFERROR(__xludf.DUMMYFUNCTION("split(F268,"" ,:;.?!"")"),"вызову")</f>
        <v>вызову</v>
      </c>
      <c r="Y268" s="1" t="str">
        <f>IFERROR(__xludf.DUMMYFUNCTION("""COMPUTED_VALUE"""),"ей")</f>
        <v>ей</v>
      </c>
      <c r="Z268" s="1" t="str">
        <f>IFERROR(__xludf.DUMMYFUNCTION("""COMPUTED_VALUE"""),"очень")</f>
        <v>очень</v>
      </c>
      <c r="AA268" s="1" t="str">
        <f>IFERROR(__xludf.DUMMYFUNCTION("""COMPUTED_VALUE"""),"хотелось")</f>
        <v>хотелось</v>
      </c>
      <c r="AB268" s="1" t="str">
        <f>IFERROR(__xludf.DUMMYFUNCTION("""COMPUTED_VALUE"""),"снова")</f>
        <v>снова</v>
      </c>
      <c r="AC268" s="1" t="str">
        <f>IFERROR(__xludf.DUMMYFUNCTION("""COMPUTED_VALUE"""),"увидеть")</f>
        <v>увидеть</v>
      </c>
    </row>
    <row r="269" ht="14.25" customHeight="1">
      <c r="A269" s="1" t="s">
        <v>2393</v>
      </c>
      <c r="B269" s="1" t="s">
        <v>2394</v>
      </c>
      <c r="C269" s="2" t="s">
        <v>2395</v>
      </c>
      <c r="D269" s="7" t="s">
        <v>2396</v>
      </c>
      <c r="E269" s="1" t="s">
        <v>25</v>
      </c>
      <c r="F269" s="4" t="s">
        <v>2397</v>
      </c>
      <c r="G269" s="4" t="s">
        <v>2396</v>
      </c>
      <c r="H269" s="8" t="s">
        <v>2398</v>
      </c>
      <c r="I269" s="4" t="s">
        <v>2380</v>
      </c>
      <c r="J269" s="1" t="s">
        <v>2381</v>
      </c>
      <c r="K269" s="1" t="s">
        <v>734</v>
      </c>
      <c r="L269" s="1" t="s">
        <v>2382</v>
      </c>
      <c r="M269" s="1" t="s">
        <v>2286</v>
      </c>
      <c r="N269" s="1" t="s">
        <v>139</v>
      </c>
      <c r="O269" s="1" t="s">
        <v>366</v>
      </c>
      <c r="Q269" s="1" t="s">
        <v>2383</v>
      </c>
      <c r="R269" s="1" t="s">
        <v>2286</v>
      </c>
      <c r="S269" s="1" t="s">
        <v>272</v>
      </c>
      <c r="T269" s="1" t="s">
        <v>1455</v>
      </c>
      <c r="U269" s="4" t="s">
        <v>2399</v>
      </c>
      <c r="X269" s="1" t="str">
        <f>IFERROR(__xludf.DUMMYFUNCTION("split(F269,"" ,:;.?!"")"),"просьбе")</f>
        <v>просьбе</v>
      </c>
      <c r="Y269" s="1" t="str">
        <f>IFERROR(__xludf.DUMMYFUNCTION("""COMPUTED_VALUE"""),"и")</f>
        <v>и</v>
      </c>
      <c r="Z269" s="1" t="str">
        <f>IFERROR(__xludf.DUMMYFUNCTION("""COMPUTED_VALUE"""),"ощутила")</f>
        <v>ощутила</v>
      </c>
      <c r="AA269" s="1" t="str">
        <f>IFERROR(__xludf.DUMMYFUNCTION("""COMPUTED_VALUE"""),"к")</f>
        <v>к</v>
      </c>
      <c r="AB269" s="1" t="str">
        <f>IFERROR(__xludf.DUMMYFUNCTION("""COMPUTED_VALUE"""),"нему")</f>
        <v>нему</v>
      </c>
      <c r="AC269" s="1" t="str">
        <f>IFERROR(__xludf.DUMMYFUNCTION("""COMPUTED_VALUE"""),"такую")</f>
        <v>такую</v>
      </c>
    </row>
    <row r="270" ht="14.25" customHeight="1">
      <c r="A270" s="1" t="s">
        <v>2400</v>
      </c>
      <c r="B270" s="1" t="s">
        <v>2401</v>
      </c>
      <c r="C270" s="2" t="s">
        <v>2402</v>
      </c>
      <c r="D270" s="7" t="s">
        <v>2403</v>
      </c>
      <c r="E270" s="1" t="s">
        <v>25</v>
      </c>
      <c r="F270" s="4" t="s">
        <v>2404</v>
      </c>
      <c r="G270" s="4" t="s">
        <v>2403</v>
      </c>
      <c r="H270" s="8" t="s">
        <v>2405</v>
      </c>
      <c r="I270" s="4" t="s">
        <v>2406</v>
      </c>
      <c r="J270" s="1" t="s">
        <v>2407</v>
      </c>
      <c r="K270" s="1" t="s">
        <v>619</v>
      </c>
      <c r="L270" s="1" t="s">
        <v>2408</v>
      </c>
      <c r="M270" s="1" t="s">
        <v>2286</v>
      </c>
      <c r="N270" s="1" t="s">
        <v>139</v>
      </c>
      <c r="O270" s="1" t="s">
        <v>284</v>
      </c>
      <c r="Q270" s="1" t="s">
        <v>1911</v>
      </c>
      <c r="R270" s="1" t="s">
        <v>2286</v>
      </c>
      <c r="S270" s="1" t="s">
        <v>70</v>
      </c>
      <c r="T270" s="1" t="s">
        <v>1455</v>
      </c>
      <c r="U270" s="4" t="s">
        <v>2409</v>
      </c>
      <c r="X270" s="1" t="str">
        <f>IFERROR(__xludf.DUMMYFUNCTION("split(F270,"" ,:;.?!"")"),"Ваську")</f>
        <v>Ваську</v>
      </c>
      <c r="Y270" s="1" t="str">
        <f>IFERROR(__xludf.DUMMYFUNCTION("""COMPUTED_VALUE"""),"который")</f>
        <v>который</v>
      </c>
      <c r="Z270" s="1" t="str">
        <f>IFERROR(__xludf.DUMMYFUNCTION("""COMPUTED_VALUE"""),"по")</f>
        <v>по</v>
      </c>
      <c r="AA270" s="1" t="str">
        <f>IFERROR(__xludf.DUMMYFUNCTION("""COMPUTED_VALUE"""),"ее")</f>
        <v>ее</v>
      </c>
      <c r="AB270" s="1" t="str">
        <f>IFERROR(__xludf.DUMMYFUNCTION("""COMPUTED_VALUE"""),"мнению")</f>
        <v>мнению</v>
      </c>
      <c r="AC270" s="1" t="str">
        <f>IFERROR(__xludf.DUMMYFUNCTION("""COMPUTED_VALUE"""),"был")</f>
        <v>был</v>
      </c>
    </row>
    <row r="271" ht="14.25" customHeight="1">
      <c r="A271" s="1" t="s">
        <v>2410</v>
      </c>
      <c r="B271" s="1" t="s">
        <v>156</v>
      </c>
      <c r="C271" s="2" t="s">
        <v>2411</v>
      </c>
      <c r="D271" s="7" t="s">
        <v>158</v>
      </c>
      <c r="E271" s="1" t="s">
        <v>25</v>
      </c>
      <c r="F271" s="4" t="s">
        <v>2412</v>
      </c>
      <c r="G271" s="4" t="s">
        <v>158</v>
      </c>
      <c r="H271" s="8" t="s">
        <v>2413</v>
      </c>
      <c r="I271" s="4" t="s">
        <v>2406</v>
      </c>
      <c r="J271" s="1" t="s">
        <v>2407</v>
      </c>
      <c r="K271" s="1" t="s">
        <v>619</v>
      </c>
      <c r="L271" s="1" t="s">
        <v>2408</v>
      </c>
      <c r="M271" s="1" t="s">
        <v>2286</v>
      </c>
      <c r="N271" s="1" t="s">
        <v>139</v>
      </c>
      <c r="O271" s="1" t="s">
        <v>284</v>
      </c>
      <c r="Q271" s="1" t="s">
        <v>1911</v>
      </c>
      <c r="R271" s="1" t="s">
        <v>2286</v>
      </c>
      <c r="S271" s="1" t="s">
        <v>70</v>
      </c>
      <c r="T271" s="1" t="s">
        <v>1455</v>
      </c>
      <c r="U271" s="4" t="s">
        <v>2414</v>
      </c>
      <c r="X271" s="1" t="str">
        <f>IFERROR(__xludf.DUMMYFUNCTION("split(F271,"" ,:;.?!"")"),"переменам")</f>
        <v>переменам</v>
      </c>
    </row>
    <row r="272" ht="14.25" customHeight="1">
      <c r="A272" s="1" t="s">
        <v>2415</v>
      </c>
      <c r="B272" s="1" t="s">
        <v>105</v>
      </c>
      <c r="C272" s="2" t="s">
        <v>2416</v>
      </c>
      <c r="D272" s="7" t="s">
        <v>107</v>
      </c>
      <c r="E272" s="1" t="s">
        <v>25</v>
      </c>
      <c r="F272" s="4" t="s">
        <v>2417</v>
      </c>
      <c r="G272" s="4" t="s">
        <v>107</v>
      </c>
      <c r="H272" s="8" t="s">
        <v>2418</v>
      </c>
      <c r="I272" s="4" t="s">
        <v>2419</v>
      </c>
      <c r="J272" s="1" t="s">
        <v>2420</v>
      </c>
      <c r="K272" s="1" t="s">
        <v>1243</v>
      </c>
      <c r="L272" s="1" t="s">
        <v>2421</v>
      </c>
      <c r="M272" s="1" t="s">
        <v>2286</v>
      </c>
      <c r="N272" s="1" t="s">
        <v>2366</v>
      </c>
      <c r="O272" s="1" t="s">
        <v>67</v>
      </c>
      <c r="P272" s="1" t="s">
        <v>53</v>
      </c>
      <c r="Q272" s="1" t="s">
        <v>1996</v>
      </c>
      <c r="R272" s="1" t="s">
        <v>2286</v>
      </c>
      <c r="S272" s="1" t="s">
        <v>70</v>
      </c>
      <c r="T272" s="1" t="s">
        <v>1455</v>
      </c>
      <c r="U272" s="4" t="s">
        <v>2422</v>
      </c>
      <c r="X272" s="1" t="str">
        <f>IFERROR(__xludf.DUMMYFUNCTION("split(F272,"" ,:;.?!"")"),"герою")</f>
        <v>герою</v>
      </c>
    </row>
    <row r="273" ht="14.25" customHeight="1">
      <c r="A273" s="1" t="s">
        <v>2423</v>
      </c>
      <c r="B273" s="1" t="s">
        <v>1003</v>
      </c>
      <c r="C273" s="2" t="s">
        <v>2424</v>
      </c>
      <c r="D273" s="7" t="s">
        <v>1005</v>
      </c>
      <c r="E273" s="1" t="s">
        <v>25</v>
      </c>
      <c r="F273" s="4" t="s">
        <v>2425</v>
      </c>
      <c r="G273" s="4" t="s">
        <v>1005</v>
      </c>
      <c r="H273" s="8" t="s">
        <v>2426</v>
      </c>
      <c r="I273" s="4" t="s">
        <v>2427</v>
      </c>
      <c r="J273" s="1" t="s">
        <v>2428</v>
      </c>
      <c r="L273" s="1" t="s">
        <v>2429</v>
      </c>
      <c r="M273" s="1" t="s">
        <v>2286</v>
      </c>
      <c r="N273" s="1" t="s">
        <v>2366</v>
      </c>
      <c r="O273" s="1" t="s">
        <v>52</v>
      </c>
      <c r="P273" s="1" t="s">
        <v>53</v>
      </c>
      <c r="Q273" s="1" t="s">
        <v>1996</v>
      </c>
      <c r="R273" s="1" t="s">
        <v>2286</v>
      </c>
      <c r="S273" s="1" t="s">
        <v>70</v>
      </c>
      <c r="T273" s="1" t="s">
        <v>1455</v>
      </c>
      <c r="U273" s="4" t="s">
        <v>2430</v>
      </c>
      <c r="X273" s="1" t="str">
        <f>IFERROR(__xludf.DUMMYFUNCTION("split(F273,"" ,:;.?!"")"),"побегу")</f>
        <v>побегу</v>
      </c>
      <c r="Y273" s="1" t="str">
        <f>IFERROR(__xludf.DUMMYFUNCTION("""COMPUTED_VALUE"""),"с")</f>
        <v>с</v>
      </c>
      <c r="Z273" s="1" t="str">
        <f>IFERROR(__xludf.DUMMYFUNCTION("""COMPUTED_VALUE"""),"уроков")</f>
        <v>уроков</v>
      </c>
      <c r="AA273" s="1" t="str">
        <f>IFERROR(__xludf.DUMMYFUNCTION("""COMPUTED_VALUE"""),"мальчишки")</f>
        <v>мальчишки</v>
      </c>
      <c r="AB273" s="1" t="str">
        <f>IFERROR(__xludf.DUMMYFUNCTION("""COMPUTED_VALUE"""),"запускают")</f>
        <v>запускают</v>
      </c>
      <c r="AC273" s="1" t="str">
        <f>IFERROR(__xludf.DUMMYFUNCTION("""COMPUTED_VALUE"""),"самолетик")</f>
        <v>самолетик</v>
      </c>
    </row>
    <row r="274" ht="14.25" customHeight="1">
      <c r="A274" s="1" t="s">
        <v>2431</v>
      </c>
      <c r="B274" s="1" t="s">
        <v>2432</v>
      </c>
      <c r="C274" s="2" t="s">
        <v>2433</v>
      </c>
      <c r="D274" s="7" t="s">
        <v>2434</v>
      </c>
      <c r="E274" s="1" t="s">
        <v>25</v>
      </c>
      <c r="F274" s="4" t="s">
        <v>2435</v>
      </c>
      <c r="G274" s="4" t="s">
        <v>2434</v>
      </c>
      <c r="H274" s="8" t="s">
        <v>2436</v>
      </c>
      <c r="I274" s="4" t="s">
        <v>2437</v>
      </c>
      <c r="J274" s="1" t="s">
        <v>2438</v>
      </c>
      <c r="K274" s="1" t="s">
        <v>176</v>
      </c>
      <c r="L274" s="1" t="s">
        <v>2439</v>
      </c>
      <c r="M274" s="1" t="s">
        <v>2286</v>
      </c>
      <c r="N274" s="1" t="s">
        <v>139</v>
      </c>
      <c r="O274" s="1" t="s">
        <v>457</v>
      </c>
      <c r="Q274" s="1" t="s">
        <v>1911</v>
      </c>
      <c r="R274" s="1" t="s">
        <v>2286</v>
      </c>
      <c r="S274" s="1" t="s">
        <v>70</v>
      </c>
      <c r="T274" s="1" t="s">
        <v>1455</v>
      </c>
      <c r="U274" s="4" t="s">
        <v>2440</v>
      </c>
      <c r="X274" s="1" t="str">
        <f>IFERROR(__xludf.DUMMYFUNCTION("split(F274,"" ,:;.?!"")"),"Свету")</f>
        <v>Свету</v>
      </c>
      <c r="Y274" s="1" t="str">
        <f>IFERROR(__xludf.DUMMYFUNCTION("""COMPUTED_VALUE"""),"а")</f>
        <v>а</v>
      </c>
      <c r="Z274" s="1" t="str">
        <f>IFERROR(__xludf.DUMMYFUNCTION("""COMPUTED_VALUE"""),"Галя")</f>
        <v>Галя</v>
      </c>
      <c r="AA274" s="1" t="str">
        <f>IFERROR(__xludf.DUMMYFUNCTION("""COMPUTED_VALUE"""),"об")</f>
        <v>об</v>
      </c>
      <c r="AB274" s="1" t="str">
        <f>IFERROR(__xludf.DUMMYFUNCTION("""COMPUTED_VALUE"""),"этом")</f>
        <v>этом</v>
      </c>
      <c r="AC274" s="1" t="str">
        <f>IFERROR(__xludf.DUMMYFUNCTION("""COMPUTED_VALUE"""),"даже")</f>
        <v>даже</v>
      </c>
    </row>
    <row r="275" ht="14.25" customHeight="1">
      <c r="A275" s="1" t="s">
        <v>25</v>
      </c>
      <c r="B275" s="1" t="s">
        <v>1474</v>
      </c>
      <c r="C275" s="2"/>
      <c r="D275" s="7" t="s">
        <v>1475</v>
      </c>
      <c r="E275" s="1" t="s">
        <v>25</v>
      </c>
      <c r="F275" s="4" t="s">
        <v>2441</v>
      </c>
      <c r="G275" s="4" t="s">
        <v>1475</v>
      </c>
      <c r="H275" s="8" t="s">
        <v>2442</v>
      </c>
      <c r="I275" s="4" t="s">
        <v>2443</v>
      </c>
      <c r="J275" s="1" t="s">
        <v>2444</v>
      </c>
      <c r="K275" s="1" t="s">
        <v>268</v>
      </c>
      <c r="L275" s="1" t="s">
        <v>2445</v>
      </c>
      <c r="M275" s="1" t="s">
        <v>2286</v>
      </c>
      <c r="N275" s="1" t="s">
        <v>51</v>
      </c>
      <c r="O275" s="1" t="s">
        <v>1794</v>
      </c>
      <c r="P275" s="1" t="s">
        <v>53</v>
      </c>
      <c r="Q275" s="1" t="s">
        <v>1911</v>
      </c>
      <c r="R275" s="1" t="s">
        <v>2286</v>
      </c>
      <c r="S275" s="1" t="s">
        <v>70</v>
      </c>
      <c r="T275" s="1" t="s">
        <v>1455</v>
      </c>
      <c r="U275" s="4" t="s">
        <v>2446</v>
      </c>
      <c r="X275" s="1" t="str">
        <f>IFERROR(__xludf.DUMMYFUNCTION("split(F275,"" ,:;.?!"")"),"соли")</f>
        <v>соли</v>
      </c>
      <c r="Y275" s="1" t="str">
        <f>IFERROR(__xludf.DUMMYFUNCTION("""COMPUTED_VALUE"""),"среди")</f>
        <v>среди</v>
      </c>
      <c r="Z275" s="1" t="str">
        <f>IFERROR(__xludf.DUMMYFUNCTION("""COMPUTED_VALUE"""),"них")</f>
        <v>них</v>
      </c>
      <c r="AA275" s="1" t="str">
        <f>IFERROR(__xludf.DUMMYFUNCTION("""COMPUTED_VALUE"""),"мало")</f>
        <v>мало</v>
      </c>
    </row>
    <row r="276" ht="14.25" customHeight="1">
      <c r="A276" s="1" t="s">
        <v>2447</v>
      </c>
      <c r="B276" s="1" t="s">
        <v>776</v>
      </c>
      <c r="C276" s="2" t="s">
        <v>2448</v>
      </c>
      <c r="D276" s="7" t="s">
        <v>778</v>
      </c>
      <c r="E276" s="1" t="s">
        <v>25</v>
      </c>
      <c r="F276" s="4" t="s">
        <v>2449</v>
      </c>
      <c r="G276" s="4" t="s">
        <v>778</v>
      </c>
      <c r="H276" s="8" t="s">
        <v>2450</v>
      </c>
      <c r="I276" s="4" t="s">
        <v>2451</v>
      </c>
      <c r="J276" s="1" t="s">
        <v>2452</v>
      </c>
      <c r="K276" s="1" t="s">
        <v>1534</v>
      </c>
      <c r="L276" s="1" t="s">
        <v>2453</v>
      </c>
      <c r="M276" s="1" t="s">
        <v>2286</v>
      </c>
      <c r="N276" s="1" t="s">
        <v>51</v>
      </c>
      <c r="O276" s="1" t="s">
        <v>189</v>
      </c>
      <c r="P276" s="1" t="s">
        <v>1854</v>
      </c>
      <c r="S276" s="1" t="s">
        <v>272</v>
      </c>
      <c r="T276" s="1" t="s">
        <v>1455</v>
      </c>
      <c r="U276" s="4" t="s">
        <v>2454</v>
      </c>
      <c r="X276" s="1" t="str">
        <f>IFERROR(__xludf.DUMMYFUNCTION("split(F276,"" ,:;.?!"")"),"псу")</f>
        <v>псу</v>
      </c>
      <c r="Y276" s="1" t="str">
        <f>IFERROR(__xludf.DUMMYFUNCTION("""COMPUTED_VALUE"""),"говорил")</f>
        <v>говорил</v>
      </c>
      <c r="Z276" s="1" t="str">
        <f>IFERROR(__xludf.DUMMYFUNCTION("""COMPUTED_VALUE"""),"«То")</f>
        <v>«То</v>
      </c>
      <c r="AA276" s="1" t="str">
        <f>IFERROR(__xludf.DUMMYFUNCTION("""COMPUTED_VALUE"""),"что")</f>
        <v>что</v>
      </c>
      <c r="AB276" s="1" t="str">
        <f>IFERROR(__xludf.DUMMYFUNCTION("""COMPUTED_VALUE"""),"ты")</f>
        <v>ты</v>
      </c>
      <c r="AC276" s="1" t="str">
        <f>IFERROR(__xludf.DUMMYFUNCTION("""COMPUTED_VALUE"""),"всё")</f>
        <v>всё</v>
      </c>
    </row>
    <row r="277" ht="14.25" customHeight="1">
      <c r="A277" s="1" t="s">
        <v>2455</v>
      </c>
      <c r="B277" s="1" t="s">
        <v>1798</v>
      </c>
      <c r="C277" s="2" t="s">
        <v>2456</v>
      </c>
      <c r="D277" s="7" t="s">
        <v>1800</v>
      </c>
      <c r="E277" s="1" t="s">
        <v>25</v>
      </c>
      <c r="F277" s="4" t="s">
        <v>2457</v>
      </c>
      <c r="G277" s="4" t="s">
        <v>1800</v>
      </c>
      <c r="H277" s="8" t="s">
        <v>2458</v>
      </c>
      <c r="I277" s="4" t="s">
        <v>2451</v>
      </c>
      <c r="J277" s="1" t="s">
        <v>2452</v>
      </c>
      <c r="K277" s="1" t="s">
        <v>1534</v>
      </c>
      <c r="L277" s="1" t="s">
        <v>2453</v>
      </c>
      <c r="M277" s="1" t="s">
        <v>2286</v>
      </c>
      <c r="N277" s="1" t="s">
        <v>51</v>
      </c>
      <c r="O277" s="1" t="s">
        <v>189</v>
      </c>
      <c r="P277" s="1" t="s">
        <v>1854</v>
      </c>
      <c r="S277" s="1" t="s">
        <v>272</v>
      </c>
      <c r="T277" s="1" t="s">
        <v>1455</v>
      </c>
      <c r="U277" s="4" t="s">
        <v>2459</v>
      </c>
      <c r="X277" s="1" t="str">
        <f>IFERROR(__xludf.DUMMYFUNCTION("split(F277,"" ,:;.?!"")"),"технологии")</f>
        <v>технологии</v>
      </c>
    </row>
    <row r="278" ht="14.25" customHeight="1">
      <c r="A278" s="1" t="s">
        <v>2460</v>
      </c>
      <c r="B278" s="1" t="s">
        <v>2461</v>
      </c>
      <c r="C278" s="2" t="s">
        <v>2462</v>
      </c>
      <c r="D278" s="7" t="s">
        <v>2463</v>
      </c>
      <c r="E278" s="1" t="s">
        <v>25</v>
      </c>
      <c r="F278" s="4" t="s">
        <v>2464</v>
      </c>
      <c r="G278" s="4" t="s">
        <v>2463</v>
      </c>
      <c r="H278" s="8" t="s">
        <v>1617</v>
      </c>
      <c r="I278" s="4" t="s">
        <v>2465</v>
      </c>
      <c r="J278" s="1" t="s">
        <v>2466</v>
      </c>
      <c r="K278" s="1" t="s">
        <v>1534</v>
      </c>
      <c r="L278" s="1" t="s">
        <v>2467</v>
      </c>
      <c r="M278" s="1" t="s">
        <v>2286</v>
      </c>
      <c r="N278" s="1" t="s">
        <v>51</v>
      </c>
      <c r="O278" s="1" t="s">
        <v>67</v>
      </c>
      <c r="P278" s="1" t="s">
        <v>2468</v>
      </c>
      <c r="Q278" s="1" t="s">
        <v>1911</v>
      </c>
      <c r="R278" s="1" t="s">
        <v>2286</v>
      </c>
      <c r="S278" s="1" t="s">
        <v>70</v>
      </c>
      <c r="T278" s="1" t="s">
        <v>1455</v>
      </c>
      <c r="U278" s="4" t="s">
        <v>2469</v>
      </c>
      <c r="X278" s="1" t="str">
        <f>IFERROR(__xludf.DUMMYFUNCTION("split(F278,"" ,:;.?!"")"),"молодой")</f>
        <v>молодой</v>
      </c>
      <c r="Y278" s="1" t="str">
        <f>IFERROR(__xludf.DUMMYFUNCTION("""COMPUTED_VALUE"""),"матери")</f>
        <v>матери</v>
      </c>
      <c r="Z278" s="1" t="str">
        <f>IFERROR(__xludf.DUMMYFUNCTION("""COMPUTED_VALUE"""),"шпыняющей")</f>
        <v>шпыняющей</v>
      </c>
      <c r="AA278" s="1" t="str">
        <f>IFERROR(__xludf.DUMMYFUNCTION("""COMPUTED_VALUE"""),"ребенка")</f>
        <v>ребенка</v>
      </c>
    </row>
    <row r="279" ht="14.25" customHeight="1">
      <c r="A279" s="1" t="s">
        <v>2470</v>
      </c>
      <c r="B279" s="1" t="s">
        <v>2471</v>
      </c>
      <c r="C279" s="2" t="s">
        <v>2472</v>
      </c>
      <c r="D279" s="7" t="s">
        <v>2473</v>
      </c>
      <c r="E279" s="1" t="s">
        <v>25</v>
      </c>
      <c r="F279" s="4" t="s">
        <v>2474</v>
      </c>
      <c r="G279" s="4" t="s">
        <v>2473</v>
      </c>
      <c r="H279" s="8" t="s">
        <v>2176</v>
      </c>
      <c r="I279" s="4" t="s">
        <v>2475</v>
      </c>
      <c r="J279" s="1" t="s">
        <v>2466</v>
      </c>
      <c r="K279" s="1" t="s">
        <v>1534</v>
      </c>
      <c r="L279" s="1" t="s">
        <v>2476</v>
      </c>
      <c r="M279" s="1" t="s">
        <v>2286</v>
      </c>
      <c r="N279" s="1" t="s">
        <v>51</v>
      </c>
      <c r="O279" s="1" t="s">
        <v>1372</v>
      </c>
      <c r="P279" s="1" t="s">
        <v>53</v>
      </c>
      <c r="Q279" s="1" t="s">
        <v>1911</v>
      </c>
      <c r="R279" s="1" t="s">
        <v>2286</v>
      </c>
      <c r="S279" s="1" t="s">
        <v>70</v>
      </c>
      <c r="T279" s="1" t="s">
        <v>1455</v>
      </c>
      <c r="U279" s="4" t="s">
        <v>2477</v>
      </c>
      <c r="X279" s="1" t="str">
        <f>IFERROR(__xludf.DUMMYFUNCTION("split(F279,"" ,:;.?!"")"),"политической")</f>
        <v>политической</v>
      </c>
      <c r="Y279" s="1" t="str">
        <f>IFERROR(__xludf.DUMMYFUNCTION("""COMPUTED_VALUE"""),"подкованностью")</f>
        <v>подкованностью</v>
      </c>
      <c r="Z279" s="1" t="str">
        <f>IFERROR(__xludf.DUMMYFUNCTION("""COMPUTED_VALUE"""),"литературного")</f>
        <v>литературного</v>
      </c>
      <c r="AA279" s="1" t="str">
        <f>IFERROR(__xludf.DUMMYFUNCTION("""COMPUTED_VALUE"""),"критика")</f>
        <v>критика</v>
      </c>
      <c r="AB279" s="1" t="str">
        <f>IFERROR(__xludf.DUMMYFUNCTION("""COMPUTED_VALUE"""),"обозревшего")</f>
        <v>обозревшего</v>
      </c>
      <c r="AC279" s="1" t="str">
        <f>IFERROR(__xludf.DUMMYFUNCTION("""COMPUTED_VALUE"""),"по")</f>
        <v>по</v>
      </c>
    </row>
    <row r="280" ht="14.25" customHeight="1">
      <c r="A280" s="1" t="s">
        <v>25</v>
      </c>
      <c r="B280" s="1" t="s">
        <v>2478</v>
      </c>
      <c r="C280" s="2"/>
      <c r="D280" s="7" t="s">
        <v>2479</v>
      </c>
      <c r="E280" s="1" t="s">
        <v>25</v>
      </c>
      <c r="F280" s="4" t="s">
        <v>2480</v>
      </c>
      <c r="G280" s="4" t="s">
        <v>2479</v>
      </c>
      <c r="H280" s="8" t="s">
        <v>2481</v>
      </c>
      <c r="I280" s="4" t="s">
        <v>2482</v>
      </c>
      <c r="J280" s="1" t="s">
        <v>1957</v>
      </c>
      <c r="K280" s="1" t="s">
        <v>268</v>
      </c>
      <c r="L280" s="1" t="s">
        <v>2483</v>
      </c>
      <c r="M280" s="1" t="s">
        <v>2286</v>
      </c>
      <c r="N280" s="1" t="s">
        <v>139</v>
      </c>
      <c r="O280" s="1" t="s">
        <v>284</v>
      </c>
      <c r="Q280" s="1" t="s">
        <v>1911</v>
      </c>
      <c r="R280" s="1" t="s">
        <v>1909</v>
      </c>
      <c r="S280" s="1" t="s">
        <v>70</v>
      </c>
      <c r="T280" s="1" t="s">
        <v>1455</v>
      </c>
      <c r="U280" s="4" t="s">
        <v>2484</v>
      </c>
      <c r="X280" s="1" t="str">
        <f>IFERROR(__xludf.DUMMYFUNCTION("split(F280,"" ,:;.?!"")"),"Женьку")</f>
        <v>Женьку</v>
      </c>
      <c r="Y280" s="1" t="str">
        <f>IFERROR(__xludf.DUMMYFUNCTION("""COMPUTED_VALUE"""),"потому")</f>
        <v>потому</v>
      </c>
      <c r="Z280" s="1" t="str">
        <f>IFERROR(__xludf.DUMMYFUNCTION("""COMPUTED_VALUE"""),"что")</f>
        <v>что</v>
      </c>
      <c r="AA280" s="1" t="str">
        <f>IFERROR(__xludf.DUMMYFUNCTION("""COMPUTED_VALUE"""),"она")</f>
        <v>она</v>
      </c>
      <c r="AB280" s="1" t="str">
        <f>IFERROR(__xludf.DUMMYFUNCTION("""COMPUTED_VALUE"""),"ни")</f>
        <v>ни</v>
      </c>
      <c r="AC280" s="1" t="str">
        <f>IFERROR(__xludf.DUMMYFUNCTION("""COMPUTED_VALUE"""),"людей")</f>
        <v>людей</v>
      </c>
    </row>
    <row r="281" ht="14.25" customHeight="1">
      <c r="A281" s="1" t="s">
        <v>2485</v>
      </c>
      <c r="B281" s="1" t="s">
        <v>2486</v>
      </c>
      <c r="C281" s="2" t="s">
        <v>2487</v>
      </c>
      <c r="D281" s="7" t="s">
        <v>2488</v>
      </c>
      <c r="E281" s="1" t="s">
        <v>25</v>
      </c>
      <c r="F281" s="4" t="s">
        <v>2489</v>
      </c>
      <c r="G281" s="4" t="s">
        <v>2488</v>
      </c>
      <c r="H281" s="8" t="s">
        <v>2490</v>
      </c>
      <c r="I281" s="4" t="s">
        <v>2482</v>
      </c>
      <c r="J281" s="1" t="s">
        <v>1957</v>
      </c>
      <c r="K281" s="1" t="s">
        <v>268</v>
      </c>
      <c r="L281" s="1" t="s">
        <v>2483</v>
      </c>
      <c r="M281" s="1" t="s">
        <v>2286</v>
      </c>
      <c r="N281" s="1" t="s">
        <v>139</v>
      </c>
      <c r="O281" s="1" t="s">
        <v>284</v>
      </c>
      <c r="Q281" s="1" t="s">
        <v>1911</v>
      </c>
      <c r="R281" s="1" t="s">
        <v>1909</v>
      </c>
      <c r="S281" s="1" t="s">
        <v>70</v>
      </c>
      <c r="T281" s="1" t="s">
        <v>1455</v>
      </c>
      <c r="U281" s="4" t="s">
        <v>2491</v>
      </c>
      <c r="X281" s="1" t="str">
        <f>IFERROR(__xludf.DUMMYFUNCTION("split(F281,"" ,:;.?!"")"),"любви")</f>
        <v>любви</v>
      </c>
    </row>
    <row r="282" ht="14.25" customHeight="1">
      <c r="A282" s="1" t="s">
        <v>2492</v>
      </c>
      <c r="B282" s="1" t="s">
        <v>2493</v>
      </c>
      <c r="C282" s="2" t="s">
        <v>2494</v>
      </c>
      <c r="D282" s="7" t="s">
        <v>2495</v>
      </c>
      <c r="E282" s="1" t="s">
        <v>25</v>
      </c>
      <c r="F282" s="4" t="s">
        <v>2496</v>
      </c>
      <c r="G282" s="4" t="s">
        <v>2495</v>
      </c>
      <c r="H282" s="8" t="s">
        <v>2497</v>
      </c>
      <c r="I282" s="4" t="s">
        <v>2498</v>
      </c>
      <c r="J282" s="1" t="s">
        <v>2499</v>
      </c>
      <c r="K282" s="1" t="s">
        <v>695</v>
      </c>
      <c r="L282" s="1" t="s">
        <v>2500</v>
      </c>
      <c r="M282" s="1" t="s">
        <v>2286</v>
      </c>
      <c r="N282" s="1" t="s">
        <v>139</v>
      </c>
      <c r="O282" s="1" t="s">
        <v>457</v>
      </c>
      <c r="Q282" s="1" t="s">
        <v>1911</v>
      </c>
      <c r="R282" s="1" t="s">
        <v>2286</v>
      </c>
      <c r="S282" s="1" t="s">
        <v>70</v>
      </c>
      <c r="T282" s="1" t="s">
        <v>1455</v>
      </c>
      <c r="U282" s="4" t="s">
        <v>2501</v>
      </c>
      <c r="X282" s="1" t="str">
        <f>IFERROR(__xludf.DUMMYFUNCTION("split(F282,"" ,:;.?!"")"),"страм")</f>
        <v>страм</v>
      </c>
      <c r="Y282" s="1" t="str">
        <f>IFERROR(__xludf.DUMMYFUNCTION("""COMPUTED_VALUE"""),"божий")</f>
        <v>божий</v>
      </c>
      <c r="Z282" s="1" t="str">
        <f>IFERROR(__xludf.DUMMYFUNCTION("""COMPUTED_VALUE"""),"и")</f>
        <v>и</v>
      </c>
      <c r="AA282" s="1" t="str">
        <f>IFERROR(__xludf.DUMMYFUNCTION("""COMPUTED_VALUE"""),"не")</f>
        <v>не</v>
      </c>
      <c r="AB282" s="1" t="str">
        <f>IFERROR(__xludf.DUMMYFUNCTION("""COMPUTED_VALUE"""),"умру")</f>
        <v>умру</v>
      </c>
    </row>
    <row r="283" ht="14.25" customHeight="1">
      <c r="A283" s="1" t="s">
        <v>2502</v>
      </c>
      <c r="B283" s="1" t="s">
        <v>325</v>
      </c>
      <c r="C283" s="2" t="s">
        <v>2503</v>
      </c>
      <c r="D283" s="7" t="s">
        <v>327</v>
      </c>
      <c r="E283" s="1" t="s">
        <v>25</v>
      </c>
      <c r="F283" s="4" t="s">
        <v>2504</v>
      </c>
      <c r="G283" s="4" t="s">
        <v>327</v>
      </c>
      <c r="H283" s="8" t="s">
        <v>1518</v>
      </c>
      <c r="I283" s="4" t="s">
        <v>2498</v>
      </c>
      <c r="J283" s="1" t="s">
        <v>2499</v>
      </c>
      <c r="K283" s="1" t="s">
        <v>695</v>
      </c>
      <c r="L283" s="1" t="s">
        <v>2500</v>
      </c>
      <c r="M283" s="1" t="s">
        <v>2286</v>
      </c>
      <c r="N283" s="1" t="s">
        <v>139</v>
      </c>
      <c r="O283" s="1" t="s">
        <v>457</v>
      </c>
      <c r="Q283" s="1" t="s">
        <v>1911</v>
      </c>
      <c r="R283" s="1" t="s">
        <v>2286</v>
      </c>
      <c r="S283" s="1" t="s">
        <v>70</v>
      </c>
      <c r="T283" s="1" t="s">
        <v>1455</v>
      </c>
      <c r="U283" s="4" t="s">
        <v>2505</v>
      </c>
      <c r="X283" s="1" t="str">
        <f>IFERROR(__xludf.DUMMYFUNCTION("split(F283,"" ,:;.?!"")"),"тому")</f>
        <v>тому</v>
      </c>
      <c r="Y283" s="1" t="str">
        <f>IFERROR(__xludf.DUMMYFUNCTION("""COMPUTED_VALUE"""),"какие")</f>
        <v>какие</v>
      </c>
      <c r="Z283" s="1" t="str">
        <f>IFERROR(__xludf.DUMMYFUNCTION("""COMPUTED_VALUE"""),"теперь")</f>
        <v>теперь</v>
      </c>
      <c r="AA283" s="1" t="str">
        <f>IFERROR(__xludf.DUMMYFUNCTION("""COMPUTED_VALUE"""),"магазины")</f>
        <v>магазины</v>
      </c>
      <c r="AB283" s="1" t="str">
        <f>IFERROR(__xludf.DUMMYFUNCTION("""COMPUTED_VALUE"""),"стали")</f>
        <v>стали</v>
      </c>
    </row>
    <row r="284" ht="14.25" customHeight="1">
      <c r="A284" s="1" t="s">
        <v>25</v>
      </c>
      <c r="B284" s="1" t="s">
        <v>1474</v>
      </c>
      <c r="C284" s="2"/>
      <c r="D284" s="7" t="s">
        <v>1475</v>
      </c>
      <c r="E284" s="1" t="s">
        <v>197</v>
      </c>
      <c r="F284" s="4" t="s">
        <v>2506</v>
      </c>
      <c r="G284" s="4" t="s">
        <v>1475</v>
      </c>
      <c r="H284" s="8" t="s">
        <v>1477</v>
      </c>
      <c r="I284" s="4" t="s">
        <v>2507</v>
      </c>
      <c r="J284" s="1" t="s">
        <v>2508</v>
      </c>
      <c r="K284" s="1" t="s">
        <v>202</v>
      </c>
      <c r="L284" s="1" t="s">
        <v>2509</v>
      </c>
      <c r="M284" s="1" t="s">
        <v>2286</v>
      </c>
      <c r="N284" s="1" t="s">
        <v>51</v>
      </c>
      <c r="O284" s="1" t="s">
        <v>2060</v>
      </c>
      <c r="P284" s="1" t="s">
        <v>2357</v>
      </c>
      <c r="Q284" s="1" t="s">
        <v>2510</v>
      </c>
      <c r="R284" s="1" t="s">
        <v>2286</v>
      </c>
      <c r="S284" s="1" t="s">
        <v>272</v>
      </c>
      <c r="T284" s="1" t="s">
        <v>1455</v>
      </c>
      <c r="U284" s="4" t="s">
        <v>2511</v>
      </c>
      <c r="X284" s="1" t="str">
        <f>IFERROR(__xludf.DUMMYFUNCTION("split(F284,"" ,:;.?!"")"),"справедливости")</f>
        <v>справедливости</v>
      </c>
      <c r="Y284" s="1" t="str">
        <f>IFERROR(__xludf.DUMMYFUNCTION("""COMPUTED_VALUE"""),"ради")</f>
        <v>ради</v>
      </c>
      <c r="Z284" s="1" t="str">
        <f>IFERROR(__xludf.DUMMYFUNCTION("""COMPUTED_VALUE"""),"надо")</f>
        <v>надо</v>
      </c>
      <c r="AA284" s="1" t="str">
        <f>IFERROR(__xludf.DUMMYFUNCTION("""COMPUTED_VALUE"""),"сказать")</f>
        <v>сказать</v>
      </c>
      <c r="AB284" s="1" t="str">
        <f>IFERROR(__xludf.DUMMYFUNCTION("""COMPUTED_VALUE"""),"что")</f>
        <v>что</v>
      </c>
      <c r="AC284" s="1" t="str">
        <f>IFERROR(__xludf.DUMMYFUNCTION("""COMPUTED_VALUE"""),"здесь")</f>
        <v>здесь</v>
      </c>
    </row>
    <row r="285" ht="14.25" customHeight="1">
      <c r="A285" s="1" t="s">
        <v>2512</v>
      </c>
      <c r="B285" s="1" t="s">
        <v>719</v>
      </c>
      <c r="C285" s="2" t="s">
        <v>2513</v>
      </c>
      <c r="D285" s="7" t="s">
        <v>721</v>
      </c>
      <c r="E285" s="1" t="s">
        <v>25</v>
      </c>
      <c r="F285" s="4" t="s">
        <v>2514</v>
      </c>
      <c r="G285" s="4" t="s">
        <v>721</v>
      </c>
      <c r="H285" s="8" t="s">
        <v>2515</v>
      </c>
      <c r="I285" s="4" t="s">
        <v>2507</v>
      </c>
      <c r="J285" s="1" t="s">
        <v>2508</v>
      </c>
      <c r="K285" s="1" t="s">
        <v>202</v>
      </c>
      <c r="L285" s="1" t="s">
        <v>2509</v>
      </c>
      <c r="M285" s="1" t="s">
        <v>2286</v>
      </c>
      <c r="N285" s="1" t="s">
        <v>51</v>
      </c>
      <c r="O285" s="1" t="s">
        <v>2060</v>
      </c>
      <c r="P285" s="1" t="s">
        <v>2357</v>
      </c>
      <c r="Q285" s="1" t="s">
        <v>2510</v>
      </c>
      <c r="R285" s="1" t="s">
        <v>2286</v>
      </c>
      <c r="S285" s="1" t="s">
        <v>272</v>
      </c>
      <c r="T285" s="1" t="s">
        <v>1455</v>
      </c>
      <c r="U285" s="4" t="s">
        <v>2516</v>
      </c>
      <c r="X285" s="1" t="str">
        <f>IFERROR(__xludf.DUMMYFUNCTION("split(F285,"" ,:;.?!"")"),"искренности")</f>
        <v>искренности</v>
      </c>
      <c r="Y285" s="1" t="str">
        <f>IFERROR(__xludf.DUMMYFUNCTION("""COMPUTED_VALUE"""),"чистоты")</f>
        <v>чистоты</v>
      </c>
      <c r="Z285" s="1" t="str">
        <f>IFERROR(__xludf.DUMMYFUNCTION("""COMPUTED_VALUE"""),"отношений")</f>
        <v>отношений</v>
      </c>
      <c r="AA285" s="1" t="str">
        <f>IFERROR(__xludf.DUMMYFUNCTION("""COMPUTED_VALUE"""),"хотелось")</f>
        <v>хотелось</v>
      </c>
      <c r="AB285" s="1" t="str">
        <f>IFERROR(__xludf.DUMMYFUNCTION("""COMPUTED_VALUE"""),"вырваться")</f>
        <v>вырваться</v>
      </c>
      <c r="AC285" s="1" t="str">
        <f>IFERROR(__xludf.DUMMYFUNCTION("""COMPUTED_VALUE"""),"из")</f>
        <v>из</v>
      </c>
    </row>
    <row r="286" ht="14.25" customHeight="1">
      <c r="A286" s="1" t="s">
        <v>2517</v>
      </c>
      <c r="B286" s="1" t="s">
        <v>2518</v>
      </c>
      <c r="C286" s="2" t="s">
        <v>2519</v>
      </c>
      <c r="D286" s="7" t="s">
        <v>2520</v>
      </c>
      <c r="E286" s="1" t="s">
        <v>25</v>
      </c>
      <c r="F286" s="4" t="s">
        <v>2521</v>
      </c>
      <c r="G286" s="4" t="s">
        <v>2520</v>
      </c>
      <c r="H286" s="8" t="s">
        <v>2522</v>
      </c>
      <c r="I286" s="4" t="s">
        <v>2507</v>
      </c>
      <c r="J286" s="1" t="s">
        <v>2508</v>
      </c>
      <c r="K286" s="1" t="s">
        <v>202</v>
      </c>
      <c r="L286" s="1" t="s">
        <v>2509</v>
      </c>
      <c r="M286" s="1" t="s">
        <v>2286</v>
      </c>
      <c r="N286" s="1" t="s">
        <v>51</v>
      </c>
      <c r="O286" s="1" t="s">
        <v>2060</v>
      </c>
      <c r="P286" s="1" t="s">
        <v>2357</v>
      </c>
      <c r="Q286" s="1" t="s">
        <v>2510</v>
      </c>
      <c r="R286" s="1" t="s">
        <v>2286</v>
      </c>
      <c r="S286" s="1" t="s">
        <v>272</v>
      </c>
      <c r="T286" s="1" t="s">
        <v>1455</v>
      </c>
      <c r="U286" s="4" t="s">
        <v>2523</v>
      </c>
      <c r="X286" s="1" t="str">
        <f>IFERROR(__xludf.DUMMYFUNCTION("split(F286,"" ,:;.?!"")"),"учительнице")</f>
        <v>учительнице</v>
      </c>
      <c r="Y286" s="1" t="str">
        <f>IFERROR(__xludf.DUMMYFUNCTION("""COMPUTED_VALUE"""),"литературы")</f>
        <v>литературы</v>
      </c>
    </row>
    <row r="287" ht="14.25" customHeight="1">
      <c r="A287" s="1" t="s">
        <v>2524</v>
      </c>
      <c r="B287" s="1" t="s">
        <v>1271</v>
      </c>
      <c r="C287" s="2" t="s">
        <v>2525</v>
      </c>
      <c r="D287" s="7" t="s">
        <v>1273</v>
      </c>
      <c r="E287" s="1" t="s">
        <v>25</v>
      </c>
      <c r="F287" s="4" t="s">
        <v>2526</v>
      </c>
      <c r="G287" s="4" t="s">
        <v>1273</v>
      </c>
      <c r="H287" s="8" t="s">
        <v>2527</v>
      </c>
      <c r="I287" s="4" t="s">
        <v>2507</v>
      </c>
      <c r="J287" s="1" t="s">
        <v>2508</v>
      </c>
      <c r="K287" s="1" t="s">
        <v>202</v>
      </c>
      <c r="L287" s="1" t="s">
        <v>2509</v>
      </c>
      <c r="M287" s="1" t="s">
        <v>2286</v>
      </c>
      <c r="N287" s="1" t="s">
        <v>51</v>
      </c>
      <c r="O287" s="1" t="s">
        <v>2060</v>
      </c>
      <c r="P287" s="1" t="s">
        <v>2357</v>
      </c>
      <c r="Q287" s="1" t="s">
        <v>2510</v>
      </c>
      <c r="R287" s="1" t="s">
        <v>2286</v>
      </c>
      <c r="S287" s="1" t="s">
        <v>272</v>
      </c>
      <c r="T287" s="1" t="s">
        <v>1455</v>
      </c>
      <c r="U287" s="4" t="s">
        <v>2528</v>
      </c>
      <c r="X287" s="1" t="str">
        <f>IFERROR(__xludf.DUMMYFUNCTION("split(F287,"" ,:;.?!"")"),"ученикам")</f>
        <v>ученикам</v>
      </c>
      <c r="Y287" s="1" t="str">
        <f>IFERROR(__xludf.DUMMYFUNCTION("""COMPUTED_VALUE"""),"редкие")</f>
        <v>редкие</v>
      </c>
      <c r="Z287" s="1" t="str">
        <f>IFERROR(__xludf.DUMMYFUNCTION("""COMPUTED_VALUE"""),"или")</f>
        <v>или</v>
      </c>
      <c r="AA287" s="1" t="str">
        <f>IFERROR(__xludf.DUMMYFUNCTION("""COMPUTED_VALUE"""),"запретные")</f>
        <v>запретные</v>
      </c>
      <c r="AB287" s="1" t="str">
        <f>IFERROR(__xludf.DUMMYFUNCTION("""COMPUTED_VALUE"""),"тогда")</f>
        <v>тогда</v>
      </c>
      <c r="AC287" s="1" t="str">
        <f>IFERROR(__xludf.DUMMYFUNCTION("""COMPUTED_VALUE"""),"книги")</f>
        <v>книги</v>
      </c>
    </row>
    <row r="288" ht="14.25" customHeight="1">
      <c r="A288" s="1" t="s">
        <v>2529</v>
      </c>
      <c r="B288" s="1" t="s">
        <v>1736</v>
      </c>
      <c r="C288" s="2" t="s">
        <v>2530</v>
      </c>
      <c r="D288" s="7" t="s">
        <v>1738</v>
      </c>
      <c r="E288" s="1" t="s">
        <v>25</v>
      </c>
      <c r="F288" s="4" t="s">
        <v>2531</v>
      </c>
      <c r="G288" s="4" t="s">
        <v>1738</v>
      </c>
      <c r="H288" s="8" t="s">
        <v>2532</v>
      </c>
      <c r="I288" s="4" t="s">
        <v>2507</v>
      </c>
      <c r="J288" s="1" t="s">
        <v>2508</v>
      </c>
      <c r="K288" s="1" t="s">
        <v>202</v>
      </c>
      <c r="L288" s="1" t="s">
        <v>2509</v>
      </c>
      <c r="M288" s="1" t="s">
        <v>2286</v>
      </c>
      <c r="N288" s="1" t="s">
        <v>51</v>
      </c>
      <c r="O288" s="1" t="s">
        <v>2060</v>
      </c>
      <c r="P288" s="1" t="s">
        <v>2357</v>
      </c>
      <c r="Q288" s="1" t="s">
        <v>2510</v>
      </c>
      <c r="R288" s="1" t="s">
        <v>2286</v>
      </c>
      <c r="S288" s="1" t="s">
        <v>272</v>
      </c>
      <c r="T288" s="1" t="s">
        <v>1455</v>
      </c>
      <c r="U288" s="4" t="s">
        <v>2533</v>
      </c>
      <c r="X288" s="1" t="str">
        <f>IFERROR(__xludf.DUMMYFUNCTION("split(F288,"" ,:;.?!"")"),"Марину")</f>
        <v>Марину</v>
      </c>
      <c r="Y288" s="1" t="str">
        <f>IFERROR(__xludf.DUMMYFUNCTION("""COMPUTED_VALUE"""),"Георгиевну…»")</f>
        <v>Георгиевну…»</v>
      </c>
    </row>
    <row r="289" ht="14.25" customHeight="1">
      <c r="A289" s="1" t="s">
        <v>2534</v>
      </c>
      <c r="B289" s="1" t="s">
        <v>2535</v>
      </c>
      <c r="C289" s="2" t="s">
        <v>2536</v>
      </c>
      <c r="D289" s="7" t="s">
        <v>2537</v>
      </c>
      <c r="E289" s="1" t="s">
        <v>25</v>
      </c>
      <c r="F289" s="4" t="s">
        <v>2538</v>
      </c>
      <c r="G289" s="4" t="s">
        <v>2537</v>
      </c>
      <c r="H289" s="8" t="s">
        <v>2539</v>
      </c>
      <c r="I289" s="4" t="s">
        <v>2507</v>
      </c>
      <c r="J289" s="1" t="s">
        <v>2508</v>
      </c>
      <c r="K289" s="1" t="s">
        <v>202</v>
      </c>
      <c r="L289" s="1" t="s">
        <v>2509</v>
      </c>
      <c r="M289" s="1" t="s">
        <v>2286</v>
      </c>
      <c r="N289" s="1" t="s">
        <v>51</v>
      </c>
      <c r="O289" s="1" t="s">
        <v>2060</v>
      </c>
      <c r="P289" s="1" t="s">
        <v>2357</v>
      </c>
      <c r="Q289" s="1" t="s">
        <v>2510</v>
      </c>
      <c r="R289" s="1" t="s">
        <v>2286</v>
      </c>
      <c r="S289" s="1" t="s">
        <v>272</v>
      </c>
      <c r="T289" s="1" t="s">
        <v>1455</v>
      </c>
      <c r="U289" s="4" t="s">
        <v>2540</v>
      </c>
      <c r="X289" s="1" t="str">
        <f>IFERROR(__xludf.DUMMYFUNCTION("split(F289,"" ,:;.?!"")"),"знакомой")</f>
        <v>знакомой</v>
      </c>
      <c r="Y289" s="1" t="str">
        <f>IFERROR(__xludf.DUMMYFUNCTION("""COMPUTED_VALUE"""),"библиотекаршей")</f>
        <v>библиотекаршей</v>
      </c>
      <c r="Z289" s="1" t="str">
        <f>IFERROR(__xludf.DUMMYFUNCTION("""COMPUTED_VALUE"""),"из")</f>
        <v>из</v>
      </c>
      <c r="AA289" s="1" t="str">
        <f>IFERROR(__xludf.DUMMYFUNCTION("""COMPUTED_VALUE"""),"Великого")</f>
        <v>Великого</v>
      </c>
      <c r="AB289" s="1" t="str">
        <f>IFERROR(__xludf.DUMMYFUNCTION("""COMPUTED_VALUE"""),"Устюга")</f>
        <v>Устюга</v>
      </c>
      <c r="AC289" s="1" t="str">
        <f>IFERROR(__xludf.DUMMYFUNCTION("""COMPUTED_VALUE""")," ")</f>
        <v> </v>
      </c>
      <c r="AD289" s="1" t="str">
        <f>IFERROR(__xludf.DUMMYFUNCTION("""COMPUTED_VALUE"""),"―")</f>
        <v>―</v>
      </c>
      <c r="AE289" s="1" t="str">
        <f>IFERROR(__xludf.DUMMYFUNCTION("""COMPUTED_VALUE"""),"и")</f>
        <v>и</v>
      </c>
    </row>
    <row r="290" ht="14.25" customHeight="1">
      <c r="A290" s="1" t="s">
        <v>2541</v>
      </c>
      <c r="B290" s="1" t="s">
        <v>2542</v>
      </c>
      <c r="C290" s="2" t="s">
        <v>2543</v>
      </c>
      <c r="D290" s="7" t="s">
        <v>2544</v>
      </c>
      <c r="E290" s="1" t="s">
        <v>25</v>
      </c>
      <c r="F290" s="4" t="s">
        <v>2545</v>
      </c>
      <c r="G290" s="4" t="s">
        <v>2544</v>
      </c>
      <c r="H290" s="8" t="s">
        <v>2546</v>
      </c>
      <c r="I290" s="4" t="s">
        <v>2507</v>
      </c>
      <c r="J290" s="1" t="s">
        <v>2508</v>
      </c>
      <c r="K290" s="1" t="s">
        <v>202</v>
      </c>
      <c r="L290" s="1" t="s">
        <v>2509</v>
      </c>
      <c r="M290" s="1" t="s">
        <v>2286</v>
      </c>
      <c r="N290" s="1" t="s">
        <v>51</v>
      </c>
      <c r="O290" s="1" t="s">
        <v>2060</v>
      </c>
      <c r="P290" s="1" t="s">
        <v>2357</v>
      </c>
      <c r="Q290" s="1" t="s">
        <v>2510</v>
      </c>
      <c r="R290" s="1" t="s">
        <v>2286</v>
      </c>
      <c r="S290" s="1" t="s">
        <v>272</v>
      </c>
      <c r="T290" s="1" t="s">
        <v>1455</v>
      </c>
      <c r="U290" s="4" t="s">
        <v>2547</v>
      </c>
      <c r="X290" s="1" t="str">
        <f>IFERROR(__xludf.DUMMYFUNCTION("split(F290,"" ,:;.?!"")"),"молодым")</f>
        <v>молодым</v>
      </c>
      <c r="Y290" s="1" t="str">
        <f>IFERROR(__xludf.DUMMYFUNCTION("""COMPUTED_VALUE"""),"поэтом")</f>
        <v>поэтом</v>
      </c>
      <c r="Z290" s="1" t="str">
        <f>IFERROR(__xludf.DUMMYFUNCTION("""COMPUTED_VALUE"""),"когда")</f>
        <v>когда</v>
      </c>
      <c r="AA290" s="1" t="str">
        <f>IFERROR(__xludf.DUMMYFUNCTION("""COMPUTED_VALUE"""),"есть")</f>
        <v>есть</v>
      </c>
      <c r="AB290" s="1" t="str">
        <f>IFERROR(__xludf.DUMMYFUNCTION("""COMPUTED_VALUE"""),"поэты")</f>
        <v>поэты</v>
      </c>
      <c r="AC290" s="1" t="str">
        <f>IFERROR(__xludf.DUMMYFUNCTION("""COMPUTED_VALUE"""),"посолиднее")</f>
        <v>посолиднее</v>
      </c>
    </row>
    <row r="291" ht="14.25" customHeight="1">
      <c r="A291" s="1" t="s">
        <v>2548</v>
      </c>
      <c r="B291" s="1" t="s">
        <v>1798</v>
      </c>
      <c r="C291" s="2" t="s">
        <v>2549</v>
      </c>
      <c r="D291" s="7" t="s">
        <v>1800</v>
      </c>
      <c r="E291" s="1" t="s">
        <v>2550</v>
      </c>
      <c r="F291" s="4" t="s">
        <v>2551</v>
      </c>
      <c r="G291" s="4" t="s">
        <v>1800</v>
      </c>
      <c r="H291" s="8" t="s">
        <v>2552</v>
      </c>
      <c r="I291" s="4" t="s">
        <v>2507</v>
      </c>
      <c r="J291" s="1" t="s">
        <v>2508</v>
      </c>
      <c r="K291" s="1" t="s">
        <v>202</v>
      </c>
      <c r="L291" s="1" t="s">
        <v>2509</v>
      </c>
      <c r="M291" s="1" t="s">
        <v>2286</v>
      </c>
      <c r="N291" s="1" t="s">
        <v>51</v>
      </c>
      <c r="O291" s="1" t="s">
        <v>2060</v>
      </c>
      <c r="P291" s="1" t="s">
        <v>2357</v>
      </c>
      <c r="Q291" s="1" t="s">
        <v>2510</v>
      </c>
      <c r="R291" s="1" t="s">
        <v>2286</v>
      </c>
      <c r="S291" s="1" t="s">
        <v>272</v>
      </c>
      <c r="T291" s="1" t="s">
        <v>1455</v>
      </c>
      <c r="U291" s="4" t="s">
        <v>2553</v>
      </c>
      <c r="X291" s="1" t="str">
        <f>IFERROR(__xludf.DUMMYFUNCTION("split(F291,"" ,:;.?!"")"),"Андрею")</f>
        <v>Андрею</v>
      </c>
      <c r="Y291" s="1" t="str">
        <f>IFERROR(__xludf.DUMMYFUNCTION("""COMPUTED_VALUE"""),"Вознесенскому»")</f>
        <v>Вознесенскому»</v>
      </c>
    </row>
    <row r="292" ht="14.25" customHeight="1">
      <c r="A292" s="1" t="s">
        <v>2554</v>
      </c>
      <c r="B292" s="1" t="s">
        <v>2555</v>
      </c>
      <c r="C292" s="2" t="s">
        <v>2556</v>
      </c>
      <c r="D292" s="7" t="s">
        <v>2557</v>
      </c>
      <c r="E292" s="1" t="s">
        <v>25</v>
      </c>
      <c r="F292" s="4" t="s">
        <v>2558</v>
      </c>
      <c r="G292" s="4" t="s">
        <v>2557</v>
      </c>
      <c r="H292" s="8" t="s">
        <v>2559</v>
      </c>
      <c r="I292" s="4" t="s">
        <v>2507</v>
      </c>
      <c r="J292" s="1" t="s">
        <v>2508</v>
      </c>
      <c r="K292" s="1" t="s">
        <v>202</v>
      </c>
      <c r="L292" s="1" t="s">
        <v>2509</v>
      </c>
      <c r="M292" s="1" t="s">
        <v>2286</v>
      </c>
      <c r="N292" s="1" t="s">
        <v>51</v>
      </c>
      <c r="O292" s="1" t="s">
        <v>2060</v>
      </c>
      <c r="P292" s="1" t="s">
        <v>2357</v>
      </c>
      <c r="Q292" s="1" t="s">
        <v>2510</v>
      </c>
      <c r="R292" s="1" t="s">
        <v>2286</v>
      </c>
      <c r="S292" s="1" t="s">
        <v>272</v>
      </c>
      <c r="T292" s="1" t="s">
        <v>1455</v>
      </c>
      <c r="U292" s="4" t="s">
        <v>2560</v>
      </c>
      <c r="X292" s="1" t="str">
        <f>IFERROR(__xludf.DUMMYFUNCTION("split(F292,"" ,:;.?!"")"),"тишине")</f>
        <v>тишине</v>
      </c>
      <c r="Y292" s="1" t="str">
        <f>IFERROR(__xludf.DUMMYFUNCTION("""COMPUTED_VALUE"""),"произнесла")</f>
        <v>произнесла</v>
      </c>
      <c r="Z292" s="1" t="str">
        <f>IFERROR(__xludf.DUMMYFUNCTION("""COMPUTED_VALUE"""),"вдохновенную")</f>
        <v>вдохновенную</v>
      </c>
      <c r="AA292" s="1" t="str">
        <f>IFERROR(__xludf.DUMMYFUNCTION("""COMPUTED_VALUE"""),"речь")</f>
        <v>речь</v>
      </c>
      <c r="AB292" s="1" t="str">
        <f>IFERROR(__xludf.DUMMYFUNCTION("""COMPUTED_VALUE"""),"в")</f>
        <v>в</v>
      </c>
      <c r="AC292" s="1" t="str">
        <f>IFERROR(__xludf.DUMMYFUNCTION("""COMPUTED_VALUE"""),"защиту")</f>
        <v>защиту</v>
      </c>
    </row>
    <row r="293" ht="14.25" customHeight="1">
      <c r="A293" s="1" t="s">
        <v>2561</v>
      </c>
      <c r="B293" s="1" t="s">
        <v>1798</v>
      </c>
      <c r="C293" s="2" t="s">
        <v>2562</v>
      </c>
      <c r="D293" s="7" t="s">
        <v>1800</v>
      </c>
      <c r="E293" s="1" t="s">
        <v>25</v>
      </c>
      <c r="F293" s="4" t="s">
        <v>2563</v>
      </c>
      <c r="G293" s="4" t="s">
        <v>1800</v>
      </c>
      <c r="H293" s="8" t="s">
        <v>2564</v>
      </c>
      <c r="I293" s="4" t="s">
        <v>2507</v>
      </c>
      <c r="J293" s="1" t="s">
        <v>2508</v>
      </c>
      <c r="K293" s="1" t="s">
        <v>202</v>
      </c>
      <c r="L293" s="1" t="s">
        <v>2509</v>
      </c>
      <c r="M293" s="1" t="s">
        <v>2286</v>
      </c>
      <c r="N293" s="1" t="s">
        <v>51</v>
      </c>
      <c r="O293" s="1" t="s">
        <v>2060</v>
      </c>
      <c r="P293" s="1" t="s">
        <v>2357</v>
      </c>
      <c r="Q293" s="1" t="s">
        <v>2510</v>
      </c>
      <c r="R293" s="1" t="s">
        <v>2286</v>
      </c>
      <c r="S293" s="1" t="s">
        <v>272</v>
      </c>
      <c r="T293" s="1" t="s">
        <v>1455</v>
      </c>
      <c r="U293" s="4" t="s">
        <v>2565</v>
      </c>
      <c r="X293" s="1" t="str">
        <f>IFERROR(__xludf.DUMMYFUNCTION("split(F293,"" ,:;.?!"")"),"Инге")</f>
        <v>Инге</v>
      </c>
      <c r="Y293" s="1" t="str">
        <f>IFERROR(__xludf.DUMMYFUNCTION("""COMPUTED_VALUE"""),"Фельтринелли")</f>
        <v>Фельтринелли</v>
      </c>
      <c r="Z293" s="1" t="str">
        <f>IFERROR(__xludf.DUMMYFUNCTION("""COMPUTED_VALUE"""),"вдову")</f>
        <v>вдову</v>
      </c>
      <c r="AA293" s="1" t="str">
        <f>IFERROR(__xludf.DUMMYFUNCTION("""COMPUTED_VALUE"""),"итальянского")</f>
        <v>итальянского</v>
      </c>
      <c r="AB293" s="1" t="str">
        <f>IFERROR(__xludf.DUMMYFUNCTION("""COMPUTED_VALUE"""),"издателя")</f>
        <v>издателя</v>
      </c>
      <c r="AC293" s="1" t="str">
        <f>IFERROR(__xludf.DUMMYFUNCTION("""COMPUTED_VALUE"""),"«Доктора")</f>
        <v>«Доктора</v>
      </c>
    </row>
    <row r="294" ht="14.25" customHeight="1">
      <c r="A294" s="1" t="s">
        <v>2566</v>
      </c>
      <c r="B294" s="1" t="s">
        <v>776</v>
      </c>
      <c r="C294" s="2" t="s">
        <v>2567</v>
      </c>
      <c r="D294" s="7" t="s">
        <v>778</v>
      </c>
      <c r="E294" s="1" t="s">
        <v>25</v>
      </c>
      <c r="F294" s="4" t="s">
        <v>2568</v>
      </c>
      <c r="G294" s="4" t="s">
        <v>778</v>
      </c>
      <c r="H294" s="8" t="s">
        <v>2569</v>
      </c>
      <c r="I294" s="4" t="s">
        <v>2570</v>
      </c>
      <c r="J294" s="1" t="s">
        <v>2571</v>
      </c>
      <c r="L294" s="1" t="s">
        <v>2572</v>
      </c>
      <c r="M294" s="1" t="s">
        <v>2286</v>
      </c>
      <c r="N294" s="1" t="s">
        <v>2366</v>
      </c>
      <c r="O294" s="1" t="s">
        <v>1372</v>
      </c>
      <c r="P294" s="1" t="s">
        <v>2573</v>
      </c>
      <c r="Q294" s="1" t="s">
        <v>2041</v>
      </c>
      <c r="R294" s="1" t="s">
        <v>2286</v>
      </c>
      <c r="S294" s="1" t="s">
        <v>70</v>
      </c>
      <c r="T294" s="1" t="s">
        <v>1455</v>
      </c>
      <c r="U294" s="4" t="s">
        <v>2574</v>
      </c>
      <c r="X294" s="1" t="str">
        <f>IFERROR(__xludf.DUMMYFUNCTION("split(F294,"" ,:;.?!"")"),"триатлону")</f>
        <v>триатлону</v>
      </c>
      <c r="Y294" s="1" t="str">
        <f>IFERROR(__xludf.DUMMYFUNCTION("""COMPUTED_VALUE"""),"а")</f>
        <v>а</v>
      </c>
      <c r="Z294" s="1" t="str">
        <f>IFERROR(__xludf.DUMMYFUNCTION("""COMPUTED_VALUE"""),"заодно")</f>
        <v>заодно</v>
      </c>
      <c r="AA294" s="1" t="str">
        <f>IFERROR(__xludf.DUMMYFUNCTION("""COMPUTED_VALUE"""),"ресурсу")</f>
        <v>ресурсу</v>
      </c>
      <c r="AB294" s="1" t="str">
        <f>IFERROR(__xludf.DUMMYFUNCTION("""COMPUTED_VALUE"""),"«Смартридинг»")</f>
        <v>«Смартридинг»</v>
      </c>
      <c r="AC294" s="1" t="str">
        <f>IFERROR(__xludf.DUMMYFUNCTION("""COMPUTED_VALUE"""),"где")</f>
        <v>где</v>
      </c>
    </row>
    <row r="295" ht="14.25" customHeight="1">
      <c r="A295" s="1" t="s">
        <v>2575</v>
      </c>
      <c r="B295" s="1" t="s">
        <v>461</v>
      </c>
      <c r="C295" s="2" t="s">
        <v>2576</v>
      </c>
      <c r="D295" s="7" t="s">
        <v>463</v>
      </c>
      <c r="E295" s="1" t="s">
        <v>25</v>
      </c>
      <c r="F295" s="4" t="s">
        <v>2577</v>
      </c>
      <c r="G295" s="4" t="s">
        <v>463</v>
      </c>
      <c r="H295" s="8" t="s">
        <v>2578</v>
      </c>
      <c r="I295" s="4" t="s">
        <v>2579</v>
      </c>
      <c r="J295" s="1" t="s">
        <v>2571</v>
      </c>
      <c r="L295" s="1" t="s">
        <v>2580</v>
      </c>
      <c r="M295" s="1" t="s">
        <v>2286</v>
      </c>
      <c r="N295" s="1" t="s">
        <v>2366</v>
      </c>
      <c r="O295" s="1" t="s">
        <v>67</v>
      </c>
      <c r="P295" s="1" t="s">
        <v>53</v>
      </c>
      <c r="Q295" s="1" t="s">
        <v>2041</v>
      </c>
      <c r="R295" s="1" t="s">
        <v>2286</v>
      </c>
      <c r="S295" s="1" t="s">
        <v>70</v>
      </c>
      <c r="T295" s="1" t="s">
        <v>1455</v>
      </c>
      <c r="U295" s="4" t="s">
        <v>2581</v>
      </c>
      <c r="X295" s="1" t="str">
        <f>IFERROR(__xludf.DUMMYFUNCTION("split(F295,"" ,:;.?!"")"),"жене")</f>
        <v>жене</v>
      </c>
      <c r="Y295" s="1" t="str">
        <f>IFERROR(__xludf.DUMMYFUNCTION("""COMPUTED_VALUE"""),"―")</f>
        <v>―</v>
      </c>
      <c r="Z295" s="1" t="str">
        <f>IFERROR(__xludf.DUMMYFUNCTION("""COMPUTED_VALUE"""),"воспринимаются")</f>
        <v>воспринимаются</v>
      </c>
      <c r="AA295" s="1" t="str">
        <f>IFERROR(__xludf.DUMMYFUNCTION("""COMPUTED_VALUE"""),"как")</f>
        <v>как</v>
      </c>
      <c r="AB295" s="1" t="str">
        <f>IFERROR(__xludf.DUMMYFUNCTION("""COMPUTED_VALUE"""),"немотивированные")</f>
        <v>немотивированные</v>
      </c>
      <c r="AC295" s="1" t="str">
        <f>IFERROR(__xludf.DUMMYFUNCTION("""COMPUTED_VALUE"""),"в")</f>
        <v>в</v>
      </c>
      <c r="AD295" s="1" t="str">
        <f>IFERROR(__xludf.DUMMYFUNCTION("""COMPUTED_VALUE"""),"данном")</f>
        <v>данном</v>
      </c>
    </row>
    <row r="296" ht="14.25" customHeight="1">
      <c r="A296" s="1" t="s">
        <v>2582</v>
      </c>
      <c r="B296" s="1" t="s">
        <v>2583</v>
      </c>
      <c r="C296" s="2" t="s">
        <v>2584</v>
      </c>
      <c r="D296" s="7" t="s">
        <v>2585</v>
      </c>
      <c r="E296" s="1" t="s">
        <v>25</v>
      </c>
      <c r="F296" s="4" t="s">
        <v>2586</v>
      </c>
      <c r="G296" s="4" t="s">
        <v>2585</v>
      </c>
      <c r="H296" s="8" t="s">
        <v>2587</v>
      </c>
      <c r="I296" s="4" t="s">
        <v>2588</v>
      </c>
      <c r="J296" s="1" t="s">
        <v>2589</v>
      </c>
      <c r="L296" s="1" t="s">
        <v>2590</v>
      </c>
      <c r="M296" s="1" t="s">
        <v>2286</v>
      </c>
      <c r="N296" s="1" t="s">
        <v>2366</v>
      </c>
      <c r="O296" s="1" t="s">
        <v>189</v>
      </c>
      <c r="P296" s="1" t="s">
        <v>2591</v>
      </c>
      <c r="Q296" s="1" t="s">
        <v>2041</v>
      </c>
      <c r="R296" s="1" t="s">
        <v>2286</v>
      </c>
      <c r="S296" s="1" t="s">
        <v>70</v>
      </c>
      <c r="T296" s="1" t="s">
        <v>1455</v>
      </c>
      <c r="U296" s="4" t="s">
        <v>2592</v>
      </c>
      <c r="X296" s="1" t="str">
        <f>IFERROR(__xludf.DUMMYFUNCTION("split(F296,"" ,:;.?!"")"),"душу")</f>
        <v>душу</v>
      </c>
      <c r="Y296" s="1" t="str">
        <f>IFERROR(__xludf.DUMMYFUNCTION("""COMPUTED_VALUE"""),"песни")</f>
        <v>песни</v>
      </c>
    </row>
    <row r="297" ht="14.25" customHeight="1">
      <c r="A297" s="1" t="s">
        <v>2593</v>
      </c>
      <c r="B297" s="1" t="s">
        <v>756</v>
      </c>
      <c r="C297" s="2" t="s">
        <v>2594</v>
      </c>
      <c r="D297" s="7" t="s">
        <v>758</v>
      </c>
      <c r="E297" s="1" t="s">
        <v>25</v>
      </c>
      <c r="F297" s="4" t="s">
        <v>2595</v>
      </c>
      <c r="G297" s="4" t="s">
        <v>758</v>
      </c>
      <c r="H297" s="8" t="s">
        <v>2596</v>
      </c>
      <c r="I297" s="4" t="s">
        <v>2597</v>
      </c>
      <c r="J297" s="1" t="s">
        <v>2598</v>
      </c>
      <c r="K297" s="1" t="s">
        <v>732</v>
      </c>
      <c r="L297" s="1" t="s">
        <v>2599</v>
      </c>
      <c r="M297" s="1" t="s">
        <v>2286</v>
      </c>
      <c r="N297" s="1" t="s">
        <v>2366</v>
      </c>
      <c r="O297" s="1" t="s">
        <v>189</v>
      </c>
      <c r="P297" s="1" t="s">
        <v>2357</v>
      </c>
      <c r="Q297" s="1" t="s">
        <v>2600</v>
      </c>
      <c r="R297" s="1" t="s">
        <v>2286</v>
      </c>
      <c r="S297" s="1" t="s">
        <v>70</v>
      </c>
      <c r="T297" s="1" t="s">
        <v>1455</v>
      </c>
      <c r="U297" s="4" t="s">
        <v>2601</v>
      </c>
      <c r="X297" s="1" t="str">
        <f>IFERROR(__xludf.DUMMYFUNCTION("split(F297,"" ,:;.?!"")"),"государству")</f>
        <v>государству</v>
      </c>
      <c r="Y297" s="1" t="str">
        <f>IFERROR(__xludf.DUMMYFUNCTION("""COMPUTED_VALUE"""),"и")</f>
        <v>и</v>
      </c>
      <c r="Z297" s="1" t="str">
        <f>IFERROR(__xludf.DUMMYFUNCTION("""COMPUTED_VALUE"""),"были")</f>
        <v>были</v>
      </c>
      <c r="AA297" s="1" t="str">
        <f>IFERROR(__xludf.DUMMYFUNCTION("""COMPUTED_VALUE"""),"готовы")</f>
        <v>готовы</v>
      </c>
      <c r="AB297" s="1" t="str">
        <f>IFERROR(__xludf.DUMMYFUNCTION("""COMPUTED_VALUE"""),"свою")</f>
        <v>свою</v>
      </c>
      <c r="AC297" s="1" t="str">
        <f>IFERROR(__xludf.DUMMYFUNCTION("""COMPUTED_VALUE"""),"жизнь")</f>
        <v>жизнь</v>
      </c>
    </row>
    <row r="298" ht="14.25" customHeight="1">
      <c r="A298" s="1" t="s">
        <v>2602</v>
      </c>
      <c r="B298" s="1" t="s">
        <v>2603</v>
      </c>
      <c r="C298" s="2" t="s">
        <v>2604</v>
      </c>
      <c r="D298" s="7" t="s">
        <v>2605</v>
      </c>
      <c r="E298" s="1" t="s">
        <v>25</v>
      </c>
      <c r="F298" s="4" t="s">
        <v>2606</v>
      </c>
      <c r="G298" s="4" t="s">
        <v>2605</v>
      </c>
      <c r="H298" s="8" t="s">
        <v>2607</v>
      </c>
      <c r="I298" s="4" t="s">
        <v>2608</v>
      </c>
      <c r="J298" s="1" t="s">
        <v>2609</v>
      </c>
      <c r="K298" s="1" t="s">
        <v>796</v>
      </c>
      <c r="L298" s="1" t="s">
        <v>2610</v>
      </c>
      <c r="M298" s="1" t="s">
        <v>2286</v>
      </c>
      <c r="N298" s="1" t="s">
        <v>139</v>
      </c>
      <c r="O298" s="1" t="s">
        <v>457</v>
      </c>
      <c r="Q298" s="1" t="s">
        <v>1911</v>
      </c>
      <c r="R298" s="1" t="s">
        <v>2286</v>
      </c>
      <c r="S298" s="1" t="s">
        <v>70</v>
      </c>
      <c r="T298" s="1" t="s">
        <v>1455</v>
      </c>
      <c r="U298" s="4" t="s">
        <v>2611</v>
      </c>
      <c r="X298" s="1" t="str">
        <f>IFERROR(__xludf.DUMMYFUNCTION("split(F298,"" ,:;.?!"")"),"басовой")</f>
        <v>басовой</v>
      </c>
      <c r="Y298" s="1" t="str">
        <f>IFERROR(__xludf.DUMMYFUNCTION("""COMPUTED_VALUE"""),"тональностью")</f>
        <v>тональностью</v>
      </c>
      <c r="Z298" s="1" t="str">
        <f>IFERROR(__xludf.DUMMYFUNCTION("""COMPUTED_VALUE"""),"заставлял")</f>
        <v>заставлял</v>
      </c>
      <c r="AA298" s="1" t="str">
        <f>IFERROR(__xludf.DUMMYFUNCTION("""COMPUTED_VALUE"""),"крепче")</f>
        <v>крепче</v>
      </c>
      <c r="AB298" s="1" t="str">
        <f>IFERROR(__xludf.DUMMYFUNCTION("""COMPUTED_VALUE"""),"прижаться")</f>
        <v>прижаться</v>
      </c>
      <c r="AC298" s="1" t="str">
        <f>IFERROR(__xludf.DUMMYFUNCTION("""COMPUTED_VALUE"""),"к")</f>
        <v>к</v>
      </c>
    </row>
    <row r="299" ht="14.25" customHeight="1">
      <c r="A299" s="1" t="s">
        <v>2612</v>
      </c>
      <c r="B299" s="1" t="s">
        <v>2613</v>
      </c>
      <c r="C299" s="2" t="s">
        <v>2614</v>
      </c>
      <c r="D299" s="7" t="s">
        <v>2615</v>
      </c>
      <c r="E299" s="1" t="s">
        <v>25</v>
      </c>
      <c r="F299" s="4" t="s">
        <v>2616</v>
      </c>
      <c r="G299" s="4" t="s">
        <v>2615</v>
      </c>
      <c r="H299" s="8" t="s">
        <v>465</v>
      </c>
      <c r="I299" s="4" t="s">
        <v>2617</v>
      </c>
      <c r="J299" s="1" t="s">
        <v>2618</v>
      </c>
      <c r="K299" s="1" t="s">
        <v>1805</v>
      </c>
      <c r="L299" s="1" t="s">
        <v>2619</v>
      </c>
      <c r="M299" s="1" t="s">
        <v>2286</v>
      </c>
      <c r="N299" s="1" t="s">
        <v>2366</v>
      </c>
      <c r="O299" s="1" t="s">
        <v>67</v>
      </c>
      <c r="P299" s="1" t="s">
        <v>2620</v>
      </c>
      <c r="Q299" s="1" t="s">
        <v>2600</v>
      </c>
      <c r="R299" s="1" t="s">
        <v>2286</v>
      </c>
      <c r="S299" s="1" t="s">
        <v>70</v>
      </c>
      <c r="T299" s="1" t="s">
        <v>1455</v>
      </c>
      <c r="U299" s="4" t="s">
        <v>2621</v>
      </c>
      <c r="X299" s="1" t="str">
        <f>IFERROR(__xludf.DUMMYFUNCTION("split(F299,"" ,:;.?!"")"),"женщине")</f>
        <v>женщине</v>
      </c>
      <c r="Y299" s="1" t="str">
        <f>IFERROR(__xludf.DUMMYFUNCTION("""COMPUTED_VALUE"""),"в")</f>
        <v>в</v>
      </c>
      <c r="Z299" s="1" t="str">
        <f>IFERROR(__xludf.DUMMYFUNCTION("""COMPUTED_VALUE"""),"платочке")</f>
        <v>платочке</v>
      </c>
    </row>
    <row r="300" ht="14.25" customHeight="1">
      <c r="A300" s="1" t="s">
        <v>2622</v>
      </c>
      <c r="B300" s="1" t="s">
        <v>1445</v>
      </c>
      <c r="C300" s="2" t="s">
        <v>2623</v>
      </c>
      <c r="D300" s="7" t="s">
        <v>1447</v>
      </c>
      <c r="E300" s="1" t="s">
        <v>25</v>
      </c>
      <c r="F300" s="4" t="s">
        <v>2624</v>
      </c>
      <c r="G300" s="4" t="s">
        <v>1447</v>
      </c>
      <c r="H300" s="8" t="s">
        <v>1666</v>
      </c>
      <c r="I300" s="4" t="s">
        <v>2625</v>
      </c>
      <c r="J300" s="1" t="s">
        <v>2626</v>
      </c>
      <c r="L300" s="1" t="s">
        <v>2627</v>
      </c>
      <c r="M300" s="1" t="s">
        <v>2286</v>
      </c>
      <c r="N300" s="1" t="s">
        <v>2366</v>
      </c>
      <c r="O300" s="1" t="s">
        <v>67</v>
      </c>
      <c r="P300" s="1" t="s">
        <v>68</v>
      </c>
      <c r="Q300" s="1" t="s">
        <v>2041</v>
      </c>
      <c r="R300" s="1" t="s">
        <v>2286</v>
      </c>
      <c r="S300" s="1" t="s">
        <v>70</v>
      </c>
      <c r="T300" s="1" t="s">
        <v>1455</v>
      </c>
      <c r="U300" s="4" t="s">
        <v>2628</v>
      </c>
      <c r="X300" s="1" t="str">
        <f>IFERROR(__xludf.DUMMYFUNCTION("split(F300,"" ,:;.?!"")"),"были")</f>
        <v>были</v>
      </c>
      <c r="Y300" s="1" t="str">
        <f>IFERROR(__xludf.DUMMYFUNCTION("""COMPUTED_VALUE"""),"сотрудники")</f>
        <v>сотрудники</v>
      </c>
      <c r="Z300" s="1" t="str">
        <f>IFERROR(__xludf.DUMMYFUNCTION("""COMPUTED_VALUE"""),"зарабатывавшие")</f>
        <v>зарабатывавшие</v>
      </c>
      <c r="AA300" s="1" t="str">
        <f>IFERROR(__xludf.DUMMYFUNCTION("""COMPUTED_VALUE"""),"больше")</f>
        <v>больше</v>
      </c>
      <c r="AB300" s="1" t="str">
        <f>IFERROR(__xludf.DUMMYFUNCTION("""COMPUTED_VALUE"""),"меня")</f>
        <v>меня</v>
      </c>
    </row>
    <row r="301" ht="14.25" customHeight="1">
      <c r="A301" s="1" t="s">
        <v>2629</v>
      </c>
      <c r="B301" s="1" t="s">
        <v>2064</v>
      </c>
      <c r="C301" s="2" t="s">
        <v>2630</v>
      </c>
      <c r="D301" s="7" t="s">
        <v>2066</v>
      </c>
      <c r="E301" s="1" t="s">
        <v>25</v>
      </c>
      <c r="F301" s="4" t="s">
        <v>2631</v>
      </c>
      <c r="G301" s="4" t="s">
        <v>2066</v>
      </c>
      <c r="H301" s="8" t="s">
        <v>2632</v>
      </c>
      <c r="I301" s="4" t="s">
        <v>2633</v>
      </c>
      <c r="J301" s="1" t="s">
        <v>2634</v>
      </c>
      <c r="K301" s="1" t="s">
        <v>332</v>
      </c>
      <c r="L301" s="1" t="s">
        <v>2635</v>
      </c>
      <c r="M301" s="1" t="s">
        <v>2286</v>
      </c>
      <c r="N301" s="1" t="s">
        <v>51</v>
      </c>
      <c r="O301" s="1" t="s">
        <v>270</v>
      </c>
      <c r="S301" s="1" t="s">
        <v>272</v>
      </c>
      <c r="T301" s="1" t="s">
        <v>1455</v>
      </c>
      <c r="U301" s="4" t="s">
        <v>2636</v>
      </c>
      <c r="X301" s="1" t="str">
        <f>IFERROR(__xludf.DUMMYFUNCTION("split(F301,"" ,:;.?!"")"),"милиции")</f>
        <v>милиции</v>
      </c>
      <c r="Y301" s="1" t="str">
        <f>IFERROR(__xludf.DUMMYFUNCTION("""COMPUTED_VALUE"""),"и")</f>
        <v>и</v>
      </c>
      <c r="Z301" s="1" t="str">
        <f>IFERROR(__xludf.DUMMYFUNCTION("""COMPUTED_VALUE"""),"очень")</f>
        <v>очень</v>
      </c>
      <c r="AA301" s="1" t="str">
        <f>IFERROR(__xludf.DUMMYFUNCTION("""COMPUTED_VALUE"""),"страдал")</f>
        <v>страдал</v>
      </c>
      <c r="AB301" s="1" t="str">
        <f>IFERROR(__xludf.DUMMYFUNCTION("""COMPUTED_VALUE"""),"от")</f>
        <v>от</v>
      </c>
      <c r="AC301" s="1" t="str">
        <f>IFERROR(__xludf.DUMMYFUNCTION("""COMPUTED_VALUE"""),"любых")</f>
        <v>любых</v>
      </c>
    </row>
    <row r="302" ht="14.25" customHeight="1">
      <c r="A302" s="1" t="s">
        <v>2637</v>
      </c>
      <c r="B302" s="1" t="s">
        <v>2064</v>
      </c>
      <c r="C302" s="2" t="s">
        <v>2638</v>
      </c>
      <c r="D302" s="7" t="s">
        <v>2066</v>
      </c>
      <c r="E302" s="1" t="s">
        <v>25</v>
      </c>
      <c r="F302" s="4" t="s">
        <v>2639</v>
      </c>
      <c r="G302" s="4" t="s">
        <v>2066</v>
      </c>
      <c r="H302" s="8" t="s">
        <v>2640</v>
      </c>
      <c r="I302" s="4" t="s">
        <v>2633</v>
      </c>
      <c r="J302" s="1" t="s">
        <v>2634</v>
      </c>
      <c r="K302" s="1" t="s">
        <v>332</v>
      </c>
      <c r="L302" s="1" t="s">
        <v>2635</v>
      </c>
      <c r="M302" s="1" t="s">
        <v>2286</v>
      </c>
      <c r="N302" s="1" t="s">
        <v>51</v>
      </c>
      <c r="O302" s="1" t="s">
        <v>270</v>
      </c>
      <c r="S302" s="1" t="s">
        <v>272</v>
      </c>
      <c r="T302" s="1" t="s">
        <v>1455</v>
      </c>
      <c r="U302" s="4" t="s">
        <v>2641</v>
      </c>
      <c r="X302" s="1" t="str">
        <f>IFERROR(__xludf.DUMMYFUNCTION("split(F302,"" ,:;.?!"")"),"опасности")</f>
        <v>опасности</v>
      </c>
      <c r="Y302" s="1" t="str">
        <f>IFERROR(__xludf.DUMMYFUNCTION("""COMPUTED_VALUE"""),"как")</f>
        <v>как</v>
      </c>
      <c r="Z302" s="1" t="str">
        <f>IFERROR(__xludf.DUMMYFUNCTION("""COMPUTED_VALUE"""),"мой")</f>
        <v>мой</v>
      </c>
      <c r="AA302" s="1" t="str">
        <f>IFERROR(__xludf.DUMMYFUNCTION("""COMPUTED_VALUE"""),"отец")</f>
        <v>отец</v>
      </c>
      <c r="AB302" s="1" t="str">
        <f>IFERROR(__xludf.DUMMYFUNCTION("""COMPUTED_VALUE"""),"и")</f>
        <v>и</v>
      </c>
      <c r="AC302" s="1" t="str">
        <f>IFERROR(__xludf.DUMMYFUNCTION("""COMPUTED_VALUE"""),"моя")</f>
        <v>моя</v>
      </c>
    </row>
    <row r="303" ht="14.25" customHeight="1">
      <c r="A303" s="1" t="s">
        <v>2642</v>
      </c>
      <c r="B303" s="1" t="s">
        <v>2643</v>
      </c>
      <c r="C303" s="2" t="s">
        <v>2644</v>
      </c>
      <c r="D303" s="7" t="s">
        <v>2645</v>
      </c>
      <c r="E303" s="1" t="s">
        <v>25</v>
      </c>
      <c r="F303" s="4" t="s">
        <v>2646</v>
      </c>
      <c r="G303" s="4" t="s">
        <v>2645</v>
      </c>
      <c r="H303" s="8" t="s">
        <v>2647</v>
      </c>
      <c r="I303" s="4" t="s">
        <v>2648</v>
      </c>
      <c r="J303" s="1" t="s">
        <v>2649</v>
      </c>
      <c r="K303" s="1" t="s">
        <v>933</v>
      </c>
      <c r="L303" s="1" t="s">
        <v>2650</v>
      </c>
      <c r="M303" s="1" t="s">
        <v>2286</v>
      </c>
      <c r="N303" s="1" t="s">
        <v>139</v>
      </c>
      <c r="O303" s="1" t="s">
        <v>366</v>
      </c>
      <c r="Q303" s="1" t="s">
        <v>1911</v>
      </c>
      <c r="R303" s="1" t="s">
        <v>1909</v>
      </c>
      <c r="S303" s="1" t="s">
        <v>70</v>
      </c>
      <c r="T303" s="1" t="s">
        <v>1455</v>
      </c>
      <c r="U303" s="4" t="s">
        <v>2651</v>
      </c>
      <c r="X303" s="1" t="str">
        <f>IFERROR(__xludf.DUMMYFUNCTION("split(F303,"" ,:;.?!"")"),"новым")</f>
        <v>новым</v>
      </c>
      <c r="Y303" s="1" t="str">
        <f>IFERROR(__xludf.DUMMYFUNCTION("""COMPUTED_VALUE"""),"делом")</f>
        <v>делом</v>
      </c>
      <c r="Z303" s="1" t="str">
        <f>IFERROR(__xludf.DUMMYFUNCTION("""COMPUTED_VALUE"""),"жизни")</f>
        <v>жизни</v>
      </c>
    </row>
    <row r="304" ht="14.25" customHeight="1">
      <c r="A304" s="1" t="s">
        <v>2652</v>
      </c>
      <c r="B304" s="1" t="s">
        <v>2653</v>
      </c>
      <c r="C304" s="2" t="s">
        <v>2654</v>
      </c>
      <c r="D304" s="7" t="s">
        <v>2655</v>
      </c>
      <c r="E304" s="1" t="s">
        <v>25</v>
      </c>
      <c r="F304" s="4" t="s">
        <v>2656</v>
      </c>
      <c r="G304" s="4" t="s">
        <v>2655</v>
      </c>
      <c r="H304" s="8" t="s">
        <v>292</v>
      </c>
      <c r="I304" s="4" t="s">
        <v>2648</v>
      </c>
      <c r="J304" s="1" t="s">
        <v>2649</v>
      </c>
      <c r="K304" s="1" t="s">
        <v>933</v>
      </c>
      <c r="L304" s="1" t="s">
        <v>2650</v>
      </c>
      <c r="M304" s="1" t="s">
        <v>2286</v>
      </c>
      <c r="N304" s="1" t="s">
        <v>139</v>
      </c>
      <c r="O304" s="1" t="s">
        <v>366</v>
      </c>
      <c r="Q304" s="1" t="s">
        <v>1911</v>
      </c>
      <c r="R304" s="1" t="s">
        <v>1909</v>
      </c>
      <c r="S304" s="1" t="s">
        <v>70</v>
      </c>
      <c r="T304" s="1" t="s">
        <v>1455</v>
      </c>
      <c r="U304" s="4" t="s">
        <v>2657</v>
      </c>
      <c r="X304" s="1" t="str">
        <f>IFERROR(__xludf.DUMMYFUNCTION("split(F304,"" ,:;.?!"")"),"встрече")</f>
        <v>встрече</v>
      </c>
    </row>
    <row r="305" ht="14.25" customHeight="1">
      <c r="A305" s="1" t="s">
        <v>927</v>
      </c>
      <c r="B305" s="1" t="s">
        <v>638</v>
      </c>
      <c r="C305" s="2" t="s">
        <v>928</v>
      </c>
      <c r="D305" s="7" t="s">
        <v>640</v>
      </c>
      <c r="E305" s="1" t="s">
        <v>25</v>
      </c>
      <c r="F305" s="4" t="s">
        <v>2658</v>
      </c>
      <c r="G305" s="4" t="s">
        <v>640</v>
      </c>
      <c r="H305" s="8" t="s">
        <v>1518</v>
      </c>
      <c r="I305" s="4" t="s">
        <v>2648</v>
      </c>
      <c r="J305" s="1" t="s">
        <v>2649</v>
      </c>
      <c r="K305" s="1" t="s">
        <v>933</v>
      </c>
      <c r="L305" s="1" t="s">
        <v>2650</v>
      </c>
      <c r="M305" s="1" t="s">
        <v>2286</v>
      </c>
      <c r="N305" s="1" t="s">
        <v>139</v>
      </c>
      <c r="O305" s="1" t="s">
        <v>366</v>
      </c>
      <c r="Q305" s="1" t="s">
        <v>1911</v>
      </c>
      <c r="R305" s="1" t="s">
        <v>1909</v>
      </c>
      <c r="S305" s="1" t="s">
        <v>70</v>
      </c>
      <c r="T305" s="1" t="s">
        <v>1455</v>
      </c>
      <c r="U305" s="4" t="s">
        <v>2659</v>
      </c>
      <c r="X305" s="1" t="str">
        <f>IFERROR(__xludf.DUMMYFUNCTION("split(F305,"" ,:;.?!"")"),"тому")</f>
        <v>тому</v>
      </c>
      <c r="Y305" s="1" t="str">
        <f>IFERROR(__xludf.DUMMYFUNCTION("""COMPUTED_VALUE"""),"что")</f>
        <v>что</v>
      </c>
      <c r="Z305" s="1" t="str">
        <f>IFERROR(__xludf.DUMMYFUNCTION("""COMPUTED_VALUE"""),"говорил")</f>
        <v>говорил</v>
      </c>
    </row>
    <row r="306" ht="14.25" customHeight="1">
      <c r="A306" s="1" t="s">
        <v>626</v>
      </c>
      <c r="B306" s="1" t="s">
        <v>381</v>
      </c>
      <c r="C306" s="2" t="s">
        <v>2660</v>
      </c>
      <c r="D306" s="7" t="s">
        <v>383</v>
      </c>
      <c r="E306" s="1" t="s">
        <v>25</v>
      </c>
      <c r="F306" s="4" t="s">
        <v>2661</v>
      </c>
      <c r="G306" s="4" t="s">
        <v>383</v>
      </c>
      <c r="H306" s="8" t="s">
        <v>531</v>
      </c>
      <c r="I306" s="4" t="s">
        <v>2648</v>
      </c>
      <c r="J306" s="1" t="s">
        <v>2649</v>
      </c>
      <c r="K306" s="1" t="s">
        <v>933</v>
      </c>
      <c r="L306" s="1" t="s">
        <v>2650</v>
      </c>
      <c r="M306" s="1" t="s">
        <v>2286</v>
      </c>
      <c r="N306" s="1" t="s">
        <v>139</v>
      </c>
      <c r="O306" s="1" t="s">
        <v>366</v>
      </c>
      <c r="Q306" s="1" t="s">
        <v>1911</v>
      </c>
      <c r="R306" s="1" t="s">
        <v>1909</v>
      </c>
      <c r="S306" s="1" t="s">
        <v>70</v>
      </c>
      <c r="T306" s="1" t="s">
        <v>1455</v>
      </c>
      <c r="U306" s="4" t="s">
        <v>2662</v>
      </c>
      <c r="X306" s="1" t="str">
        <f>IFERROR(__xludf.DUMMYFUNCTION("split(F306,"" ,:;.?!"")"),"вопросу")</f>
        <v>вопросу</v>
      </c>
      <c r="Y306" s="1" t="str">
        <f>IFERROR(__xludf.DUMMYFUNCTION("""COMPUTED_VALUE"""),"Андрей")</f>
        <v>Андрей</v>
      </c>
      <c r="Z306" s="1" t="str">
        <f>IFERROR(__xludf.DUMMYFUNCTION("""COMPUTED_VALUE"""),"Иванович")</f>
        <v>Иванович</v>
      </c>
    </row>
    <row r="307" ht="14.25" customHeight="1">
      <c r="A307" s="1" t="s">
        <v>626</v>
      </c>
      <c r="B307" s="1" t="s">
        <v>131</v>
      </c>
      <c r="C307" s="2" t="s">
        <v>2660</v>
      </c>
      <c r="D307" s="7" t="s">
        <v>133</v>
      </c>
      <c r="E307" s="1" t="s">
        <v>25</v>
      </c>
      <c r="F307" s="4" t="s">
        <v>2663</v>
      </c>
      <c r="G307" s="4" t="s">
        <v>133</v>
      </c>
      <c r="H307" s="8" t="s">
        <v>2664</v>
      </c>
      <c r="I307" s="4" t="s">
        <v>2648</v>
      </c>
      <c r="J307" s="1" t="s">
        <v>2649</v>
      </c>
      <c r="K307" s="1" t="s">
        <v>933</v>
      </c>
      <c r="L307" s="1" t="s">
        <v>2650</v>
      </c>
      <c r="M307" s="1" t="s">
        <v>2286</v>
      </c>
      <c r="N307" s="1" t="s">
        <v>139</v>
      </c>
      <c r="O307" s="1" t="s">
        <v>366</v>
      </c>
      <c r="Q307" s="1" t="s">
        <v>1911</v>
      </c>
      <c r="R307" s="1" t="s">
        <v>1909</v>
      </c>
      <c r="S307" s="1" t="s">
        <v>70</v>
      </c>
      <c r="T307" s="1" t="s">
        <v>1455</v>
      </c>
      <c r="U307" s="4" t="s">
        <v>2665</v>
      </c>
      <c r="X307" s="1" t="str">
        <f>IFERROR(__xludf.DUMMYFUNCTION("split(F307,"" ,:;.?!"")"),"воспоминаниям")</f>
        <v>воспоминаниям</v>
      </c>
      <c r="Y307" s="1" t="str">
        <f>IFERROR(__xludf.DUMMYFUNCTION("""COMPUTED_VALUE"""),"Славка")</f>
        <v>Славка</v>
      </c>
    </row>
    <row r="308" ht="14.25" customHeight="1">
      <c r="A308" s="1" t="s">
        <v>25</v>
      </c>
      <c r="B308" s="1" t="s">
        <v>1474</v>
      </c>
      <c r="C308" s="2"/>
      <c r="D308" s="7" t="s">
        <v>1475</v>
      </c>
      <c r="E308" s="1" t="s">
        <v>25</v>
      </c>
      <c r="F308" s="4" t="s">
        <v>2666</v>
      </c>
      <c r="G308" s="4" t="s">
        <v>1475</v>
      </c>
      <c r="H308" s="8" t="s">
        <v>2667</v>
      </c>
      <c r="I308" s="4" t="s">
        <v>2648</v>
      </c>
      <c r="J308" s="1" t="s">
        <v>2649</v>
      </c>
      <c r="K308" s="1" t="s">
        <v>933</v>
      </c>
      <c r="L308" s="1" t="s">
        <v>2650</v>
      </c>
      <c r="M308" s="1" t="s">
        <v>2286</v>
      </c>
      <c r="N308" s="1" t="s">
        <v>139</v>
      </c>
      <c r="O308" s="1" t="s">
        <v>366</v>
      </c>
      <c r="Q308" s="1" t="s">
        <v>1911</v>
      </c>
      <c r="R308" s="1" t="s">
        <v>1909</v>
      </c>
      <c r="S308" s="1" t="s">
        <v>70</v>
      </c>
      <c r="T308" s="1" t="s">
        <v>1455</v>
      </c>
      <c r="U308" s="4" t="s">
        <v>2668</v>
      </c>
      <c r="X308" s="1" t="str">
        <f>IFERROR(__xludf.DUMMYFUNCTION("split(F308,"" ,:;.?!"")"),"Крецу")</f>
        <v>Крецу</v>
      </c>
      <c r="Y308" s="1" t="str">
        <f>IFERROR(__xludf.DUMMYFUNCTION("""COMPUTED_VALUE"""),"только")</f>
        <v>только</v>
      </c>
      <c r="Z308" s="1" t="str">
        <f>IFERROR(__xludf.DUMMYFUNCTION("""COMPUTED_VALUE"""),"и")</f>
        <v>и</v>
      </c>
      <c r="AA308" s="1" t="str">
        <f>IFERROR(__xludf.DUMMYFUNCTION("""COMPUTED_VALUE"""),"знал")</f>
        <v>знал</v>
      </c>
      <c r="AB308" s="1" t="str">
        <f>IFERROR(__xludf.DUMMYFUNCTION("""COMPUTED_VALUE"""),"что")</f>
        <v>что</v>
      </c>
      <c r="AC308" s="1" t="str">
        <f>IFERROR(__xludf.DUMMYFUNCTION("""COMPUTED_VALUE"""),"костылить")</f>
        <v>костылить</v>
      </c>
    </row>
    <row r="309" ht="14.25" customHeight="1">
      <c r="A309" s="1" t="s">
        <v>2669</v>
      </c>
      <c r="B309" s="1" t="s">
        <v>131</v>
      </c>
      <c r="C309" s="2" t="s">
        <v>2670</v>
      </c>
      <c r="D309" s="7" t="s">
        <v>133</v>
      </c>
      <c r="E309" s="1" t="s">
        <v>25</v>
      </c>
      <c r="F309" s="4" t="s">
        <v>2671</v>
      </c>
      <c r="G309" s="4" t="s">
        <v>133</v>
      </c>
      <c r="H309" s="8" t="s">
        <v>2672</v>
      </c>
      <c r="I309" s="4" t="s">
        <v>2648</v>
      </c>
      <c r="J309" s="1" t="s">
        <v>2649</v>
      </c>
      <c r="K309" s="1" t="s">
        <v>933</v>
      </c>
      <c r="L309" s="1" t="s">
        <v>2650</v>
      </c>
      <c r="M309" s="1" t="s">
        <v>2286</v>
      </c>
      <c r="N309" s="1" t="s">
        <v>139</v>
      </c>
      <c r="O309" s="1" t="s">
        <v>366</v>
      </c>
      <c r="Q309" s="1" t="s">
        <v>1911</v>
      </c>
      <c r="R309" s="1" t="s">
        <v>1909</v>
      </c>
      <c r="S309" s="1" t="s">
        <v>70</v>
      </c>
      <c r="T309" s="1" t="s">
        <v>1455</v>
      </c>
      <c r="U309" s="4" t="s">
        <v>2673</v>
      </c>
      <c r="X309" s="1" t="str">
        <f>IFERROR(__xludf.DUMMYFUNCTION("split(F309,"" ,:;.?!"")"),"покупке")</f>
        <v>покупке</v>
      </c>
      <c r="Y309" s="1" t="str">
        <f>IFERROR(__xludf.DUMMYFUNCTION("""COMPUTED_VALUE"""),"(«Ух")</f>
        <v>(«Ух</v>
      </c>
      <c r="Z309" s="1" t="str">
        <f>IFERROR(__xludf.DUMMYFUNCTION("""COMPUTED_VALUE"""),"ты")</f>
        <v>ты</v>
      </c>
      <c r="AA309" s="1" t="str">
        <f>IFERROR(__xludf.DUMMYFUNCTION("""COMPUTED_VALUE"""),"Ленинградский")</f>
        <v>Ленинградский</v>
      </c>
      <c r="AB309" s="1" t="str">
        <f>IFERROR(__xludf.DUMMYFUNCTION("""COMPUTED_VALUE"""),"межзональный")</f>
        <v>межзональный</v>
      </c>
      <c r="AC309" s="1" t="str">
        <f>IFERROR(__xludf.DUMMYFUNCTION("""COMPUTED_VALUE"""),"»")</f>
        <v>»</v>
      </c>
    </row>
    <row r="310" ht="14.25" customHeight="1">
      <c r="A310" s="1" t="s">
        <v>2674</v>
      </c>
      <c r="B310" s="1" t="s">
        <v>2675</v>
      </c>
      <c r="C310" s="2" t="s">
        <v>2676</v>
      </c>
      <c r="D310" s="7" t="s">
        <v>2677</v>
      </c>
      <c r="E310" s="1" t="s">
        <v>25</v>
      </c>
      <c r="F310" s="4" t="s">
        <v>2678</v>
      </c>
      <c r="G310" s="4" t="s">
        <v>2677</v>
      </c>
      <c r="H310" s="8" t="s">
        <v>2679</v>
      </c>
      <c r="I310" s="4" t="s">
        <v>2648</v>
      </c>
      <c r="J310" s="1" t="s">
        <v>2649</v>
      </c>
      <c r="K310" s="1" t="s">
        <v>933</v>
      </c>
      <c r="L310" s="1" t="s">
        <v>2650</v>
      </c>
      <c r="M310" s="1" t="s">
        <v>2286</v>
      </c>
      <c r="N310" s="1" t="s">
        <v>139</v>
      </c>
      <c r="O310" s="1" t="s">
        <v>366</v>
      </c>
      <c r="Q310" s="1" t="s">
        <v>1911</v>
      </c>
      <c r="R310" s="1" t="s">
        <v>1909</v>
      </c>
      <c r="S310" s="1" t="s">
        <v>70</v>
      </c>
      <c r="T310" s="1" t="s">
        <v>1455</v>
      </c>
      <c r="U310" s="4" t="s">
        <v>2680</v>
      </c>
      <c r="X310" s="1" t="str">
        <f>IFERROR(__xludf.DUMMYFUNCTION("split(F310,"" ,:;.?!"")"),"ясности")</f>
        <v>ясности</v>
      </c>
      <c r="Y310" s="1" t="str">
        <f>IFERROR(__xludf.DUMMYFUNCTION("""COMPUTED_VALUE"""),"выступило")</f>
        <v>выступило</v>
      </c>
      <c r="Z310" s="1" t="str">
        <f>IFERROR(__xludf.DUMMYFUNCTION("""COMPUTED_VALUE"""),"в")</f>
        <v>в</v>
      </c>
      <c r="AA310" s="1" t="str">
        <f>IFERROR(__xludf.DUMMYFUNCTION("""COMPUTED_VALUE"""),"лице")</f>
        <v>лице</v>
      </c>
      <c r="AB310" s="1" t="str">
        <f>IFERROR(__xludf.DUMMYFUNCTION("""COMPUTED_VALUE"""),"подруги")</f>
        <v>подруги</v>
      </c>
      <c r="AC310" s="1" t="str">
        <f>IFERROR(__xludf.DUMMYFUNCTION("""COMPUTED_VALUE"""),"***")</f>
        <v>***</v>
      </c>
    </row>
    <row r="311" ht="14.25" customHeight="1">
      <c r="A311" s="1" t="s">
        <v>2681</v>
      </c>
      <c r="B311" s="1" t="s">
        <v>2682</v>
      </c>
      <c r="C311" s="2" t="s">
        <v>2683</v>
      </c>
      <c r="D311" s="7" t="s">
        <v>2684</v>
      </c>
      <c r="E311" s="1" t="s">
        <v>25</v>
      </c>
      <c r="F311" s="4" t="s">
        <v>2685</v>
      </c>
      <c r="G311" s="4" t="s">
        <v>2684</v>
      </c>
      <c r="H311" s="8" t="s">
        <v>2686</v>
      </c>
      <c r="I311" s="4" t="s">
        <v>2687</v>
      </c>
      <c r="J311" s="1" t="s">
        <v>2688</v>
      </c>
      <c r="K311" s="1" t="s">
        <v>594</v>
      </c>
      <c r="L311" s="1" t="s">
        <v>2689</v>
      </c>
      <c r="M311" s="1" t="s">
        <v>2286</v>
      </c>
      <c r="N311" s="1" t="s">
        <v>51</v>
      </c>
      <c r="O311" s="1" t="s">
        <v>1372</v>
      </c>
      <c r="P311" s="1" t="s">
        <v>53</v>
      </c>
      <c r="Q311" s="1" t="s">
        <v>1911</v>
      </c>
      <c r="R311" s="1" t="s">
        <v>2286</v>
      </c>
      <c r="S311" s="1" t="s">
        <v>70</v>
      </c>
      <c r="T311" s="1" t="s">
        <v>1455</v>
      </c>
      <c r="U311" s="4" t="s">
        <v>2690</v>
      </c>
      <c r="X311" s="1" t="str">
        <f>IFERROR(__xludf.DUMMYFUNCTION("split(F311,"" ,:;.?!"")"),"Чеховым")</f>
        <v>Чеховым</v>
      </c>
      <c r="Y311" s="1" t="str">
        <f>IFERROR(__xludf.DUMMYFUNCTION("""COMPUTED_VALUE"""),"и")</f>
        <v>и</v>
      </c>
      <c r="Z311" s="1" t="str">
        <f>IFERROR(__xludf.DUMMYFUNCTION("""COMPUTED_VALUE"""),"Толстым")</f>
        <v>Толстым</v>
      </c>
      <c r="AA311" s="1" t="str">
        <f>IFERROR(__xludf.DUMMYFUNCTION("""COMPUTED_VALUE"""),"горящие")</f>
        <v>горящие</v>
      </c>
      <c r="AB311" s="1" t="str">
        <f>IFERROR(__xludf.DUMMYFUNCTION("""COMPUTED_VALUE"""),"в")</f>
        <v>в</v>
      </c>
      <c r="AC311" s="1" t="str">
        <f>IFERROR(__xludf.DUMMYFUNCTION("""COMPUTED_VALUE"""),"камне")</f>
        <v>камне</v>
      </c>
    </row>
    <row r="312" ht="14.25" customHeight="1">
      <c r="A312" s="1" t="s">
        <v>2691</v>
      </c>
      <c r="B312" s="1" t="s">
        <v>22</v>
      </c>
      <c r="C312" s="2" t="s">
        <v>2692</v>
      </c>
      <c r="D312" s="7" t="s">
        <v>24</v>
      </c>
      <c r="E312" s="1" t="s">
        <v>25</v>
      </c>
      <c r="F312" s="4" t="s">
        <v>2693</v>
      </c>
      <c r="G312" s="4" t="s">
        <v>24</v>
      </c>
      <c r="H312" s="8" t="s">
        <v>27</v>
      </c>
      <c r="I312" s="4" t="s">
        <v>2694</v>
      </c>
      <c r="J312" s="1" t="s">
        <v>2688</v>
      </c>
      <c r="K312" s="1" t="s">
        <v>594</v>
      </c>
      <c r="L312" s="1" t="s">
        <v>2695</v>
      </c>
      <c r="M312" s="1" t="s">
        <v>2286</v>
      </c>
      <c r="N312" s="1" t="s">
        <v>51</v>
      </c>
      <c r="O312" s="1" t="s">
        <v>1372</v>
      </c>
      <c r="P312" s="1" t="s">
        <v>53</v>
      </c>
      <c r="Q312" s="1" t="s">
        <v>1911</v>
      </c>
      <c r="R312" s="1" t="s">
        <v>2286</v>
      </c>
      <c r="S312" s="1" t="s">
        <v>70</v>
      </c>
      <c r="T312" s="1" t="s">
        <v>1455</v>
      </c>
      <c r="U312" s="4" t="s">
        <v>2696</v>
      </c>
      <c r="X312" s="1" t="str">
        <f>IFERROR(__xludf.DUMMYFUNCTION("split(F312,"" ,:;.?!"")"),"героям")</f>
        <v>героям</v>
      </c>
      <c r="Y312" s="1" t="str">
        <f>IFERROR(__xludf.DUMMYFUNCTION("""COMPUTED_VALUE"""),"ни")</f>
        <v>ни</v>
      </c>
      <c r="Z312" s="1" t="str">
        <f>IFERROR(__xludf.DUMMYFUNCTION("""COMPUTED_VALUE"""),"минуты")</f>
        <v>минуты</v>
      </c>
      <c r="AA312" s="1" t="str">
        <f>IFERROR(__xludf.DUMMYFUNCTION("""COMPUTED_VALUE"""),"―")</f>
        <v>―</v>
      </c>
      <c r="AB312" s="1" t="str">
        <f>IFERROR(__xludf.DUMMYFUNCTION("""COMPUTED_VALUE"""),"Пазолини")</f>
        <v>Пазолини</v>
      </c>
      <c r="AC312" s="1" t="str">
        <f>IFERROR(__xludf.DUMMYFUNCTION("""COMPUTED_VALUE"""),"глубоко")</f>
        <v>глубоко</v>
      </c>
      <c r="AD312" s="1" t="str">
        <f>IFERROR(__xludf.DUMMYFUNCTION("""COMPUTED_VALUE"""),"нырял")</f>
        <v>нырял</v>
      </c>
    </row>
    <row r="313" ht="14.25" customHeight="1">
      <c r="A313" s="1" t="s">
        <v>2697</v>
      </c>
      <c r="B313" s="1" t="s">
        <v>1003</v>
      </c>
      <c r="C313" s="2" t="s">
        <v>2698</v>
      </c>
      <c r="D313" s="7" t="s">
        <v>1005</v>
      </c>
      <c r="E313" s="1" t="s">
        <v>25</v>
      </c>
      <c r="F313" s="4" t="s">
        <v>2699</v>
      </c>
      <c r="G313" s="4" t="s">
        <v>1005</v>
      </c>
      <c r="H313" s="8" t="s">
        <v>86</v>
      </c>
      <c r="I313" s="4" t="s">
        <v>2700</v>
      </c>
      <c r="J313" s="1" t="s">
        <v>2701</v>
      </c>
      <c r="K313" s="1" t="s">
        <v>1581</v>
      </c>
      <c r="L313" s="1" t="s">
        <v>2702</v>
      </c>
      <c r="M313" s="1" t="s">
        <v>2286</v>
      </c>
      <c r="N313" s="1" t="s">
        <v>51</v>
      </c>
      <c r="O313" s="1" t="s">
        <v>1372</v>
      </c>
      <c r="P313" s="1" t="s">
        <v>2703</v>
      </c>
      <c r="Q313" s="1" t="s">
        <v>1911</v>
      </c>
      <c r="R313" s="1" t="s">
        <v>2286</v>
      </c>
      <c r="S313" s="1" t="s">
        <v>70</v>
      </c>
      <c r="T313" s="1" t="s">
        <v>1455</v>
      </c>
      <c r="U313" s="4" t="s">
        <v>2704</v>
      </c>
      <c r="X313" s="1" t="str">
        <f>IFERROR(__xludf.DUMMYFUNCTION("split(F313,"" ,:;.?!"")"),"жизни")</f>
        <v>жизни</v>
      </c>
      <c r="Y313" s="1" t="str">
        <f>IFERROR(__xludf.DUMMYFUNCTION("""COMPUTED_VALUE"""),"а")</f>
        <v>а</v>
      </c>
      <c r="Z313" s="1" t="str">
        <f>IFERROR(__xludf.DUMMYFUNCTION("""COMPUTED_VALUE"""),"«лайкаются»")</f>
        <v>«лайкаются»</v>
      </c>
      <c r="AA313" s="1" t="str">
        <f>IFERROR(__xludf.DUMMYFUNCTION("""COMPUTED_VALUE"""),"не")</f>
        <v>не</v>
      </c>
      <c r="AB313" s="1" t="str">
        <f>IFERROR(__xludf.DUMMYFUNCTION("""COMPUTED_VALUE"""),"встречаются")</f>
        <v>встречаются</v>
      </c>
      <c r="AC313" s="1" t="str">
        <f>IFERROR(__xludf.DUMMYFUNCTION("""COMPUTED_VALUE"""),"а")</f>
        <v>а</v>
      </c>
    </row>
    <row r="314" ht="14.25" customHeight="1">
      <c r="A314" s="1" t="s">
        <v>2705</v>
      </c>
      <c r="B314" s="1" t="s">
        <v>719</v>
      </c>
      <c r="C314" s="2" t="s">
        <v>2706</v>
      </c>
      <c r="D314" s="7" t="s">
        <v>721</v>
      </c>
      <c r="E314" s="1" t="s">
        <v>25</v>
      </c>
      <c r="F314" s="4" t="s">
        <v>2707</v>
      </c>
      <c r="G314" s="4" t="s">
        <v>721</v>
      </c>
      <c r="H314" s="8" t="s">
        <v>2708</v>
      </c>
      <c r="I314" s="4" t="s">
        <v>2709</v>
      </c>
      <c r="J314" s="1" t="s">
        <v>2710</v>
      </c>
      <c r="K314" s="1" t="s">
        <v>2711</v>
      </c>
      <c r="L314" s="1" t="s">
        <v>2712</v>
      </c>
      <c r="M314" s="1" t="s">
        <v>2286</v>
      </c>
      <c r="N314" s="1" t="s">
        <v>51</v>
      </c>
      <c r="O314" s="1" t="s">
        <v>2060</v>
      </c>
      <c r="P314" s="1" t="s">
        <v>2713</v>
      </c>
      <c r="Q314" s="1" t="s">
        <v>2712</v>
      </c>
      <c r="R314" s="1" t="s">
        <v>2286</v>
      </c>
      <c r="S314" s="1" t="s">
        <v>70</v>
      </c>
      <c r="T314" s="1" t="s">
        <v>1455</v>
      </c>
      <c r="U314" s="4" t="s">
        <v>2714</v>
      </c>
      <c r="X314" s="1" t="str">
        <f>IFERROR(__xludf.DUMMYFUNCTION("split(F314,"" ,:;.?!"")"),"части")</f>
        <v>части</v>
      </c>
      <c r="Y314" s="1" t="str">
        <f>IFERROR(__xludf.DUMMYFUNCTION("""COMPUTED_VALUE"""),"большевистских")</f>
        <v>большевистских</v>
      </c>
      <c r="Z314" s="1" t="str">
        <f>IFERROR(__xludf.DUMMYFUNCTION("""COMPUTED_VALUE"""),"реформаторов")</f>
        <v>реформаторов</v>
      </c>
    </row>
    <row r="315" ht="14.25" customHeight="1">
      <c r="A315" s="1" t="s">
        <v>2715</v>
      </c>
      <c r="B315" s="1" t="s">
        <v>2716</v>
      </c>
      <c r="C315" s="2" t="s">
        <v>2717</v>
      </c>
      <c r="D315" s="7" t="s">
        <v>2718</v>
      </c>
      <c r="E315" s="1" t="s">
        <v>25</v>
      </c>
      <c r="F315" s="4" t="s">
        <v>2719</v>
      </c>
      <c r="G315" s="4" t="s">
        <v>2718</v>
      </c>
      <c r="H315" s="8" t="s">
        <v>2720</v>
      </c>
      <c r="I315" s="4" t="s">
        <v>2721</v>
      </c>
      <c r="J315" s="1" t="s">
        <v>2722</v>
      </c>
      <c r="K315" s="1" t="s">
        <v>1243</v>
      </c>
      <c r="L315" s="1" t="s">
        <v>2723</v>
      </c>
      <c r="M315" s="1" t="s">
        <v>2286</v>
      </c>
      <c r="N315" s="1" t="s">
        <v>126</v>
      </c>
      <c r="O315" s="1" t="s">
        <v>67</v>
      </c>
      <c r="P315" s="1" t="s">
        <v>2724</v>
      </c>
      <c r="R315" s="1" t="s">
        <v>2286</v>
      </c>
      <c r="S315" s="1" t="s">
        <v>56</v>
      </c>
      <c r="T315" s="1" t="s">
        <v>1455</v>
      </c>
      <c r="U315" s="4" t="s">
        <v>2725</v>
      </c>
      <c r="X315" s="1" t="str">
        <f>IFERROR(__xludf.DUMMYFUNCTION("split(F315,"" ,:;.?!"")"),"комиссарам")</f>
        <v>комиссарам</v>
      </c>
      <c r="Y315" s="1" t="str">
        <f>IFERROR(__xludf.DUMMYFUNCTION("""COMPUTED_VALUE"""),"несмотря")</f>
        <v>несмотря</v>
      </c>
      <c r="Z315" s="1" t="str">
        <f>IFERROR(__xludf.DUMMYFUNCTION("""COMPUTED_VALUE"""),"на")</f>
        <v>на</v>
      </c>
      <c r="AA315" s="1" t="str">
        <f>IFERROR(__xludf.DUMMYFUNCTION("""COMPUTED_VALUE"""),"то")</f>
        <v>то</v>
      </c>
      <c r="AB315" s="1" t="str">
        <f>IFERROR(__xludf.DUMMYFUNCTION("""COMPUTED_VALUE"""),"что")</f>
        <v>что</v>
      </c>
      <c r="AC315" s="1" t="str">
        <f>IFERROR(__xludf.DUMMYFUNCTION("""COMPUTED_VALUE"""),"все")</f>
        <v>все</v>
      </c>
    </row>
    <row r="316" ht="14.25" customHeight="1">
      <c r="A316" s="1" t="s">
        <v>2726</v>
      </c>
      <c r="B316" s="1" t="s">
        <v>2727</v>
      </c>
      <c r="C316" s="2" t="s">
        <v>2728</v>
      </c>
      <c r="D316" s="7" t="s">
        <v>2729</v>
      </c>
      <c r="E316" s="1" t="s">
        <v>25</v>
      </c>
      <c r="F316" s="4" t="s">
        <v>2730</v>
      </c>
      <c r="G316" s="4" t="s">
        <v>2729</v>
      </c>
      <c r="H316" s="8" t="s">
        <v>2731</v>
      </c>
      <c r="I316" s="4" t="s">
        <v>2732</v>
      </c>
      <c r="J316" s="1" t="s">
        <v>2733</v>
      </c>
      <c r="K316" s="1" t="s">
        <v>1125</v>
      </c>
      <c r="L316" s="1" t="s">
        <v>2734</v>
      </c>
      <c r="M316" s="1" t="s">
        <v>2286</v>
      </c>
      <c r="N316" s="1" t="s">
        <v>51</v>
      </c>
      <c r="O316" s="1" t="s">
        <v>1756</v>
      </c>
      <c r="P316" s="1" t="s">
        <v>53</v>
      </c>
      <c r="Q316" s="1" t="s">
        <v>1911</v>
      </c>
      <c r="R316" s="1" t="s">
        <v>2286</v>
      </c>
      <c r="S316" s="1" t="s">
        <v>70</v>
      </c>
      <c r="T316" s="1" t="s">
        <v>1455</v>
      </c>
      <c r="U316" s="4" t="s">
        <v>2735</v>
      </c>
      <c r="X316" s="1" t="str">
        <f>IFERROR(__xludf.DUMMYFUNCTION("split(F316,"" ,:;.?!"")"),"фамильярности")</f>
        <v>фамильярности</v>
      </c>
    </row>
    <row r="317" ht="14.25" customHeight="1">
      <c r="A317" s="1" t="s">
        <v>2736</v>
      </c>
      <c r="B317" s="1" t="s">
        <v>776</v>
      </c>
      <c r="C317" s="2" t="s">
        <v>2737</v>
      </c>
      <c r="D317" s="7" t="s">
        <v>778</v>
      </c>
      <c r="E317" s="1" t="s">
        <v>25</v>
      </c>
      <c r="F317" s="4" t="s">
        <v>2738</v>
      </c>
      <c r="G317" s="4" t="s">
        <v>778</v>
      </c>
      <c r="H317" s="8" t="s">
        <v>2739</v>
      </c>
      <c r="I317" s="4" t="s">
        <v>2740</v>
      </c>
      <c r="J317" s="1" t="s">
        <v>2733</v>
      </c>
      <c r="K317" s="1" t="s">
        <v>1125</v>
      </c>
      <c r="L317" s="1" t="s">
        <v>2741</v>
      </c>
      <c r="M317" s="1" t="s">
        <v>2286</v>
      </c>
      <c r="N317" s="1" t="s">
        <v>51</v>
      </c>
      <c r="O317" s="1" t="s">
        <v>67</v>
      </c>
      <c r="P317" s="1" t="s">
        <v>53</v>
      </c>
      <c r="Q317" s="1" t="s">
        <v>1911</v>
      </c>
      <c r="R317" s="1" t="s">
        <v>2286</v>
      </c>
      <c r="S317" s="1" t="s">
        <v>70</v>
      </c>
      <c r="T317" s="1" t="s">
        <v>1455</v>
      </c>
      <c r="U317" s="4" t="s">
        <v>2742</v>
      </c>
      <c r="X317" s="1" t="str">
        <f>IFERROR(__xludf.DUMMYFUNCTION("split(F317,"" ,:;.?!"")"),"Чудиным")</f>
        <v>Чудиным</v>
      </c>
      <c r="Y317" s="1" t="str">
        <f>IFERROR(__xludf.DUMMYFUNCTION("""COMPUTED_VALUE"""),"Есенину")</f>
        <v>Есенину</v>
      </c>
      <c r="Z317" s="1" t="str">
        <f>IFERROR(__xludf.DUMMYFUNCTION("""COMPUTED_VALUE"""),"―")</f>
        <v>―</v>
      </c>
      <c r="AA317" s="1" t="str">
        <f>IFERROR(__xludf.DUMMYFUNCTION("""COMPUTED_VALUE"""),"«Цветы")</f>
        <v>«Цветы</v>
      </c>
      <c r="AB317" s="1" t="str">
        <f>IFERROR(__xludf.DUMMYFUNCTION("""COMPUTED_VALUE"""),"мне")</f>
        <v>мне</v>
      </c>
      <c r="AC317" s="1" t="str">
        <f>IFERROR(__xludf.DUMMYFUNCTION("""COMPUTED_VALUE"""),"говорят")</f>
        <v>говорят</v>
      </c>
      <c r="AD317" s="1" t="str">
        <f>IFERROR(__xludf.DUMMYFUNCTION("""COMPUTED_VALUE"""),"―")</f>
        <v>―</v>
      </c>
      <c r="AE317" s="1" t="str">
        <f>IFERROR(__xludf.DUMMYFUNCTION("""COMPUTED_VALUE"""),"Прощай")</f>
        <v>Прощай</v>
      </c>
    </row>
    <row r="318" ht="14.25" customHeight="1">
      <c r="A318" s="1" t="s">
        <v>2743</v>
      </c>
      <c r="B318" s="1" t="s">
        <v>2744</v>
      </c>
      <c r="C318" s="2" t="s">
        <v>2745</v>
      </c>
      <c r="D318" s="7" t="s">
        <v>2746</v>
      </c>
      <c r="E318" s="1" t="s">
        <v>197</v>
      </c>
      <c r="F318" s="4" t="s">
        <v>2747</v>
      </c>
      <c r="G318" s="4" t="s">
        <v>2746</v>
      </c>
      <c r="H318" s="8" t="s">
        <v>2748</v>
      </c>
      <c r="I318" s="4" t="s">
        <v>2749</v>
      </c>
      <c r="J318" s="1" t="s">
        <v>255</v>
      </c>
      <c r="K318" s="1" t="s">
        <v>202</v>
      </c>
      <c r="L318" s="1" t="s">
        <v>2750</v>
      </c>
      <c r="M318" s="1" t="s">
        <v>2286</v>
      </c>
      <c r="N318" s="1" t="s">
        <v>2366</v>
      </c>
      <c r="O318" s="1" t="s">
        <v>67</v>
      </c>
      <c r="P318" s="1" t="s">
        <v>2751</v>
      </c>
      <c r="Q318" s="1" t="s">
        <v>2041</v>
      </c>
      <c r="R318" s="1" t="s">
        <v>2286</v>
      </c>
      <c r="S318" s="1" t="s">
        <v>70</v>
      </c>
      <c r="T318" s="1" t="s">
        <v>1455</v>
      </c>
      <c r="U318" s="4" t="s">
        <v>2752</v>
      </c>
      <c r="X318" s="1" t="str">
        <f>IFERROR(__xludf.DUMMYFUNCTION("split(F318,"" ,:;.?!"")"),"лошади")</f>
        <v>лошади</v>
      </c>
      <c r="Y318" s="1" t="str">
        <f>IFERROR(__xludf.DUMMYFUNCTION("""COMPUTED_VALUE"""),"измучены")</f>
        <v>измучены</v>
      </c>
      <c r="Z318" s="1" t="str">
        <f>IFERROR(__xludf.DUMMYFUNCTION("""COMPUTED_VALUE"""),"а")</f>
        <v>а</v>
      </c>
      <c r="AA318" s="1" t="str">
        <f>IFERROR(__xludf.DUMMYFUNCTION("""COMPUTED_VALUE"""),"тридцать")</f>
        <v>тридцать</v>
      </c>
      <c r="AB318" s="1" t="str">
        <f>IFERROR(__xludf.DUMMYFUNCTION("""COMPUTED_VALUE"""),"лет")</f>
        <v>лет</v>
      </c>
      <c r="AC318" s="1" t="str">
        <f>IFERROR(__xludf.DUMMYFUNCTION("""COMPUTED_VALUE"""),"назад")</f>
        <v>назад</v>
      </c>
    </row>
    <row r="319" ht="14.25" customHeight="1">
      <c r="A319" s="1" t="s">
        <v>2753</v>
      </c>
      <c r="B319" s="1" t="s">
        <v>2754</v>
      </c>
      <c r="C319" s="2" t="s">
        <v>2755</v>
      </c>
      <c r="D319" s="7" t="s">
        <v>2756</v>
      </c>
      <c r="E319" s="1" t="s">
        <v>25</v>
      </c>
      <c r="F319" s="4" t="s">
        <v>2757</v>
      </c>
      <c r="G319" s="4" t="s">
        <v>2756</v>
      </c>
      <c r="H319" s="8" t="s">
        <v>1518</v>
      </c>
      <c r="I319" s="4" t="s">
        <v>2749</v>
      </c>
      <c r="J319" s="1" t="s">
        <v>255</v>
      </c>
      <c r="K319" s="1" t="s">
        <v>202</v>
      </c>
      <c r="L319" s="1" t="s">
        <v>2750</v>
      </c>
      <c r="M319" s="1" t="s">
        <v>2286</v>
      </c>
      <c r="N319" s="1" t="s">
        <v>2366</v>
      </c>
      <c r="O319" s="1" t="s">
        <v>67</v>
      </c>
      <c r="P319" s="1" t="s">
        <v>2751</v>
      </c>
      <c r="Q319" s="1" t="s">
        <v>2041</v>
      </c>
      <c r="R319" s="1" t="s">
        <v>2286</v>
      </c>
      <c r="S319" s="1" t="s">
        <v>70</v>
      </c>
      <c r="T319" s="1" t="s">
        <v>1455</v>
      </c>
      <c r="U319" s="4" t="s">
        <v>2758</v>
      </c>
      <c r="X319" s="1" t="str">
        <f>IFERROR(__xludf.DUMMYFUNCTION("split(F319,"" ,:;.?!"")"),"тому")</f>
        <v>тому</v>
      </c>
      <c r="Y319" s="1" t="str">
        <f>IFERROR(__xludf.DUMMYFUNCTION("""COMPUTED_VALUE"""),"что")</f>
        <v>что</v>
      </c>
      <c r="Z319" s="1" t="str">
        <f>IFERROR(__xludf.DUMMYFUNCTION("""COMPUTED_VALUE"""),"ей")</f>
        <v>ей</v>
      </c>
      <c r="AA319" s="1" t="str">
        <f>IFERROR(__xludf.DUMMYFUNCTION("""COMPUTED_VALUE"""),"не")</f>
        <v>не</v>
      </c>
      <c r="AB319" s="1" t="str">
        <f>IFERROR(__xludf.DUMMYFUNCTION("""COMPUTED_VALUE"""),"внимают")</f>
        <v>внимают</v>
      </c>
      <c r="AC319" s="1" t="str">
        <f>IFERROR(__xludf.DUMMYFUNCTION("""COMPUTED_VALUE"""),"с")</f>
        <v>с</v>
      </c>
    </row>
    <row r="320" ht="14.25" customHeight="1">
      <c r="A320" s="1" t="s">
        <v>25</v>
      </c>
      <c r="B320" s="1" t="s">
        <v>2018</v>
      </c>
      <c r="C320" s="2"/>
      <c r="D320" s="7" t="s">
        <v>2019</v>
      </c>
      <c r="E320" s="1" t="s">
        <v>197</v>
      </c>
      <c r="F320" s="4" t="s">
        <v>2759</v>
      </c>
      <c r="G320" s="4" t="s">
        <v>2019</v>
      </c>
      <c r="H320" s="8" t="s">
        <v>2760</v>
      </c>
      <c r="I320" s="4" t="s">
        <v>2761</v>
      </c>
      <c r="J320" s="1" t="s">
        <v>2762</v>
      </c>
      <c r="L320" s="1" t="s">
        <v>2763</v>
      </c>
      <c r="M320" s="1" t="s">
        <v>2286</v>
      </c>
      <c r="N320" s="1" t="s">
        <v>139</v>
      </c>
      <c r="O320" s="1" t="s">
        <v>366</v>
      </c>
      <c r="Q320" s="1" t="s">
        <v>2764</v>
      </c>
      <c r="R320" s="1" t="s">
        <v>2286</v>
      </c>
      <c r="S320" s="1" t="s">
        <v>272</v>
      </c>
      <c r="T320" s="1" t="s">
        <v>1455</v>
      </c>
      <c r="U320" s="4" t="s">
        <v>2765</v>
      </c>
      <c r="X320" s="1" t="str">
        <f>IFERROR(__xludf.DUMMYFUNCTION("split(F320,"" ,:;.?!"")"),"пропылесосю")</f>
        <v>пропылесосю</v>
      </c>
    </row>
    <row r="321" ht="14.25" customHeight="1">
      <c r="A321" s="1" t="s">
        <v>2766</v>
      </c>
      <c r="B321" s="1" t="s">
        <v>2767</v>
      </c>
      <c r="C321" s="2" t="s">
        <v>2768</v>
      </c>
      <c r="D321" s="7" t="s">
        <v>2769</v>
      </c>
      <c r="E321" s="1" t="s">
        <v>25</v>
      </c>
      <c r="F321" s="4" t="s">
        <v>2770</v>
      </c>
      <c r="G321" s="4" t="s">
        <v>2769</v>
      </c>
      <c r="H321" s="8" t="s">
        <v>2771</v>
      </c>
      <c r="I321" s="4" t="s">
        <v>2761</v>
      </c>
      <c r="J321" s="1" t="s">
        <v>2762</v>
      </c>
      <c r="L321" s="1" t="s">
        <v>2763</v>
      </c>
      <c r="M321" s="1" t="s">
        <v>2286</v>
      </c>
      <c r="N321" s="1" t="s">
        <v>139</v>
      </c>
      <c r="O321" s="1" t="s">
        <v>366</v>
      </c>
      <c r="Q321" s="1" t="s">
        <v>2764</v>
      </c>
      <c r="R321" s="1" t="s">
        <v>2286</v>
      </c>
      <c r="S321" s="1" t="s">
        <v>272</v>
      </c>
      <c r="T321" s="1" t="s">
        <v>1455</v>
      </c>
      <c r="U321" s="4" t="s">
        <v>2772</v>
      </c>
      <c r="X321" s="1" t="str">
        <f>IFERROR(__xludf.DUMMYFUNCTION("split(F321,"" ,:;.?!"")"),"Лидии")</f>
        <v>Лидии</v>
      </c>
      <c r="Y321" s="1" t="str">
        <f>IFERROR(__xludf.DUMMYFUNCTION("""COMPUTED_VALUE"""),"Петровне")</f>
        <v>Петровне</v>
      </c>
      <c r="Z321" s="1" t="str">
        <f>IFERROR(__xludf.DUMMYFUNCTION("""COMPUTED_VALUE"""),"как-нибудь")</f>
        <v>как-нибудь</v>
      </c>
      <c r="AA321" s="1" t="str">
        <f>IFERROR(__xludf.DUMMYFUNCTION("""COMPUTED_VALUE"""),"зайти")</f>
        <v>зайти</v>
      </c>
      <c r="AB321" s="1" t="str">
        <f>IFERROR(__xludf.DUMMYFUNCTION("""COMPUTED_VALUE"""),"на")</f>
        <v>на</v>
      </c>
      <c r="AC321" s="1" t="str">
        <f>IFERROR(__xludf.DUMMYFUNCTION("""COMPUTED_VALUE"""),"досуге")</f>
        <v>досуге</v>
      </c>
    </row>
    <row r="322" ht="14.25" customHeight="1">
      <c r="A322" s="1" t="s">
        <v>768</v>
      </c>
      <c r="B322" s="1" t="s">
        <v>2773</v>
      </c>
      <c r="C322" s="2" t="s">
        <v>770</v>
      </c>
      <c r="D322" s="7" t="s">
        <v>2774</v>
      </c>
      <c r="E322" s="1" t="s">
        <v>25</v>
      </c>
      <c r="F322" s="4" t="s">
        <v>2775</v>
      </c>
      <c r="G322" s="4" t="s">
        <v>2774</v>
      </c>
      <c r="H322" s="8" t="s">
        <v>2776</v>
      </c>
      <c r="I322" s="4" t="s">
        <v>2761</v>
      </c>
      <c r="J322" s="1" t="s">
        <v>2762</v>
      </c>
      <c r="L322" s="1" t="s">
        <v>2763</v>
      </c>
      <c r="M322" s="1" t="s">
        <v>2286</v>
      </c>
      <c r="N322" s="1" t="s">
        <v>139</v>
      </c>
      <c r="O322" s="1" t="s">
        <v>366</v>
      </c>
      <c r="Q322" s="1" t="s">
        <v>2764</v>
      </c>
      <c r="R322" s="1" t="s">
        <v>2286</v>
      </c>
      <c r="S322" s="1" t="s">
        <v>272</v>
      </c>
      <c r="T322" s="1" t="s">
        <v>1455</v>
      </c>
      <c r="U322" s="4" t="s">
        <v>2777</v>
      </c>
      <c r="X322" s="1" t="str">
        <f>IFERROR(__xludf.DUMMYFUNCTION("split(F322,"" ,:;.?!"")"),"математику")</f>
        <v>математику</v>
      </c>
      <c r="Y322" s="1" t="str">
        <f>IFERROR(__xludf.DUMMYFUNCTION("""COMPUTED_VALUE"""),"дремучие")</f>
        <v>дремучие</v>
      </c>
      <c r="Z322" s="1" t="str">
        <f>IFERROR(__xludf.DUMMYFUNCTION("""COMPUTED_VALUE"""),"романы")</f>
        <v>романы</v>
      </c>
      <c r="AA322" s="1" t="str">
        <f>IFERROR(__xludf.DUMMYFUNCTION("""COMPUTED_VALUE"""),"Казанцева")</f>
        <v>Казанцева</v>
      </c>
      <c r="AB322" s="1" t="str">
        <f>IFERROR(__xludf.DUMMYFUNCTION("""COMPUTED_VALUE"""),"и")</f>
        <v>и</v>
      </c>
      <c r="AC322" s="1" t="str">
        <f>IFERROR(__xludf.DUMMYFUNCTION("""COMPUTED_VALUE"""),"ранних")</f>
        <v>ранних</v>
      </c>
    </row>
    <row r="323" ht="14.25" customHeight="1">
      <c r="A323" s="1" t="s">
        <v>2778</v>
      </c>
      <c r="B323" s="1" t="s">
        <v>719</v>
      </c>
      <c r="C323" s="2" t="s">
        <v>2779</v>
      </c>
      <c r="D323" s="7" t="s">
        <v>721</v>
      </c>
      <c r="E323" s="1" t="s">
        <v>25</v>
      </c>
      <c r="F323" s="4" t="s">
        <v>2780</v>
      </c>
      <c r="G323" s="4" t="s">
        <v>721</v>
      </c>
      <c r="H323" s="8" t="s">
        <v>2781</v>
      </c>
      <c r="I323" s="4" t="s">
        <v>2761</v>
      </c>
      <c r="J323" s="1" t="s">
        <v>2762</v>
      </c>
      <c r="L323" s="1" t="s">
        <v>2763</v>
      </c>
      <c r="M323" s="1" t="s">
        <v>2286</v>
      </c>
      <c r="N323" s="1" t="s">
        <v>139</v>
      </c>
      <c r="O323" s="1" t="s">
        <v>366</v>
      </c>
      <c r="Q323" s="1" t="s">
        <v>2764</v>
      </c>
      <c r="R323" s="1" t="s">
        <v>2286</v>
      </c>
      <c r="S323" s="1" t="s">
        <v>272</v>
      </c>
      <c r="T323" s="1" t="s">
        <v>1455</v>
      </c>
      <c r="U323" s="4" t="s">
        <v>2782</v>
      </c>
      <c r="X323" s="1" t="str">
        <f>IFERROR(__xludf.DUMMYFUNCTION("split(F323,"" ,:;.?!"")"),"Демидову")</f>
        <v>Демидову</v>
      </c>
      <c r="Y323" s="1" t="str">
        <f>IFERROR(__xludf.DUMMYFUNCTION("""COMPUTED_VALUE"""),"Олегу")</f>
        <v>Олегу</v>
      </c>
      <c r="Z323" s="1" t="str">
        <f>IFERROR(__xludf.DUMMYFUNCTION("""COMPUTED_VALUE"""),"побыстрее")</f>
        <v>побыстрее</v>
      </c>
      <c r="AA323" s="1" t="str">
        <f>IFERROR(__xludf.DUMMYFUNCTION("""COMPUTED_VALUE"""),"очутиться")</f>
        <v>очутиться</v>
      </c>
      <c r="AB323" s="1" t="str">
        <f>IFERROR(__xludf.DUMMYFUNCTION("""COMPUTED_VALUE"""),"дома")</f>
        <v>дома</v>
      </c>
      <c r="AC323" s="1" t="str">
        <f>IFERROR(__xludf.DUMMYFUNCTION("""COMPUTED_VALUE"""),"и")</f>
        <v>и</v>
      </c>
    </row>
    <row r="324" ht="14.25" customHeight="1">
      <c r="A324" s="1" t="s">
        <v>2783</v>
      </c>
      <c r="B324" s="1" t="s">
        <v>325</v>
      </c>
      <c r="C324" s="2" t="s">
        <v>2784</v>
      </c>
      <c r="D324" s="7" t="s">
        <v>327</v>
      </c>
      <c r="E324" s="1" t="s">
        <v>25</v>
      </c>
      <c r="F324" s="4" t="s">
        <v>2785</v>
      </c>
      <c r="G324" s="4" t="s">
        <v>327</v>
      </c>
      <c r="H324" s="8" t="s">
        <v>86</v>
      </c>
      <c r="I324" s="4" t="s">
        <v>2761</v>
      </c>
      <c r="J324" s="1" t="s">
        <v>2762</v>
      </c>
      <c r="L324" s="1" t="s">
        <v>2763</v>
      </c>
      <c r="M324" s="1" t="s">
        <v>2286</v>
      </c>
      <c r="N324" s="1" t="s">
        <v>139</v>
      </c>
      <c r="O324" s="1" t="s">
        <v>366</v>
      </c>
      <c r="Q324" s="1" t="s">
        <v>2764</v>
      </c>
      <c r="R324" s="1" t="s">
        <v>2286</v>
      </c>
      <c r="S324" s="1" t="s">
        <v>272</v>
      </c>
      <c r="T324" s="1" t="s">
        <v>1455</v>
      </c>
      <c r="U324" s="4" t="s">
        <v>2786</v>
      </c>
      <c r="X324" s="1" t="str">
        <f>IFERROR(__xludf.DUMMYFUNCTION("split(F324,"" ,:;.?!"")"),"жизни")</f>
        <v>жизни</v>
      </c>
    </row>
    <row r="325" ht="14.25" customHeight="1">
      <c r="A325" s="1" t="s">
        <v>2787</v>
      </c>
      <c r="B325" s="1" t="s">
        <v>413</v>
      </c>
      <c r="C325" s="2" t="s">
        <v>2788</v>
      </c>
      <c r="D325" s="7" t="s">
        <v>415</v>
      </c>
      <c r="E325" s="1" t="s">
        <v>25</v>
      </c>
      <c r="F325" s="4" t="s">
        <v>2789</v>
      </c>
      <c r="G325" s="4" t="s">
        <v>415</v>
      </c>
      <c r="H325" s="8" t="s">
        <v>86</v>
      </c>
      <c r="I325" s="4" t="s">
        <v>2761</v>
      </c>
      <c r="J325" s="1" t="s">
        <v>2762</v>
      </c>
      <c r="L325" s="1" t="s">
        <v>2763</v>
      </c>
      <c r="M325" s="1" t="s">
        <v>2286</v>
      </c>
      <c r="N325" s="1" t="s">
        <v>139</v>
      </c>
      <c r="O325" s="1" t="s">
        <v>366</v>
      </c>
      <c r="Q325" s="1" t="s">
        <v>2764</v>
      </c>
      <c r="R325" s="1" t="s">
        <v>2286</v>
      </c>
      <c r="S325" s="1" t="s">
        <v>272</v>
      </c>
      <c r="T325" s="1" t="s">
        <v>1455</v>
      </c>
      <c r="U325" s="4" t="s">
        <v>2790</v>
      </c>
      <c r="X325" s="1" t="str">
        <f>IFERROR(__xludf.DUMMYFUNCTION("split(F325,"" ,:;.?!"")"),"жизни")</f>
        <v>жизни</v>
      </c>
      <c r="Y325" s="1" t="str">
        <f>IFERROR(__xludf.DUMMYFUNCTION("""COMPUTED_VALUE"""),"Борис")</f>
        <v>Борис</v>
      </c>
      <c r="Z325" s="1" t="str">
        <f>IFERROR(__xludf.DUMMYFUNCTION("""COMPUTED_VALUE"""),"Сергеевич")</f>
        <v>Сергеевич</v>
      </c>
      <c r="AA325" s="1" t="str">
        <f>IFERROR(__xludf.DUMMYFUNCTION("""COMPUTED_VALUE"""),"уверенно")</f>
        <v>уверенно</v>
      </c>
      <c r="AB325" s="1" t="str">
        <f>IFERROR(__xludf.DUMMYFUNCTION("""COMPUTED_VALUE"""),"направлял")</f>
        <v>направлял</v>
      </c>
      <c r="AC325" s="1" t="str">
        <f>IFERROR(__xludf.DUMMYFUNCTION("""COMPUTED_VALUE"""),"свои")</f>
        <v>свои</v>
      </c>
    </row>
    <row r="326" ht="14.25" customHeight="1">
      <c r="A326" s="1" t="s">
        <v>2791</v>
      </c>
      <c r="B326" s="1" t="s">
        <v>2792</v>
      </c>
      <c r="C326" s="2" t="s">
        <v>2793</v>
      </c>
      <c r="D326" s="7" t="s">
        <v>2794</v>
      </c>
      <c r="E326" s="1" t="s">
        <v>25</v>
      </c>
      <c r="F326" s="4" t="s">
        <v>2795</v>
      </c>
      <c r="G326" s="4" t="s">
        <v>2794</v>
      </c>
      <c r="H326" s="8" t="s">
        <v>2796</v>
      </c>
      <c r="I326" s="4" t="s">
        <v>2761</v>
      </c>
      <c r="J326" s="1" t="s">
        <v>2762</v>
      </c>
      <c r="L326" s="1" t="s">
        <v>2763</v>
      </c>
      <c r="M326" s="1" t="s">
        <v>2286</v>
      </c>
      <c r="N326" s="1" t="s">
        <v>139</v>
      </c>
      <c r="O326" s="1" t="s">
        <v>366</v>
      </c>
      <c r="Q326" s="1" t="s">
        <v>2764</v>
      </c>
      <c r="R326" s="1" t="s">
        <v>2286</v>
      </c>
      <c r="S326" s="1" t="s">
        <v>272</v>
      </c>
      <c r="T326" s="1" t="s">
        <v>1455</v>
      </c>
      <c r="U326" s="4" t="s">
        <v>2797</v>
      </c>
      <c r="X326" s="1" t="str">
        <f>IFERROR(__xludf.DUMMYFUNCTION("split(F326,"" ,:;.?!"")"),"Козелкиным")</f>
        <v>Козелкиным</v>
      </c>
      <c r="Y326" s="1" t="str">
        <f>IFERROR(__xludf.DUMMYFUNCTION("""COMPUTED_VALUE"""),"потому")</f>
        <v>потому</v>
      </c>
      <c r="Z326" s="1" t="str">
        <f>IFERROR(__xludf.DUMMYFUNCTION("""COMPUTED_VALUE"""),"как")</f>
        <v>как</v>
      </c>
      <c r="AA326" s="1" t="str">
        <f>IFERROR(__xludf.DUMMYFUNCTION("""COMPUTED_VALUE"""),"пальтишко")</f>
        <v>пальтишко</v>
      </c>
      <c r="AB326" s="1" t="str">
        <f>IFERROR(__xludf.DUMMYFUNCTION("""COMPUTED_VALUE"""),"было")</f>
        <v>было</v>
      </c>
      <c r="AC326" s="1" t="str">
        <f>IFERROR(__xludf.DUMMYFUNCTION("""COMPUTED_VALUE"""),"наброшено")</f>
        <v>наброшено</v>
      </c>
    </row>
    <row r="327" ht="14.25" customHeight="1">
      <c r="A327" s="1" t="s">
        <v>2798</v>
      </c>
      <c r="B327" s="1" t="s">
        <v>1445</v>
      </c>
      <c r="C327" s="2" t="s">
        <v>2799</v>
      </c>
      <c r="D327" s="7" t="s">
        <v>1447</v>
      </c>
      <c r="E327" s="1" t="s">
        <v>25</v>
      </c>
      <c r="F327" s="4" t="s">
        <v>2800</v>
      </c>
      <c r="G327" s="4" t="s">
        <v>1447</v>
      </c>
      <c r="H327" s="8" t="s">
        <v>2801</v>
      </c>
      <c r="I327" s="4" t="s">
        <v>2761</v>
      </c>
      <c r="J327" s="1" t="s">
        <v>2762</v>
      </c>
      <c r="L327" s="1" t="s">
        <v>2763</v>
      </c>
      <c r="M327" s="1" t="s">
        <v>2286</v>
      </c>
      <c r="N327" s="1" t="s">
        <v>139</v>
      </c>
      <c r="O327" s="1" t="s">
        <v>366</v>
      </c>
      <c r="Q327" s="1" t="s">
        <v>2764</v>
      </c>
      <c r="R327" s="1" t="s">
        <v>2286</v>
      </c>
      <c r="S327" s="1" t="s">
        <v>272</v>
      </c>
      <c r="T327" s="1" t="s">
        <v>1455</v>
      </c>
      <c r="U327" s="4" t="s">
        <v>2802</v>
      </c>
      <c r="X327" s="1" t="str">
        <f>IFERROR(__xludf.DUMMYFUNCTION("split(F327,"" ,:;.?!"")"),"Вике")</f>
        <v>Вике</v>
      </c>
      <c r="Y327" s="1" t="str">
        <f>IFERROR(__xludf.DUMMYFUNCTION("""COMPUTED_VALUE"""),"от")</f>
        <v>от</v>
      </c>
      <c r="Z327" s="1" t="str">
        <f>IFERROR(__xludf.DUMMYFUNCTION("""COMPUTED_VALUE"""),"скуки")</f>
        <v>скуки</v>
      </c>
      <c r="AA327" s="1" t="str">
        <f>IFERROR(__xludf.DUMMYFUNCTION("""COMPUTED_VALUE"""),"базара")</f>
        <v>базара</v>
      </c>
      <c r="AB327" s="1" t="str">
        <f>IFERROR(__xludf.DUMMYFUNCTION("""COMPUTED_VALUE"""),"очень")</f>
        <v>очень</v>
      </c>
      <c r="AC327" s="1" t="str">
        <f>IFERROR(__xludf.DUMMYFUNCTION("""COMPUTED_VALUE"""),"хотелось")</f>
        <v>хотелось</v>
      </c>
    </row>
    <row r="328" ht="14.25" customHeight="1">
      <c r="A328" s="1" t="s">
        <v>2803</v>
      </c>
      <c r="B328" s="1" t="s">
        <v>288</v>
      </c>
      <c r="C328" s="2" t="s">
        <v>2804</v>
      </c>
      <c r="D328" s="7" t="s">
        <v>290</v>
      </c>
      <c r="E328" s="1" t="s">
        <v>25</v>
      </c>
      <c r="F328" s="4" t="s">
        <v>2805</v>
      </c>
      <c r="G328" s="4" t="s">
        <v>290</v>
      </c>
      <c r="H328" s="8" t="s">
        <v>292</v>
      </c>
      <c r="I328" s="4" t="s">
        <v>2761</v>
      </c>
      <c r="J328" s="1" t="s">
        <v>2762</v>
      </c>
      <c r="L328" s="1" t="s">
        <v>2763</v>
      </c>
      <c r="M328" s="1" t="s">
        <v>2286</v>
      </c>
      <c r="N328" s="1" t="s">
        <v>139</v>
      </c>
      <c r="O328" s="1" t="s">
        <v>366</v>
      </c>
      <c r="Q328" s="1" t="s">
        <v>2764</v>
      </c>
      <c r="R328" s="1" t="s">
        <v>2286</v>
      </c>
      <c r="S328" s="1" t="s">
        <v>272</v>
      </c>
      <c r="T328" s="1" t="s">
        <v>1455</v>
      </c>
      <c r="U328" s="4" t="s">
        <v>2806</v>
      </c>
      <c r="X328" s="1" t="str">
        <f>IFERROR(__xludf.DUMMYFUNCTION("split(F328,"" ,:;.?!"")"),"встрече")</f>
        <v>встрече</v>
      </c>
    </row>
    <row r="329" ht="14.25" customHeight="1">
      <c r="A329" s="1" t="s">
        <v>2807</v>
      </c>
      <c r="B329" s="1" t="s">
        <v>2808</v>
      </c>
      <c r="C329" s="2" t="s">
        <v>2809</v>
      </c>
      <c r="D329" s="7" t="s">
        <v>2810</v>
      </c>
      <c r="E329" s="1" t="s">
        <v>25</v>
      </c>
      <c r="F329" s="4" t="s">
        <v>2811</v>
      </c>
      <c r="G329" s="4" t="s">
        <v>2810</v>
      </c>
      <c r="H329" s="8" t="s">
        <v>2812</v>
      </c>
      <c r="I329" s="4" t="s">
        <v>2761</v>
      </c>
      <c r="J329" s="1" t="s">
        <v>2762</v>
      </c>
      <c r="L329" s="1" t="s">
        <v>2763</v>
      </c>
      <c r="M329" s="1" t="s">
        <v>2286</v>
      </c>
      <c r="N329" s="1" t="s">
        <v>139</v>
      </c>
      <c r="O329" s="1" t="s">
        <v>366</v>
      </c>
      <c r="Q329" s="1" t="s">
        <v>2764</v>
      </c>
      <c r="R329" s="1" t="s">
        <v>2286</v>
      </c>
      <c r="S329" s="1" t="s">
        <v>272</v>
      </c>
      <c r="T329" s="1" t="s">
        <v>1455</v>
      </c>
      <c r="U329" s="4" t="s">
        <v>2813</v>
      </c>
      <c r="X329" s="1" t="str">
        <f>IFERROR(__xludf.DUMMYFUNCTION("split(F329,"" ,:;.?!"")"),"спину")</f>
        <v>спину</v>
      </c>
      <c r="Y329" s="1" t="str">
        <f>IFERROR(__xludf.DUMMYFUNCTION("""COMPUTED_VALUE"""),"ей")</f>
        <v>ей</v>
      </c>
      <c r="Z329" s="1" t="str">
        <f>IFERROR(__xludf.DUMMYFUNCTION("""COMPUTED_VALUE"""),"смотреть")</f>
        <v>смотреть</v>
      </c>
      <c r="AA329" s="1" t="str">
        <f>IFERROR(__xludf.DUMMYFUNCTION("""COMPUTED_VALUE"""),"не")</f>
        <v>не</v>
      </c>
      <c r="AB329" s="1" t="str">
        <f>IFERROR(__xludf.DUMMYFUNCTION("""COMPUTED_VALUE"""),"хотелось")</f>
        <v>хотелось</v>
      </c>
    </row>
    <row r="330" ht="14.25" customHeight="1">
      <c r="A330" s="1" t="s">
        <v>25</v>
      </c>
      <c r="B330" s="1" t="s">
        <v>1474</v>
      </c>
      <c r="C330" s="2"/>
      <c r="D330" s="7" t="s">
        <v>1475</v>
      </c>
      <c r="E330" s="1" t="s">
        <v>25</v>
      </c>
      <c r="F330" s="4" t="s">
        <v>2814</v>
      </c>
      <c r="G330" s="4" t="s">
        <v>1475</v>
      </c>
      <c r="H330" s="8" t="s">
        <v>1859</v>
      </c>
      <c r="I330" s="4" t="s">
        <v>2815</v>
      </c>
      <c r="J330" s="1" t="s">
        <v>2816</v>
      </c>
      <c r="K330" s="1" t="s">
        <v>1907</v>
      </c>
      <c r="L330" s="1" t="s">
        <v>2817</v>
      </c>
      <c r="M330" s="1" t="s">
        <v>2286</v>
      </c>
      <c r="N330" s="1" t="s">
        <v>2366</v>
      </c>
      <c r="O330" s="1" t="s">
        <v>67</v>
      </c>
      <c r="P330" s="1" t="s">
        <v>2818</v>
      </c>
      <c r="Q330" s="1" t="s">
        <v>2041</v>
      </c>
      <c r="R330" s="1" t="s">
        <v>2286</v>
      </c>
      <c r="S330" s="1" t="s">
        <v>70</v>
      </c>
      <c r="T330" s="1" t="s">
        <v>1455</v>
      </c>
      <c r="U330" s="4" t="s">
        <v>2819</v>
      </c>
      <c r="X330" s="1" t="str">
        <f>IFERROR(__xludf.DUMMYFUNCTION("split(F330,"" ,:;.?!"")"),"чаще")</f>
        <v>чаще</v>
      </c>
      <c r="Y330" s="1" t="str">
        <f>IFERROR(__xludf.DUMMYFUNCTION("""COMPUTED_VALUE"""),"всего")</f>
        <v>всего</v>
      </c>
      <c r="Z330" s="1" t="str">
        <f>IFERROR(__xludf.DUMMYFUNCTION("""COMPUTED_VALUE"""),"информация")</f>
        <v>информация</v>
      </c>
      <c r="AA330" s="1" t="str">
        <f>IFERROR(__xludf.DUMMYFUNCTION("""COMPUTED_VALUE"""),"о")</f>
        <v>о</v>
      </c>
      <c r="AB330" s="1" t="str">
        <f>IFERROR(__xludf.DUMMYFUNCTION("""COMPUTED_VALUE"""),"стратегии")</f>
        <v>стратегии</v>
      </c>
      <c r="AC330" s="1" t="str">
        <f>IFERROR(__xludf.DUMMYFUNCTION("""COMPUTED_VALUE"""),"развития")</f>
        <v>развития</v>
      </c>
    </row>
    <row r="331" ht="14.25" customHeight="1">
      <c r="A331" s="1" t="s">
        <v>2820</v>
      </c>
      <c r="B331" s="1" t="s">
        <v>776</v>
      </c>
      <c r="C331" s="2" t="s">
        <v>2821</v>
      </c>
      <c r="D331" s="7" t="s">
        <v>778</v>
      </c>
      <c r="E331" s="1" t="s">
        <v>25</v>
      </c>
      <c r="F331" s="4" t="s">
        <v>2822</v>
      </c>
      <c r="G331" s="4" t="s">
        <v>778</v>
      </c>
      <c r="H331" s="8" t="s">
        <v>2823</v>
      </c>
      <c r="I331" s="4" t="s">
        <v>2824</v>
      </c>
      <c r="J331" s="1" t="s">
        <v>2825</v>
      </c>
      <c r="K331" s="1" t="s">
        <v>282</v>
      </c>
      <c r="L331" s="1" t="s">
        <v>2826</v>
      </c>
      <c r="M331" s="1" t="s">
        <v>2286</v>
      </c>
      <c r="N331" s="1" t="s">
        <v>51</v>
      </c>
      <c r="O331" s="1" t="s">
        <v>189</v>
      </c>
      <c r="P331" s="1" t="s">
        <v>2827</v>
      </c>
      <c r="S331" s="1" t="s">
        <v>272</v>
      </c>
      <c r="T331" s="1" t="s">
        <v>1455</v>
      </c>
      <c r="U331" s="4" t="s">
        <v>2828</v>
      </c>
      <c r="X331" s="1" t="str">
        <f>IFERROR(__xludf.DUMMYFUNCTION("split(F331,"" ,:;.?!"")"),"Борису")</f>
        <v>Борису</v>
      </c>
      <c r="Y331" s="1" t="str">
        <f>IFERROR(__xludf.DUMMYFUNCTION("""COMPUTED_VALUE"""),"Шергину")</f>
        <v>Шергину</v>
      </c>
      <c r="Z331" s="1" t="str">
        <f>IFERROR(__xludf.DUMMYFUNCTION("""COMPUTED_VALUE"""),"вы")</f>
        <v>вы</v>
      </c>
      <c r="AA331" s="1" t="str">
        <f>IFERROR(__xludf.DUMMYFUNCTION("""COMPUTED_VALUE"""),"подбирались")</f>
        <v>подбирались</v>
      </c>
      <c r="AB331" s="1" t="str">
        <f>IFERROR(__xludf.DUMMYFUNCTION("""COMPUTED_VALUE"""),"долго")</f>
        <v>долго</v>
      </c>
      <c r="AC331" s="1" t="str">
        <f>IFERROR(__xludf.DUMMYFUNCTION("""COMPUTED_VALUE"""),"но")</f>
        <v>но</v>
      </c>
    </row>
    <row r="332" ht="14.25" customHeight="1">
      <c r="A332" s="1" t="s">
        <v>2829</v>
      </c>
      <c r="B332" s="1" t="s">
        <v>1271</v>
      </c>
      <c r="C332" s="2" t="s">
        <v>2830</v>
      </c>
      <c r="D332" s="7" t="s">
        <v>1273</v>
      </c>
      <c r="E332" s="1" t="s">
        <v>25</v>
      </c>
      <c r="F332" s="4" t="s">
        <v>2831</v>
      </c>
      <c r="G332" s="4" t="s">
        <v>1273</v>
      </c>
      <c r="H332" s="8" t="s">
        <v>1550</v>
      </c>
      <c r="I332" s="4" t="s">
        <v>2832</v>
      </c>
      <c r="J332" s="1" t="s">
        <v>2833</v>
      </c>
      <c r="K332" s="1" t="s">
        <v>1295</v>
      </c>
      <c r="L332" s="1" t="s">
        <v>2834</v>
      </c>
      <c r="M332" s="1" t="s">
        <v>2286</v>
      </c>
      <c r="N332" s="1" t="s">
        <v>139</v>
      </c>
      <c r="O332" s="1" t="s">
        <v>457</v>
      </c>
      <c r="Q332" s="1" t="s">
        <v>1911</v>
      </c>
      <c r="R332" s="1" t="s">
        <v>1909</v>
      </c>
      <c r="S332" s="1" t="s">
        <v>70</v>
      </c>
      <c r="T332" s="1" t="s">
        <v>1455</v>
      </c>
      <c r="U332" s="4" t="s">
        <v>2835</v>
      </c>
      <c r="X332" s="1" t="str">
        <f>IFERROR(__xludf.DUMMYFUNCTION("split(F332,"" ,:;.?!"")"),"делом")</f>
        <v>делом</v>
      </c>
    </row>
    <row r="333" ht="14.25" customHeight="1">
      <c r="A333" s="1" t="s">
        <v>2836</v>
      </c>
      <c r="B333" s="1" t="s">
        <v>1445</v>
      </c>
      <c r="C333" s="2" t="s">
        <v>2837</v>
      </c>
      <c r="D333" s="7" t="s">
        <v>1447</v>
      </c>
      <c r="E333" s="1" t="s">
        <v>25</v>
      </c>
      <c r="F333" s="4" t="s">
        <v>2838</v>
      </c>
      <c r="G333" s="4" t="s">
        <v>1447</v>
      </c>
      <c r="H333" s="8" t="s">
        <v>2839</v>
      </c>
      <c r="I333" s="4" t="s">
        <v>2840</v>
      </c>
      <c r="J333" s="1" t="s">
        <v>2841</v>
      </c>
      <c r="K333" s="1" t="s">
        <v>2192</v>
      </c>
      <c r="L333" s="1" t="s">
        <v>2842</v>
      </c>
      <c r="M333" s="1" t="s">
        <v>2286</v>
      </c>
      <c r="N333" s="1" t="s">
        <v>2366</v>
      </c>
      <c r="O333" s="1" t="s">
        <v>67</v>
      </c>
      <c r="P333" s="1" t="s">
        <v>2040</v>
      </c>
      <c r="Q333" s="1" t="s">
        <v>1996</v>
      </c>
      <c r="R333" s="1" t="s">
        <v>2286</v>
      </c>
      <c r="S333" s="1" t="s">
        <v>70</v>
      </c>
      <c r="T333" s="1" t="s">
        <v>1455</v>
      </c>
      <c r="U333" s="4" t="s">
        <v>2843</v>
      </c>
      <c r="X333" s="1" t="str">
        <f>IFERROR(__xludf.DUMMYFUNCTION("split(F333,"" ,:;.?!"")"),"детали")</f>
        <v>детали</v>
      </c>
      <c r="Y333" s="1" t="str">
        <f>IFERROR(__xludf.DUMMYFUNCTION("""COMPUTED_VALUE"""),"плана")</f>
        <v>плана</v>
      </c>
      <c r="Z333" s="1" t="str">
        <f>IFERROR(__xludf.DUMMYFUNCTION("""COMPUTED_VALUE"""),"не")</f>
        <v>не</v>
      </c>
      <c r="AA333" s="1" t="str">
        <f>IFERROR(__xludf.DUMMYFUNCTION("""COMPUTED_VALUE"""),"раскрываются")</f>
        <v>раскрываются</v>
      </c>
    </row>
    <row r="334" ht="14.25" customHeight="1">
      <c r="A334" s="1" t="s">
        <v>2844</v>
      </c>
      <c r="B334" s="1" t="s">
        <v>194</v>
      </c>
      <c r="C334" s="2" t="s">
        <v>2845</v>
      </c>
      <c r="D334" s="7" t="s">
        <v>196</v>
      </c>
      <c r="E334" s="1" t="s">
        <v>25</v>
      </c>
      <c r="F334" s="4" t="s">
        <v>2846</v>
      </c>
      <c r="G334" s="4" t="s">
        <v>196</v>
      </c>
      <c r="H334" s="8" t="s">
        <v>2176</v>
      </c>
      <c r="I334" s="4" t="s">
        <v>2847</v>
      </c>
      <c r="J334" s="1" t="s">
        <v>2848</v>
      </c>
      <c r="L334" s="1" t="s">
        <v>2849</v>
      </c>
      <c r="M334" s="1" t="s">
        <v>2286</v>
      </c>
      <c r="N334" s="1" t="s">
        <v>2366</v>
      </c>
      <c r="O334" s="1" t="s">
        <v>67</v>
      </c>
      <c r="P334" s="1" t="s">
        <v>2751</v>
      </c>
      <c r="Q334" s="1" t="s">
        <v>2041</v>
      </c>
      <c r="R334" s="1" t="s">
        <v>2286</v>
      </c>
      <c r="S334" s="1" t="s">
        <v>70</v>
      </c>
      <c r="T334" s="1" t="s">
        <v>1455</v>
      </c>
      <c r="U334" s="4" t="s">
        <v>2850</v>
      </c>
      <c r="X334" s="1" t="str">
        <f>IFERROR(__xludf.DUMMYFUNCTION("split(F334,"" ,:;.?!"")"),"политической")</f>
        <v>политической</v>
      </c>
      <c r="Y334" s="1" t="str">
        <f>IFERROR(__xludf.DUMMYFUNCTION("""COMPUTED_VALUE"""),"конкуренции")</f>
        <v>конкуренции</v>
      </c>
      <c r="Z334" s="1" t="str">
        <f>IFERROR(__xludf.DUMMYFUNCTION("""COMPUTED_VALUE"""),"а")</f>
        <v>а</v>
      </c>
      <c r="AA334" s="1" t="str">
        <f>IFERROR(__xludf.DUMMYFUNCTION("""COMPUTED_VALUE"""),"потому")</f>
        <v>потому</v>
      </c>
      <c r="AB334" s="1" t="str">
        <f>IFERROR(__xludf.DUMMYFUNCTION("""COMPUTED_VALUE"""),"без")</f>
        <v>без</v>
      </c>
      <c r="AC334" s="1" t="str">
        <f>IFERROR(__xludf.DUMMYFUNCTION("""COMPUTED_VALUE"""),"опаски")</f>
        <v>опаски</v>
      </c>
    </row>
    <row r="335" ht="14.25" customHeight="1">
      <c r="A335" s="1" t="s">
        <v>2851</v>
      </c>
      <c r="B335" s="1" t="s">
        <v>2852</v>
      </c>
      <c r="C335" s="2" t="s">
        <v>2853</v>
      </c>
      <c r="D335" s="7" t="s">
        <v>2854</v>
      </c>
      <c r="E335" s="1" t="s">
        <v>25</v>
      </c>
      <c r="F335" s="4" t="s">
        <v>2855</v>
      </c>
      <c r="G335" s="4" t="s">
        <v>2854</v>
      </c>
      <c r="H335" s="8" t="s">
        <v>2856</v>
      </c>
      <c r="I335" s="4" t="s">
        <v>2857</v>
      </c>
      <c r="J335" s="1" t="s">
        <v>2858</v>
      </c>
      <c r="K335" s="1" t="s">
        <v>903</v>
      </c>
      <c r="L335" s="1" t="s">
        <v>2859</v>
      </c>
      <c r="M335" s="1" t="s">
        <v>2286</v>
      </c>
      <c r="N335" s="1" t="s">
        <v>51</v>
      </c>
      <c r="O335" s="1" t="s">
        <v>67</v>
      </c>
      <c r="P335" s="1" t="s">
        <v>2860</v>
      </c>
      <c r="Q335" s="1" t="s">
        <v>1911</v>
      </c>
      <c r="R335" s="1" t="s">
        <v>2286</v>
      </c>
      <c r="S335" s="1" t="s">
        <v>70</v>
      </c>
      <c r="T335" s="1" t="s">
        <v>1455</v>
      </c>
      <c r="U335" s="4" t="s">
        <v>2861</v>
      </c>
      <c r="X335" s="1" t="str">
        <f>IFERROR(__xludf.DUMMYFUNCTION("split(F335,"" ,:;.?!"")"),"имени")</f>
        <v>имени</v>
      </c>
      <c r="Y335" s="1" t="str">
        <f>IFERROR(__xludf.DUMMYFUNCTION("""COMPUTED_VALUE"""),"концептуализма")</f>
        <v>концептуализма</v>
      </c>
      <c r="Z335" s="1" t="str">
        <f>IFERROR(__xludf.DUMMYFUNCTION("""COMPUTED_VALUE"""),"но")</f>
        <v>но</v>
      </c>
      <c r="AA335" s="1" t="str">
        <f>IFERROR(__xludf.DUMMYFUNCTION("""COMPUTED_VALUE"""),"и")</f>
        <v>и</v>
      </c>
      <c r="AB335" s="1" t="str">
        <f>IFERROR(__xludf.DUMMYFUNCTION("""COMPUTED_VALUE"""),"памятуя")</f>
        <v>памятуя</v>
      </c>
      <c r="AC335" s="1" t="str">
        <f>IFERROR(__xludf.DUMMYFUNCTION("""COMPUTED_VALUE"""),"все-таки")</f>
        <v>все-таки</v>
      </c>
    </row>
    <row r="336" ht="14.25" customHeight="1">
      <c r="A336" s="1" t="s">
        <v>626</v>
      </c>
      <c r="B336" s="1" t="s">
        <v>2862</v>
      </c>
      <c r="C336" s="2" t="s">
        <v>2660</v>
      </c>
      <c r="D336" s="7" t="s">
        <v>2863</v>
      </c>
      <c r="E336" s="1" t="s">
        <v>25</v>
      </c>
      <c r="F336" s="4" t="s">
        <v>2864</v>
      </c>
      <c r="G336" s="4" t="s">
        <v>2863</v>
      </c>
      <c r="H336" s="8" t="s">
        <v>2865</v>
      </c>
      <c r="I336" s="4" t="s">
        <v>2866</v>
      </c>
      <c r="J336" s="1" t="s">
        <v>2081</v>
      </c>
      <c r="K336" s="1" t="s">
        <v>744</v>
      </c>
      <c r="L336" s="1" t="s">
        <v>2867</v>
      </c>
      <c r="M336" s="1" t="s">
        <v>2286</v>
      </c>
      <c r="N336" s="1" t="s">
        <v>139</v>
      </c>
      <c r="O336" s="1" t="s">
        <v>366</v>
      </c>
      <c r="Q336" s="1" t="s">
        <v>1911</v>
      </c>
      <c r="R336" s="1" t="s">
        <v>2286</v>
      </c>
      <c r="S336" s="1" t="s">
        <v>70</v>
      </c>
      <c r="T336" s="1" t="s">
        <v>1455</v>
      </c>
      <c r="U336" s="4" t="s">
        <v>2868</v>
      </c>
      <c r="X336" s="1" t="str">
        <f>IFERROR(__xludf.DUMMYFUNCTION("split(F336,"" ,:;.?!"")"),"Молодой")</f>
        <v>Молодой</v>
      </c>
    </row>
    <row r="337" ht="14.25" customHeight="1">
      <c r="A337" s="1" t="s">
        <v>2869</v>
      </c>
      <c r="B337" s="1" t="s">
        <v>381</v>
      </c>
      <c r="C337" s="2" t="s">
        <v>2870</v>
      </c>
      <c r="D337" s="7" t="s">
        <v>383</v>
      </c>
      <c r="E337" s="1" t="s">
        <v>25</v>
      </c>
      <c r="F337" s="4" t="s">
        <v>2871</v>
      </c>
      <c r="G337" s="4" t="s">
        <v>383</v>
      </c>
      <c r="H337" s="8" t="s">
        <v>1518</v>
      </c>
      <c r="I337" s="4" t="s">
        <v>2866</v>
      </c>
      <c r="J337" s="1" t="s">
        <v>2081</v>
      </c>
      <c r="K337" s="1" t="s">
        <v>744</v>
      </c>
      <c r="L337" s="1" t="s">
        <v>2867</v>
      </c>
      <c r="M337" s="1" t="s">
        <v>2286</v>
      </c>
      <c r="N337" s="1" t="s">
        <v>139</v>
      </c>
      <c r="O337" s="1" t="s">
        <v>366</v>
      </c>
      <c r="Q337" s="1" t="s">
        <v>1911</v>
      </c>
      <c r="R337" s="1" t="s">
        <v>2286</v>
      </c>
      <c r="S337" s="1" t="s">
        <v>70</v>
      </c>
      <c r="T337" s="1" t="s">
        <v>1455</v>
      </c>
      <c r="U337" s="4" t="s">
        <v>2872</v>
      </c>
      <c r="X337" s="1" t="str">
        <f>IFERROR(__xludf.DUMMYFUNCTION("split(F337,"" ,:;.?!"")"),"тому")</f>
        <v>тому</v>
      </c>
      <c r="Y337" s="1" t="str">
        <f>IFERROR(__xludf.DUMMYFUNCTION("""COMPUTED_VALUE"""),"что")</f>
        <v>что</v>
      </c>
      <c r="Z337" s="1" t="str">
        <f>IFERROR(__xludf.DUMMYFUNCTION("""COMPUTED_VALUE"""),"его")</f>
        <v>его</v>
      </c>
      <c r="AA337" s="1" t="str">
        <f>IFERROR(__xludf.DUMMYFUNCTION("""COMPUTED_VALUE"""),"еще")</f>
        <v>еще</v>
      </c>
      <c r="AB337" s="1" t="str">
        <f>IFERROR(__xludf.DUMMYFUNCTION("""COMPUTED_VALUE"""),"волнуют")</f>
        <v>волнуют</v>
      </c>
      <c r="AC337" s="1" t="str">
        <f>IFERROR(__xludf.DUMMYFUNCTION("""COMPUTED_VALUE"""),"такие")</f>
        <v>такие</v>
      </c>
    </row>
    <row r="338" ht="14.25" customHeight="1">
      <c r="A338" s="1" t="s">
        <v>626</v>
      </c>
      <c r="B338" s="1" t="s">
        <v>381</v>
      </c>
      <c r="C338" s="2" t="s">
        <v>2660</v>
      </c>
      <c r="D338" s="7" t="s">
        <v>383</v>
      </c>
      <c r="E338" s="1" t="s">
        <v>25</v>
      </c>
      <c r="F338" s="4" t="s">
        <v>2873</v>
      </c>
      <c r="G338" s="4" t="s">
        <v>383</v>
      </c>
      <c r="H338" s="8" t="s">
        <v>2865</v>
      </c>
      <c r="I338" s="4" t="s">
        <v>2866</v>
      </c>
      <c r="J338" s="1" t="s">
        <v>2081</v>
      </c>
      <c r="K338" s="1" t="s">
        <v>744</v>
      </c>
      <c r="L338" s="1" t="s">
        <v>2867</v>
      </c>
      <c r="M338" s="1" t="s">
        <v>2286</v>
      </c>
      <c r="N338" s="1" t="s">
        <v>139</v>
      </c>
      <c r="O338" s="1" t="s">
        <v>366</v>
      </c>
      <c r="Q338" s="1" t="s">
        <v>1911</v>
      </c>
      <c r="R338" s="1" t="s">
        <v>2286</v>
      </c>
      <c r="S338" s="1" t="s">
        <v>70</v>
      </c>
      <c r="T338" s="1" t="s">
        <v>1455</v>
      </c>
      <c r="U338" s="4" t="s">
        <v>2874</v>
      </c>
      <c r="X338" s="1" t="str">
        <f>IFERROR(__xludf.DUMMYFUNCTION("split(F338,"" ,:;.?!"")"),"Молодой")</f>
        <v>Молодой</v>
      </c>
    </row>
    <row r="339" ht="14.25" customHeight="1">
      <c r="A339" s="1" t="s">
        <v>2875</v>
      </c>
      <c r="B339" s="1" t="s">
        <v>381</v>
      </c>
      <c r="C339" s="2" t="s">
        <v>2876</v>
      </c>
      <c r="D339" s="7" t="s">
        <v>383</v>
      </c>
      <c r="E339" s="1" t="s">
        <v>25</v>
      </c>
      <c r="F339" s="4" t="s">
        <v>2877</v>
      </c>
      <c r="G339" s="4" t="s">
        <v>383</v>
      </c>
      <c r="H339" s="8" t="s">
        <v>1518</v>
      </c>
      <c r="I339" s="4" t="s">
        <v>2866</v>
      </c>
      <c r="J339" s="1" t="s">
        <v>2081</v>
      </c>
      <c r="K339" s="1" t="s">
        <v>744</v>
      </c>
      <c r="L339" s="1" t="s">
        <v>2867</v>
      </c>
      <c r="M339" s="1" t="s">
        <v>2286</v>
      </c>
      <c r="N339" s="1" t="s">
        <v>139</v>
      </c>
      <c r="O339" s="1" t="s">
        <v>366</v>
      </c>
      <c r="Q339" s="1" t="s">
        <v>1911</v>
      </c>
      <c r="R339" s="1" t="s">
        <v>2286</v>
      </c>
      <c r="S339" s="1" t="s">
        <v>70</v>
      </c>
      <c r="T339" s="1" t="s">
        <v>1455</v>
      </c>
      <c r="U339" s="4" t="s">
        <v>2878</v>
      </c>
      <c r="X339" s="1" t="str">
        <f>IFERROR(__xludf.DUMMYFUNCTION("split(F339,"" ,:;.?!"")"),"тому")</f>
        <v>тому</v>
      </c>
      <c r="Y339" s="1" t="str">
        <f>IFERROR(__xludf.DUMMYFUNCTION("""COMPUTED_VALUE"""),"что")</f>
        <v>что</v>
      </c>
      <c r="Z339" s="1" t="str">
        <f>IFERROR(__xludf.DUMMYFUNCTION("""COMPUTED_VALUE"""),"Фил")</f>
        <v>Фил</v>
      </c>
      <c r="AA339" s="1" t="str">
        <f>IFERROR(__xludf.DUMMYFUNCTION("""COMPUTED_VALUE"""),"―")</f>
        <v>―</v>
      </c>
      <c r="AB339" s="1" t="str">
        <f>IFERROR(__xludf.DUMMYFUNCTION("""COMPUTED_VALUE"""),"тезка")</f>
        <v>тезка</v>
      </c>
      <c r="AC339" s="1" t="str">
        <f>IFERROR(__xludf.DUMMYFUNCTION("""COMPUTED_VALUE"""),"его")</f>
        <v>его</v>
      </c>
      <c r="AD339" s="1" t="str">
        <f>IFERROR(__xludf.DUMMYFUNCTION("""COMPUTED_VALUE"""),"сына")</f>
        <v>сына</v>
      </c>
    </row>
    <row r="340" ht="14.25" customHeight="1">
      <c r="A340" s="1" t="s">
        <v>2879</v>
      </c>
      <c r="B340" s="1" t="s">
        <v>2880</v>
      </c>
      <c r="C340" s="2" t="s">
        <v>2881</v>
      </c>
      <c r="D340" s="7" t="s">
        <v>2882</v>
      </c>
      <c r="E340" s="1" t="s">
        <v>25</v>
      </c>
      <c r="F340" s="4" t="s">
        <v>2883</v>
      </c>
      <c r="G340" s="4" t="s">
        <v>2882</v>
      </c>
      <c r="H340" s="8" t="s">
        <v>77</v>
      </c>
      <c r="I340" s="4" t="s">
        <v>2866</v>
      </c>
      <c r="J340" s="1" t="s">
        <v>2081</v>
      </c>
      <c r="K340" s="1" t="s">
        <v>744</v>
      </c>
      <c r="L340" s="1" t="s">
        <v>2867</v>
      </c>
      <c r="M340" s="1" t="s">
        <v>2286</v>
      </c>
      <c r="N340" s="1" t="s">
        <v>139</v>
      </c>
      <c r="O340" s="1" t="s">
        <v>366</v>
      </c>
      <c r="Q340" s="1" t="s">
        <v>1911</v>
      </c>
      <c r="R340" s="1" t="s">
        <v>2286</v>
      </c>
      <c r="S340" s="1" t="s">
        <v>70</v>
      </c>
      <c r="T340" s="1" t="s">
        <v>1455</v>
      </c>
      <c r="U340" s="4" t="s">
        <v>2884</v>
      </c>
      <c r="X340" s="1" t="str">
        <f>IFERROR(__xludf.DUMMYFUNCTION("split(F340,"" ,:;.?!"")"),"отсутствию")</f>
        <v>отсутствию</v>
      </c>
      <c r="Y340" s="1" t="str">
        <f>IFERROR(__xludf.DUMMYFUNCTION("""COMPUTED_VALUE"""),"французов")</f>
        <v>французов</v>
      </c>
      <c r="Z340" s="1" t="str">
        <f>IFERROR(__xludf.DUMMYFUNCTION("""COMPUTED_VALUE"""),"на")</f>
        <v>на</v>
      </c>
      <c r="AA340" s="1" t="str">
        <f>IFERROR(__xludf.DUMMYFUNCTION("""COMPUTED_VALUE"""),"телеэкране")</f>
        <v>телеэкране</v>
      </c>
      <c r="AB340" s="1" t="str">
        <f>IFERROR(__xludf.DUMMYFUNCTION("""COMPUTED_VALUE"""),"ему")</f>
        <v>ему</v>
      </c>
      <c r="AC340" s="1" t="str">
        <f>IFERROR(__xludf.DUMMYFUNCTION("""COMPUTED_VALUE"""),"вдруг")</f>
        <v>вдруг</v>
      </c>
    </row>
    <row r="341" ht="14.25" customHeight="1">
      <c r="A341" s="1" t="s">
        <v>2885</v>
      </c>
      <c r="B341" s="1" t="s">
        <v>493</v>
      </c>
      <c r="C341" s="2" t="s">
        <v>2886</v>
      </c>
      <c r="D341" s="7" t="s">
        <v>495</v>
      </c>
      <c r="E341" s="1" t="s">
        <v>25</v>
      </c>
      <c r="F341" s="4" t="s">
        <v>2887</v>
      </c>
      <c r="G341" s="4" t="s">
        <v>495</v>
      </c>
      <c r="H341" s="8" t="s">
        <v>1518</v>
      </c>
      <c r="I341" s="4" t="s">
        <v>2866</v>
      </c>
      <c r="J341" s="1" t="s">
        <v>2081</v>
      </c>
      <c r="K341" s="1" t="s">
        <v>744</v>
      </c>
      <c r="L341" s="1" t="s">
        <v>2867</v>
      </c>
      <c r="M341" s="1" t="s">
        <v>2286</v>
      </c>
      <c r="N341" s="1" t="s">
        <v>139</v>
      </c>
      <c r="O341" s="1" t="s">
        <v>366</v>
      </c>
      <c r="Q341" s="1" t="s">
        <v>1911</v>
      </c>
      <c r="R341" s="1" t="s">
        <v>2286</v>
      </c>
      <c r="S341" s="1" t="s">
        <v>70</v>
      </c>
      <c r="T341" s="1" t="s">
        <v>1455</v>
      </c>
      <c r="U341" s="4" t="s">
        <v>2888</v>
      </c>
      <c r="X341" s="1" t="str">
        <f>IFERROR(__xludf.DUMMYFUNCTION("split(F341,"" ,:;.?!"")"),"тому")</f>
        <v>тому</v>
      </c>
      <c r="Y341" s="1" t="str">
        <f>IFERROR(__xludf.DUMMYFUNCTION("""COMPUTED_VALUE"""),"как")</f>
        <v>как</v>
      </c>
      <c r="Z341" s="1" t="str">
        <f>IFERROR(__xludf.DUMMYFUNCTION("""COMPUTED_VALUE"""),"все")</f>
        <v>все</v>
      </c>
      <c r="AA341" s="1" t="str">
        <f>IFERROR(__xludf.DUMMYFUNCTION("""COMPUTED_VALUE"""),"вдруг")</f>
        <v>вдруг</v>
      </c>
      <c r="AB341" s="1" t="str">
        <f>IFERROR(__xludf.DUMMYFUNCTION("""COMPUTED_VALUE"""),"заговорили")</f>
        <v>заговорили</v>
      </c>
      <c r="AC341" s="1" t="str">
        <f>IFERROR(__xludf.DUMMYFUNCTION("""COMPUTED_VALUE"""),"про")</f>
        <v>про</v>
      </c>
    </row>
    <row r="342" ht="14.25" customHeight="1">
      <c r="A342" s="1" t="s">
        <v>626</v>
      </c>
      <c r="B342" s="1" t="s">
        <v>2862</v>
      </c>
      <c r="C342" s="2" t="s">
        <v>2660</v>
      </c>
      <c r="D342" s="7" t="s">
        <v>2863</v>
      </c>
      <c r="E342" s="1" t="s">
        <v>25</v>
      </c>
      <c r="F342" s="4" t="s">
        <v>2889</v>
      </c>
      <c r="G342" s="4" t="s">
        <v>2863</v>
      </c>
      <c r="H342" s="8" t="s">
        <v>2865</v>
      </c>
      <c r="I342" s="4" t="s">
        <v>2866</v>
      </c>
      <c r="J342" s="1" t="s">
        <v>2081</v>
      </c>
      <c r="K342" s="1" t="s">
        <v>744</v>
      </c>
      <c r="L342" s="1" t="s">
        <v>2867</v>
      </c>
      <c r="M342" s="1" t="s">
        <v>2286</v>
      </c>
      <c r="N342" s="1" t="s">
        <v>139</v>
      </c>
      <c r="O342" s="1" t="s">
        <v>366</v>
      </c>
      <c r="Q342" s="1" t="s">
        <v>1911</v>
      </c>
      <c r="R342" s="1" t="s">
        <v>2286</v>
      </c>
      <c r="S342" s="1" t="s">
        <v>70</v>
      </c>
      <c r="T342" s="1" t="s">
        <v>1455</v>
      </c>
      <c r="U342" s="4" t="s">
        <v>2890</v>
      </c>
      <c r="X342" s="1" t="str">
        <f>IFERROR(__xludf.DUMMYFUNCTION("split(F342,"" ,:;.?!"")"),"Молодой")</f>
        <v>Молодой</v>
      </c>
      <c r="Y342" s="1" t="str">
        <f>IFERROR(__xludf.DUMMYFUNCTION("""COMPUTED_VALUE"""),"и")</f>
        <v>и</v>
      </c>
      <c r="Z342" s="1" t="str">
        <f>IFERROR(__xludf.DUMMYFUNCTION("""COMPUTED_VALUE"""),"некрасиво")</f>
        <v>некрасиво</v>
      </c>
      <c r="AA342" s="1" t="str">
        <f>IFERROR(__xludf.DUMMYFUNCTION("""COMPUTED_VALUE"""),"искривил")</f>
        <v>искривил</v>
      </c>
      <c r="AB342" s="1" t="str">
        <f>IFERROR(__xludf.DUMMYFUNCTION("""COMPUTED_VALUE"""),"свое")</f>
        <v>свое</v>
      </c>
      <c r="AC342" s="1" t="str">
        <f>IFERROR(__xludf.DUMMYFUNCTION("""COMPUTED_VALUE"""),"и")</f>
        <v>и</v>
      </c>
    </row>
    <row r="343" ht="14.25" customHeight="1">
      <c r="A343" s="1" t="s">
        <v>2891</v>
      </c>
      <c r="B343" s="1" t="s">
        <v>2862</v>
      </c>
      <c r="C343" s="2" t="s">
        <v>2892</v>
      </c>
      <c r="D343" s="7" t="s">
        <v>2863</v>
      </c>
      <c r="E343" s="1" t="s">
        <v>25</v>
      </c>
      <c r="F343" s="4" t="s">
        <v>2893</v>
      </c>
      <c r="G343" s="4" t="s">
        <v>2863</v>
      </c>
      <c r="H343" s="8" t="s">
        <v>2865</v>
      </c>
      <c r="I343" s="4" t="s">
        <v>2866</v>
      </c>
      <c r="J343" s="1" t="s">
        <v>2081</v>
      </c>
      <c r="K343" s="1" t="s">
        <v>744</v>
      </c>
      <c r="L343" s="1" t="s">
        <v>2867</v>
      </c>
      <c r="M343" s="1" t="s">
        <v>2286</v>
      </c>
      <c r="N343" s="1" t="s">
        <v>139</v>
      </c>
      <c r="O343" s="1" t="s">
        <v>366</v>
      </c>
      <c r="Q343" s="1" t="s">
        <v>1911</v>
      </c>
      <c r="R343" s="1" t="s">
        <v>2286</v>
      </c>
      <c r="S343" s="1" t="s">
        <v>70</v>
      </c>
      <c r="T343" s="1" t="s">
        <v>1455</v>
      </c>
      <c r="U343" s="4" t="s">
        <v>2894</v>
      </c>
      <c r="X343" s="1" t="str">
        <f>IFERROR(__xludf.DUMMYFUNCTION("split(F343,"" ,:;.?!"")"),"Молодой")</f>
        <v>Молодой</v>
      </c>
    </row>
    <row r="344" ht="14.25" customHeight="1">
      <c r="A344" s="1" t="s">
        <v>2895</v>
      </c>
      <c r="B344" s="1" t="s">
        <v>2896</v>
      </c>
      <c r="C344" s="2" t="s">
        <v>2897</v>
      </c>
      <c r="D344" s="7" t="s">
        <v>2898</v>
      </c>
      <c r="E344" s="1" t="s">
        <v>25</v>
      </c>
      <c r="F344" s="4" t="s">
        <v>2899</v>
      </c>
      <c r="G344" s="4" t="s">
        <v>2898</v>
      </c>
      <c r="H344" s="8" t="s">
        <v>2865</v>
      </c>
      <c r="I344" s="4" t="s">
        <v>2866</v>
      </c>
      <c r="J344" s="1" t="s">
        <v>2081</v>
      </c>
      <c r="K344" s="1" t="s">
        <v>744</v>
      </c>
      <c r="L344" s="1" t="s">
        <v>2867</v>
      </c>
      <c r="M344" s="1" t="s">
        <v>2286</v>
      </c>
      <c r="N344" s="1" t="s">
        <v>139</v>
      </c>
      <c r="O344" s="1" t="s">
        <v>366</v>
      </c>
      <c r="Q344" s="1" t="s">
        <v>1911</v>
      </c>
      <c r="R344" s="1" t="s">
        <v>2286</v>
      </c>
      <c r="S344" s="1" t="s">
        <v>70</v>
      </c>
      <c r="T344" s="1" t="s">
        <v>1455</v>
      </c>
      <c r="U344" s="4" t="s">
        <v>2900</v>
      </c>
      <c r="X344" s="1" t="str">
        <f>IFERROR(__xludf.DUMMYFUNCTION("split(F344,"" ,:;.?!"")"),"Молодой")</f>
        <v>Молодой</v>
      </c>
      <c r="Y344" s="1" t="str">
        <f>IFERROR(__xludf.DUMMYFUNCTION("""COMPUTED_VALUE"""),"―")</f>
        <v>―</v>
      </c>
      <c r="Z344" s="1" t="str">
        <f>IFERROR(__xludf.DUMMYFUNCTION("""COMPUTED_VALUE"""),"пару")</f>
        <v>пару</v>
      </c>
      <c r="AA344" s="1" t="str">
        <f>IFERROR(__xludf.DUMMYFUNCTION("""COMPUTED_VALUE"""),"раз")</f>
        <v>раз</v>
      </c>
      <c r="AB344" s="1" t="str">
        <f>IFERROR(__xludf.DUMMYFUNCTION("""COMPUTED_VALUE"""),"Уорхола")</f>
        <v>Уорхола</v>
      </c>
      <c r="AC344" s="1" t="str">
        <f>IFERROR(__xludf.DUMMYFUNCTION("""COMPUTED_VALUE"""),"упомяну")</f>
        <v>упомяну</v>
      </c>
      <c r="AD344" s="1" t="str">
        <f>IFERROR(__xludf.DUMMYFUNCTION("""COMPUTED_VALUE"""),"им")</f>
        <v>им</v>
      </c>
    </row>
    <row r="345" ht="14.25" customHeight="1">
      <c r="A345" s="1" t="s">
        <v>2901</v>
      </c>
      <c r="B345" s="1" t="s">
        <v>2902</v>
      </c>
      <c r="C345" s="2" t="s">
        <v>2903</v>
      </c>
      <c r="D345" s="7" t="s">
        <v>2904</v>
      </c>
      <c r="E345" s="1" t="s">
        <v>25</v>
      </c>
      <c r="F345" s="4" t="s">
        <v>2905</v>
      </c>
      <c r="G345" s="4" t="s">
        <v>2904</v>
      </c>
      <c r="H345" s="8" t="s">
        <v>2906</v>
      </c>
      <c r="I345" s="4" t="s">
        <v>2866</v>
      </c>
      <c r="J345" s="1" t="s">
        <v>2081</v>
      </c>
      <c r="K345" s="1" t="s">
        <v>744</v>
      </c>
      <c r="L345" s="1" t="s">
        <v>2867</v>
      </c>
      <c r="M345" s="1" t="s">
        <v>2286</v>
      </c>
      <c r="N345" s="1" t="s">
        <v>139</v>
      </c>
      <c r="O345" s="1" t="s">
        <v>366</v>
      </c>
      <c r="Q345" s="1" t="s">
        <v>1911</v>
      </c>
      <c r="R345" s="1" t="s">
        <v>2286</v>
      </c>
      <c r="S345" s="1" t="s">
        <v>70</v>
      </c>
      <c r="T345" s="1" t="s">
        <v>1455</v>
      </c>
      <c r="U345" s="4" t="s">
        <v>2907</v>
      </c>
      <c r="X345" s="1" t="str">
        <f>IFERROR(__xludf.DUMMYFUNCTION("split(F345,"" ,:;.?!"")"),"Игоревым")</f>
        <v>Игоревым</v>
      </c>
      <c r="Y345" s="1" t="str">
        <f>IFERROR(__xludf.DUMMYFUNCTION("""COMPUTED_VALUE"""),"недоумением")</f>
        <v>недоумением</v>
      </c>
    </row>
    <row r="346" ht="14.25" customHeight="1">
      <c r="A346" s="1" t="s">
        <v>2908</v>
      </c>
      <c r="B346" s="1" t="s">
        <v>1798</v>
      </c>
      <c r="C346" s="2" t="s">
        <v>2909</v>
      </c>
      <c r="D346" s="7" t="s">
        <v>1800</v>
      </c>
      <c r="E346" s="1" t="s">
        <v>25</v>
      </c>
      <c r="F346" s="4" t="s">
        <v>2910</v>
      </c>
      <c r="G346" s="4" t="s">
        <v>1800</v>
      </c>
      <c r="H346" s="8" t="s">
        <v>2911</v>
      </c>
      <c r="I346" s="4" t="s">
        <v>2912</v>
      </c>
      <c r="J346" s="1" t="s">
        <v>2913</v>
      </c>
      <c r="K346" s="1" t="s">
        <v>1253</v>
      </c>
      <c r="L346" s="1" t="s">
        <v>2914</v>
      </c>
      <c r="M346" s="1" t="s">
        <v>2286</v>
      </c>
      <c r="N346" s="1" t="s">
        <v>139</v>
      </c>
      <c r="O346" s="1" t="s">
        <v>457</v>
      </c>
      <c r="Q346" s="1" t="s">
        <v>1911</v>
      </c>
      <c r="R346" s="1" t="s">
        <v>2286</v>
      </c>
      <c r="S346" s="1" t="s">
        <v>70</v>
      </c>
      <c r="T346" s="1" t="s">
        <v>1455</v>
      </c>
      <c r="U346" s="4" t="s">
        <v>2915</v>
      </c>
      <c r="X346" s="1" t="str">
        <f>IFERROR(__xludf.DUMMYFUNCTION("split(F346,"" ,:;.?!"")"),"Миру")</f>
        <v>Миру</v>
      </c>
      <c r="Y346" s="1" t="str">
        <f>IFERROR(__xludf.DUMMYFUNCTION("""COMPUTED_VALUE"""),"―")</f>
        <v>―</v>
      </c>
      <c r="Z346" s="1" t="str">
        <f>IFERROR(__xludf.DUMMYFUNCTION("""COMPUTED_VALUE"""),"сказал")</f>
        <v>сказал</v>
      </c>
      <c r="AA346" s="1" t="str">
        <f>IFERROR(__xludf.DUMMYFUNCTION("""COMPUTED_VALUE"""),"рокер")</f>
        <v>рокер</v>
      </c>
      <c r="AB346" s="1" t="str">
        <f>IFERROR(__xludf.DUMMYFUNCTION("""COMPUTED_VALUE"""),"―")</f>
        <v>―</v>
      </c>
      <c r="AC346" s="1" t="str">
        <f>IFERROR(__xludf.DUMMYFUNCTION("""COMPUTED_VALUE"""),"она")</f>
        <v>она</v>
      </c>
      <c r="AD346" s="1" t="str">
        <f>IFERROR(__xludf.DUMMYFUNCTION("""COMPUTED_VALUE"""),"всегда")</f>
        <v>всегда</v>
      </c>
      <c r="AE346" s="1" t="str">
        <f>IFERROR(__xludf.DUMMYFUNCTION("""COMPUTED_VALUE"""),"появляется")</f>
        <v>появляется</v>
      </c>
    </row>
    <row r="347" ht="14.25" customHeight="1">
      <c r="A347" s="1" t="s">
        <v>2916</v>
      </c>
      <c r="B347" s="1" t="s">
        <v>1362</v>
      </c>
      <c r="C347" s="2" t="s">
        <v>2917</v>
      </c>
      <c r="D347" s="7" t="s">
        <v>1364</v>
      </c>
      <c r="E347" s="1" t="s">
        <v>25</v>
      </c>
      <c r="F347" s="4" t="s">
        <v>2918</v>
      </c>
      <c r="G347" s="4" t="s">
        <v>1364</v>
      </c>
      <c r="H347" s="8" t="s">
        <v>1740</v>
      </c>
      <c r="I347" s="4" t="s">
        <v>2919</v>
      </c>
      <c r="J347" s="1" t="s">
        <v>2920</v>
      </c>
      <c r="K347" s="1" t="s">
        <v>454</v>
      </c>
      <c r="L347" s="1" t="s">
        <v>2921</v>
      </c>
      <c r="M347" s="1" t="s">
        <v>2286</v>
      </c>
      <c r="N347" s="1" t="s">
        <v>139</v>
      </c>
      <c r="O347" s="1" t="s">
        <v>366</v>
      </c>
      <c r="Q347" s="1" t="s">
        <v>2922</v>
      </c>
      <c r="R347" s="1" t="s">
        <v>2286</v>
      </c>
      <c r="S347" s="1" t="s">
        <v>272</v>
      </c>
      <c r="T347" s="1" t="s">
        <v>1455</v>
      </c>
      <c r="U347" s="4" t="s">
        <v>2923</v>
      </c>
      <c r="X347" s="1" t="str">
        <f>IFERROR(__xludf.DUMMYFUNCTION("split(F347,"" ,:;.?!"")"),"оперу")</f>
        <v>оперу</v>
      </c>
      <c r="Y347" s="1" t="str">
        <f>IFERROR(__xludf.DUMMYFUNCTION("""COMPUTED_VALUE"""),"послушать")</f>
        <v>послушать</v>
      </c>
      <c r="Z347" s="1" t="str">
        <f>IFERROR(__xludf.DUMMYFUNCTION("""COMPUTED_VALUE"""),"—")</f>
        <v>—</v>
      </c>
      <c r="AA347" s="1" t="str">
        <f>IFERROR(__xludf.DUMMYFUNCTION("""COMPUTED_VALUE"""),"в")</f>
        <v>в</v>
      </c>
      <c r="AB347" s="1" t="str">
        <f>IFERROR(__xludf.DUMMYFUNCTION("""COMPUTED_VALUE"""),"семь")</f>
        <v>семь</v>
      </c>
      <c r="AC347" s="1" t="str">
        <f>IFERROR(__xludf.DUMMYFUNCTION("""COMPUTED_VALUE"""),"на")</f>
        <v>на</v>
      </c>
      <c r="AD347" s="1" t="str">
        <f>IFERROR(__xludf.DUMMYFUNCTION("""COMPUTED_VALUE"""),"втором")</f>
        <v>втором</v>
      </c>
    </row>
    <row r="348" ht="14.25" customHeight="1">
      <c r="A348" s="1" t="s">
        <v>2924</v>
      </c>
      <c r="B348" s="1" t="s">
        <v>1362</v>
      </c>
      <c r="C348" s="2" t="s">
        <v>2925</v>
      </c>
      <c r="D348" s="7" t="s">
        <v>1364</v>
      </c>
      <c r="E348" s="1" t="s">
        <v>197</v>
      </c>
      <c r="F348" s="4" t="s">
        <v>2926</v>
      </c>
      <c r="G348" s="4" t="s">
        <v>1364</v>
      </c>
      <c r="H348" s="8" t="s">
        <v>2927</v>
      </c>
      <c r="I348" s="4" t="s">
        <v>2928</v>
      </c>
      <c r="J348" s="1" t="s">
        <v>2929</v>
      </c>
      <c r="L348" s="1" t="s">
        <v>2930</v>
      </c>
      <c r="M348" s="1" t="s">
        <v>2286</v>
      </c>
      <c r="N348" s="1" t="s">
        <v>2366</v>
      </c>
      <c r="O348" s="1" t="s">
        <v>67</v>
      </c>
      <c r="P348" s="1" t="s">
        <v>2931</v>
      </c>
      <c r="Q348" s="1" t="s">
        <v>1996</v>
      </c>
      <c r="R348" s="1" t="s">
        <v>2286</v>
      </c>
      <c r="S348" s="1" t="s">
        <v>70</v>
      </c>
      <c r="T348" s="1" t="s">
        <v>1455</v>
      </c>
      <c r="U348" s="4" t="s">
        <v>2932</v>
      </c>
      <c r="X348" s="1" t="str">
        <f>IFERROR(__xludf.DUMMYFUNCTION("split(F348,"" ,:;.?!"")"),"море")</f>
        <v>море</v>
      </c>
      <c r="Y348" s="1" t="str">
        <f>IFERROR(__xludf.DUMMYFUNCTION("""COMPUTED_VALUE"""),"эсэмэсок")</f>
        <v>эсэмэсок</v>
      </c>
    </row>
    <row r="349" ht="14.25" customHeight="1">
      <c r="A349" s="1" t="s">
        <v>2933</v>
      </c>
      <c r="B349" s="1" t="s">
        <v>2934</v>
      </c>
      <c r="C349" s="2" t="s">
        <v>2935</v>
      </c>
      <c r="D349" s="7" t="s">
        <v>2936</v>
      </c>
      <c r="E349" s="1" t="s">
        <v>626</v>
      </c>
      <c r="F349" s="4" t="s">
        <v>2937</v>
      </c>
      <c r="G349" s="4" t="s">
        <v>2936</v>
      </c>
      <c r="H349" s="8" t="s">
        <v>1715</v>
      </c>
      <c r="I349" s="4" t="s">
        <v>2938</v>
      </c>
      <c r="J349" s="1" t="s">
        <v>2939</v>
      </c>
      <c r="K349" s="1" t="s">
        <v>796</v>
      </c>
      <c r="L349" s="1" t="s">
        <v>2940</v>
      </c>
      <c r="M349" s="1" t="s">
        <v>2286</v>
      </c>
      <c r="N349" s="1" t="s">
        <v>51</v>
      </c>
      <c r="O349" s="1" t="s">
        <v>1372</v>
      </c>
      <c r="P349" s="1" t="s">
        <v>53</v>
      </c>
      <c r="Q349" s="1" t="s">
        <v>1911</v>
      </c>
      <c r="R349" s="1" t="s">
        <v>2286</v>
      </c>
      <c r="S349" s="1" t="s">
        <v>70</v>
      </c>
      <c r="T349" s="1" t="s">
        <v>1455</v>
      </c>
      <c r="U349" s="4" t="s">
        <v>2941</v>
      </c>
      <c r="X349" s="1" t="str">
        <f>IFERROR(__xludf.DUMMYFUNCTION("split(F349,"" ,:;.?!"")"),"настоящим")</f>
        <v>настоящим</v>
      </c>
      <c r="Y349" s="1" t="str">
        <f>IFERROR(__xludf.DUMMYFUNCTION("""COMPUTED_VALUE"""),"Трусливый")</f>
        <v>Трусливый</v>
      </c>
      <c r="Z349" s="1" t="str">
        <f>IFERROR(__xludf.DUMMYFUNCTION("""COMPUTED_VALUE"""),"Лев")</f>
        <v>Лев</v>
      </c>
      <c r="AA349" s="1" t="str">
        <f>IFERROR(__xludf.DUMMYFUNCTION("""COMPUTED_VALUE"""),"мечтает")</f>
        <v>мечтает</v>
      </c>
      <c r="AB349" s="1" t="str">
        <f>IFERROR(__xludf.DUMMYFUNCTION("""COMPUTED_VALUE"""),"о")</f>
        <v>о</v>
      </c>
      <c r="AC349" s="1" t="str">
        <f>IFERROR(__xludf.DUMMYFUNCTION("""COMPUTED_VALUE"""),"будущем")</f>
        <v>будущем</v>
      </c>
    </row>
    <row r="350" ht="14.25" customHeight="1">
      <c r="A350" s="1" t="s">
        <v>2942</v>
      </c>
      <c r="B350" s="1" t="s">
        <v>2493</v>
      </c>
      <c r="C350" s="2" t="s">
        <v>2943</v>
      </c>
      <c r="D350" s="7" t="s">
        <v>2495</v>
      </c>
      <c r="E350" s="1" t="s">
        <v>25</v>
      </c>
      <c r="F350" s="4" t="s">
        <v>2944</v>
      </c>
      <c r="G350" s="4" t="s">
        <v>2495</v>
      </c>
      <c r="H350" s="8" t="s">
        <v>2945</v>
      </c>
      <c r="I350" s="4" t="s">
        <v>2946</v>
      </c>
      <c r="J350" s="1" t="s">
        <v>2947</v>
      </c>
      <c r="K350" s="1" t="s">
        <v>2948</v>
      </c>
      <c r="L350" s="1" t="s">
        <v>2949</v>
      </c>
      <c r="M350" s="1" t="s">
        <v>2286</v>
      </c>
      <c r="N350" s="1" t="s">
        <v>139</v>
      </c>
      <c r="O350" s="1" t="s">
        <v>284</v>
      </c>
      <c r="Q350" s="1" t="s">
        <v>1911</v>
      </c>
      <c r="R350" s="1" t="s">
        <v>2286</v>
      </c>
      <c r="S350" s="1" t="s">
        <v>70</v>
      </c>
      <c r="T350" s="1" t="s">
        <v>1455</v>
      </c>
      <c r="U350" s="4" t="s">
        <v>2950</v>
      </c>
      <c r="X350" s="1" t="str">
        <f>IFERROR(__xludf.DUMMYFUNCTION("split(F350,"" ,:;.?!"")"),"истории")</f>
        <v>истории</v>
      </c>
      <c r="Y350" s="1" t="str">
        <f>IFERROR(__xludf.DUMMYFUNCTION("""COMPUTED_VALUE"""),"как")</f>
        <v>как</v>
      </c>
      <c r="Z350" s="1" t="str">
        <f>IFERROR(__xludf.DUMMYFUNCTION("""COMPUTED_VALUE"""),"истории")</f>
        <v>истории</v>
      </c>
      <c r="AA350" s="1" t="str">
        <f>IFERROR(__xludf.DUMMYFUNCTION("""COMPUTED_VALUE"""),"отсутствия")</f>
        <v>отсутствия</v>
      </c>
      <c r="AB350" s="1" t="str">
        <f>IFERROR(__xludf.DUMMYFUNCTION("""COMPUTED_VALUE"""),"истины…")</f>
        <v>истины…</v>
      </c>
    </row>
    <row r="351" ht="14.25" customHeight="1">
      <c r="A351" s="1" t="s">
        <v>2951</v>
      </c>
      <c r="B351" s="1" t="s">
        <v>1445</v>
      </c>
      <c r="C351" s="2" t="s">
        <v>2952</v>
      </c>
      <c r="D351" s="7" t="s">
        <v>1447</v>
      </c>
      <c r="E351" s="1" t="s">
        <v>25</v>
      </c>
      <c r="F351" s="4" t="s">
        <v>2953</v>
      </c>
      <c r="G351" s="4" t="s">
        <v>1447</v>
      </c>
      <c r="H351" s="8" t="s">
        <v>2954</v>
      </c>
      <c r="I351" s="4" t="s">
        <v>2955</v>
      </c>
      <c r="J351" s="1" t="s">
        <v>2956</v>
      </c>
      <c r="K351" s="1" t="s">
        <v>1295</v>
      </c>
      <c r="L351" s="1" t="s">
        <v>2957</v>
      </c>
      <c r="M351" s="1" t="s">
        <v>2286</v>
      </c>
      <c r="N351" s="1" t="s">
        <v>139</v>
      </c>
      <c r="O351" s="1" t="s">
        <v>962</v>
      </c>
      <c r="Q351" s="1" t="s">
        <v>2958</v>
      </c>
      <c r="R351" s="1" t="s">
        <v>2286</v>
      </c>
      <c r="S351" s="1" t="s">
        <v>272</v>
      </c>
      <c r="T351" s="1" t="s">
        <v>1455</v>
      </c>
      <c r="U351" s="4" t="s">
        <v>2959</v>
      </c>
      <c r="X351" s="1" t="str">
        <f>IFERROR(__xludf.DUMMYFUNCTION("split(F351,"" ,:;.?!"")"),"маме")</f>
        <v>маме</v>
      </c>
      <c r="Y351" s="1" t="str">
        <f>IFERROR(__xludf.DUMMYFUNCTION("""COMPUTED_VALUE"""),"мешали")</f>
        <v>мешали</v>
      </c>
      <c r="Z351" s="1" t="str">
        <f>IFERROR(__xludf.DUMMYFUNCTION("""COMPUTED_VALUE"""),"принципы")</f>
        <v>принципы</v>
      </c>
      <c r="AA351" s="1" t="str">
        <f>IFERROR(__xludf.DUMMYFUNCTION("""COMPUTED_VALUE"""),"мама")</f>
        <v>мама</v>
      </c>
      <c r="AB351" s="1" t="str">
        <f>IFERROR(__xludf.DUMMYFUNCTION("""COMPUTED_VALUE"""),"считала")</f>
        <v>считала</v>
      </c>
      <c r="AC351" s="1" t="str">
        <f>IFERROR(__xludf.DUMMYFUNCTION("""COMPUTED_VALUE"""),"что")</f>
        <v>что</v>
      </c>
    </row>
    <row r="352" ht="14.25" customHeight="1">
      <c r="A352" s="1" t="s">
        <v>2960</v>
      </c>
      <c r="B352" s="1" t="s">
        <v>1527</v>
      </c>
      <c r="C352" s="2" t="s">
        <v>2961</v>
      </c>
      <c r="D352" s="7" t="s">
        <v>1529</v>
      </c>
      <c r="E352" s="1" t="s">
        <v>25</v>
      </c>
      <c r="F352" s="4" t="s">
        <v>2962</v>
      </c>
      <c r="G352" s="4" t="s">
        <v>1529</v>
      </c>
      <c r="H352" s="8" t="s">
        <v>2963</v>
      </c>
      <c r="I352" s="4" t="s">
        <v>2955</v>
      </c>
      <c r="J352" s="1" t="s">
        <v>2956</v>
      </c>
      <c r="K352" s="1" t="s">
        <v>1295</v>
      </c>
      <c r="L352" s="1" t="s">
        <v>2957</v>
      </c>
      <c r="M352" s="1" t="s">
        <v>2286</v>
      </c>
      <c r="N352" s="1" t="s">
        <v>139</v>
      </c>
      <c r="O352" s="1" t="s">
        <v>962</v>
      </c>
      <c r="Q352" s="1" t="s">
        <v>2958</v>
      </c>
      <c r="R352" s="1" t="s">
        <v>2286</v>
      </c>
      <c r="S352" s="1" t="s">
        <v>272</v>
      </c>
      <c r="T352" s="1" t="s">
        <v>1455</v>
      </c>
      <c r="U352" s="4" t="s">
        <v>2964</v>
      </c>
      <c r="X352" s="1" t="str">
        <f>IFERROR(__xludf.DUMMYFUNCTION("split(F352,"" ,:;.?!"")"),"очереди")</f>
        <v>очереди</v>
      </c>
      <c r="Y352" s="1" t="str">
        <f>IFERROR(__xludf.DUMMYFUNCTION("""COMPUTED_VALUE"""),"среди")</f>
        <v>среди</v>
      </c>
      <c r="Z352" s="1" t="str">
        <f>IFERROR(__xludf.DUMMYFUNCTION("""COMPUTED_VALUE"""),"криков")</f>
        <v>криков</v>
      </c>
      <c r="AA352" s="1" t="str">
        <f>IFERROR(__xludf.DUMMYFUNCTION("""COMPUTED_VALUE"""),"граждан")</f>
        <v>граждан</v>
      </c>
      <c r="AB352" s="1" t="str">
        <f>IFERROR(__xludf.DUMMYFUNCTION("""COMPUTED_VALUE"""),"и")</f>
        <v>и</v>
      </c>
      <c r="AC352" s="1" t="str">
        <f>IFERROR(__xludf.DUMMYFUNCTION("""COMPUTED_VALUE"""),"крикнуть")</f>
        <v>крикнуть</v>
      </c>
    </row>
    <row r="353" ht="14.25" customHeight="1">
      <c r="A353" s="1" t="s">
        <v>2965</v>
      </c>
      <c r="B353" s="1" t="s">
        <v>2966</v>
      </c>
      <c r="C353" s="2" t="s">
        <v>2967</v>
      </c>
      <c r="D353" s="7" t="s">
        <v>2968</v>
      </c>
      <c r="E353" s="1" t="s">
        <v>626</v>
      </c>
      <c r="F353" s="4" t="s">
        <v>2969</v>
      </c>
      <c r="G353" s="4" t="s">
        <v>2968</v>
      </c>
      <c r="H353" s="8" t="s">
        <v>2970</v>
      </c>
      <c r="I353" s="4" t="s">
        <v>2955</v>
      </c>
      <c r="J353" s="1" t="s">
        <v>2956</v>
      </c>
      <c r="K353" s="1" t="s">
        <v>1295</v>
      </c>
      <c r="L353" s="1" t="s">
        <v>2957</v>
      </c>
      <c r="M353" s="1" t="s">
        <v>2286</v>
      </c>
      <c r="N353" s="1" t="s">
        <v>139</v>
      </c>
      <c r="O353" s="1" t="s">
        <v>962</v>
      </c>
      <c r="Q353" s="1" t="s">
        <v>2958</v>
      </c>
      <c r="R353" s="1" t="s">
        <v>2286</v>
      </c>
      <c r="S353" s="1" t="s">
        <v>272</v>
      </c>
      <c r="T353" s="1" t="s">
        <v>1455</v>
      </c>
      <c r="U353" s="4" t="s">
        <v>2971</v>
      </c>
      <c r="X353" s="1" t="str">
        <f>IFERROR(__xludf.DUMMYFUNCTION("split(F353,"" ,:;.?!"")"),"чаю")</f>
        <v>чаю</v>
      </c>
      <c r="Y353" s="1" t="str">
        <f>IFERROR(__xludf.DUMMYFUNCTION("""COMPUTED_VALUE"""),"дает…»")</f>
        <v>дает…»</v>
      </c>
    </row>
    <row r="354" ht="14.25" customHeight="1">
      <c r="A354" s="1" t="s">
        <v>2972</v>
      </c>
      <c r="B354" s="1" t="s">
        <v>2675</v>
      </c>
      <c r="C354" s="2" t="s">
        <v>2973</v>
      </c>
      <c r="D354" s="7" t="s">
        <v>2677</v>
      </c>
      <c r="E354" s="1" t="s">
        <v>25</v>
      </c>
      <c r="F354" s="4" t="s">
        <v>2974</v>
      </c>
      <c r="G354" s="4" t="s">
        <v>2677</v>
      </c>
      <c r="H354" s="8" t="s">
        <v>2975</v>
      </c>
      <c r="I354" s="4" t="s">
        <v>2976</v>
      </c>
      <c r="J354" s="1" t="s">
        <v>2977</v>
      </c>
      <c r="K354" s="1" t="s">
        <v>810</v>
      </c>
      <c r="L354" s="1" t="s">
        <v>2978</v>
      </c>
      <c r="M354" s="1" t="s">
        <v>2286</v>
      </c>
      <c r="N354" s="1" t="s">
        <v>51</v>
      </c>
      <c r="O354" s="1" t="s">
        <v>1372</v>
      </c>
      <c r="P354" s="1" t="s">
        <v>53</v>
      </c>
      <c r="Q354" s="1" t="s">
        <v>1911</v>
      </c>
      <c r="R354" s="1" t="s">
        <v>2286</v>
      </c>
      <c r="S354" s="1" t="s">
        <v>70</v>
      </c>
      <c r="T354" s="1" t="s">
        <v>1455</v>
      </c>
      <c r="U354" s="4" t="s">
        <v>2979</v>
      </c>
      <c r="X354" s="1" t="str">
        <f>IFERROR(__xludf.DUMMYFUNCTION("split(F354,"" ,:;.?!"")"),"стерильности")</f>
        <v>стерильности</v>
      </c>
      <c r="Y354" s="1" t="str">
        <f>IFERROR(__xludf.DUMMYFUNCTION("""COMPUTED_VALUE"""),"и")</f>
        <v>и</v>
      </c>
      <c r="Z354" s="1" t="str">
        <f>IFERROR(__xludf.DUMMYFUNCTION("""COMPUTED_VALUE"""),"правильности")</f>
        <v>правильности</v>
      </c>
    </row>
    <row r="355" ht="14.25" customHeight="1">
      <c r="A355" s="1" t="s">
        <v>2980</v>
      </c>
      <c r="B355" s="1" t="s">
        <v>1567</v>
      </c>
      <c r="C355" s="2" t="s">
        <v>2981</v>
      </c>
      <c r="D355" s="7" t="s">
        <v>1569</v>
      </c>
      <c r="E355" s="1" t="s">
        <v>25</v>
      </c>
      <c r="F355" s="4" t="s">
        <v>2982</v>
      </c>
      <c r="G355" s="4" t="s">
        <v>1569</v>
      </c>
      <c r="H355" s="8" t="s">
        <v>1571</v>
      </c>
      <c r="I355" s="4" t="s">
        <v>2983</v>
      </c>
      <c r="J355" s="1" t="s">
        <v>2191</v>
      </c>
      <c r="K355" s="1" t="s">
        <v>2192</v>
      </c>
      <c r="L355" s="1" t="s">
        <v>2984</v>
      </c>
      <c r="M355" s="1" t="s">
        <v>2286</v>
      </c>
      <c r="N355" s="1" t="s">
        <v>139</v>
      </c>
      <c r="O355" s="1" t="s">
        <v>457</v>
      </c>
      <c r="Q355" s="1" t="s">
        <v>1911</v>
      </c>
      <c r="R355" s="1" t="s">
        <v>2286</v>
      </c>
      <c r="S355" s="1" t="s">
        <v>70</v>
      </c>
      <c r="T355" s="1" t="s">
        <v>1455</v>
      </c>
      <c r="U355" s="4" t="s">
        <v>2985</v>
      </c>
      <c r="X355" s="1" t="str">
        <f>IFERROR(__xludf.DUMMYFUNCTION("split(F355,"" ,:;.?!"")"),"тишину")</f>
        <v>тишину</v>
      </c>
      <c r="Y355" s="1" t="str">
        <f>IFERROR(__xludf.DUMMYFUNCTION("""COMPUTED_VALUE"""),"и")</f>
        <v>и</v>
      </c>
      <c r="Z355" s="1" t="str">
        <f>IFERROR(__xludf.DUMMYFUNCTION("""COMPUTED_VALUE"""),"узкогрудому")</f>
        <v>узкогрудому</v>
      </c>
      <c r="AA355" s="1" t="str">
        <f>IFERROR(__xludf.DUMMYFUNCTION("""COMPUTED_VALUE"""),"но")</f>
        <v>но</v>
      </c>
      <c r="AB355" s="1" t="str">
        <f>IFERROR(__xludf.DUMMYFUNCTION("""COMPUTED_VALUE"""),"жилистому")</f>
        <v>жилистому</v>
      </c>
      <c r="AC355" s="1" t="str">
        <f>IFERROR(__xludf.DUMMYFUNCTION("""COMPUTED_VALUE"""),"Игорю")</f>
        <v>Игорю</v>
      </c>
    </row>
    <row r="356" ht="14.25" customHeight="1">
      <c r="A356" s="1" t="s">
        <v>2986</v>
      </c>
      <c r="B356" s="1" t="s">
        <v>1070</v>
      </c>
      <c r="C356" s="2" t="s">
        <v>2987</v>
      </c>
      <c r="D356" s="7" t="s">
        <v>1072</v>
      </c>
      <c r="E356" s="1" t="s">
        <v>25</v>
      </c>
      <c r="F356" s="4" t="s">
        <v>2988</v>
      </c>
      <c r="G356" s="4" t="s">
        <v>1072</v>
      </c>
      <c r="H356" s="8" t="s">
        <v>2989</v>
      </c>
      <c r="I356" s="4" t="s">
        <v>2990</v>
      </c>
      <c r="J356" s="1" t="s">
        <v>2991</v>
      </c>
      <c r="K356" s="1" t="s">
        <v>848</v>
      </c>
      <c r="L356" s="1" t="s">
        <v>2992</v>
      </c>
      <c r="M356" s="1" t="s">
        <v>2286</v>
      </c>
      <c r="N356" s="1" t="s">
        <v>139</v>
      </c>
      <c r="O356" s="1" t="s">
        <v>366</v>
      </c>
      <c r="Q356" s="1" t="s">
        <v>1911</v>
      </c>
      <c r="R356" s="1" t="s">
        <v>2286</v>
      </c>
      <c r="S356" s="1" t="s">
        <v>70</v>
      </c>
      <c r="T356" s="1" t="s">
        <v>1455</v>
      </c>
      <c r="U356" s="4" t="s">
        <v>2993</v>
      </c>
      <c r="X356" s="1" t="str">
        <f>IFERROR(__xludf.DUMMYFUNCTION("split(F356,"" ,:;.?!"")"),"Алёне")</f>
        <v>Алёне</v>
      </c>
      <c r="Y356" s="1" t="str">
        <f>IFERROR(__xludf.DUMMYFUNCTION("""COMPUTED_VALUE"""),"бирюзу")</f>
        <v>бирюзу</v>
      </c>
      <c r="Z356" s="1" t="str">
        <f>IFERROR(__xludf.DUMMYFUNCTION("""COMPUTED_VALUE"""),"купить")</f>
        <v>купить</v>
      </c>
    </row>
    <row r="357" ht="14.25" customHeight="1">
      <c r="A357" s="1" t="s">
        <v>429</v>
      </c>
      <c r="B357" s="1" t="s">
        <v>1999</v>
      </c>
      <c r="C357" s="2" t="s">
        <v>430</v>
      </c>
      <c r="D357" s="7" t="s">
        <v>2001</v>
      </c>
      <c r="E357" s="1" t="s">
        <v>25</v>
      </c>
      <c r="F357" s="4" t="s">
        <v>2994</v>
      </c>
      <c r="G357" s="4" t="s">
        <v>2001</v>
      </c>
      <c r="H357" s="8" t="s">
        <v>2532</v>
      </c>
      <c r="I357" s="4" t="s">
        <v>2990</v>
      </c>
      <c r="J357" s="1" t="s">
        <v>2991</v>
      </c>
      <c r="K357" s="1" t="s">
        <v>848</v>
      </c>
      <c r="L357" s="1" t="s">
        <v>2992</v>
      </c>
      <c r="M357" s="1" t="s">
        <v>2286</v>
      </c>
      <c r="N357" s="1" t="s">
        <v>139</v>
      </c>
      <c r="O357" s="1" t="s">
        <v>366</v>
      </c>
      <c r="Q357" s="1" t="s">
        <v>1911</v>
      </c>
      <c r="R357" s="1" t="s">
        <v>2286</v>
      </c>
      <c r="S357" s="1" t="s">
        <v>70</v>
      </c>
      <c r="T357" s="1" t="s">
        <v>1455</v>
      </c>
      <c r="U357" s="4" t="s">
        <v>2995</v>
      </c>
      <c r="X357" s="1" t="str">
        <f>IFERROR(__xludf.DUMMYFUNCTION("split(F357,"" ,:;.?!"")"),"Марину")</f>
        <v>Марину</v>
      </c>
      <c r="Y357" s="1" t="str">
        <f>IFERROR(__xludf.DUMMYFUNCTION("""COMPUTED_VALUE"""),"то")</f>
        <v>то</v>
      </c>
      <c r="Z357" s="1" t="str">
        <f>IFERROR(__xludf.DUMMYFUNCTION("""COMPUTED_VALUE"""),"есть")</f>
        <v>есть</v>
      </c>
      <c r="AA357" s="1" t="str">
        <f>IFERROR(__xludf.DUMMYFUNCTION("""COMPUTED_VALUE"""),"―")</f>
        <v>―</v>
      </c>
      <c r="AB357" s="1" t="str">
        <f>IFERROR(__xludf.DUMMYFUNCTION("""COMPUTED_VALUE"""),"бездельник")</f>
        <v>бездельник</v>
      </c>
      <c r="AC357" s="1" t="str">
        <f>IFERROR(__xludf.DUMMYFUNCTION("""COMPUTED_VALUE"""),"сын")</f>
        <v>сын</v>
      </c>
      <c r="AD357" s="1" t="str">
        <f>IFERROR(__xludf.DUMMYFUNCTION("""COMPUTED_VALUE"""),"жалел")</f>
        <v>жалел</v>
      </c>
    </row>
    <row r="358" ht="14.25" customHeight="1">
      <c r="A358" s="1" t="s">
        <v>25</v>
      </c>
      <c r="B358" s="1" t="s">
        <v>1474</v>
      </c>
      <c r="C358" s="2"/>
      <c r="D358" s="7" t="s">
        <v>1475</v>
      </c>
      <c r="E358" s="1" t="s">
        <v>25</v>
      </c>
      <c r="F358" s="4" t="s">
        <v>2996</v>
      </c>
      <c r="G358" s="4" t="s">
        <v>1475</v>
      </c>
      <c r="H358" s="8" t="s">
        <v>1666</v>
      </c>
      <c r="I358" s="4" t="s">
        <v>2990</v>
      </c>
      <c r="J358" s="1" t="s">
        <v>2991</v>
      </c>
      <c r="K358" s="1" t="s">
        <v>848</v>
      </c>
      <c r="L358" s="1" t="s">
        <v>2992</v>
      </c>
      <c r="M358" s="1" t="s">
        <v>2286</v>
      </c>
      <c r="N358" s="1" t="s">
        <v>139</v>
      </c>
      <c r="O358" s="1" t="s">
        <v>366</v>
      </c>
      <c r="Q358" s="1" t="s">
        <v>1911</v>
      </c>
      <c r="R358" s="1" t="s">
        <v>2286</v>
      </c>
      <c r="S358" s="1" t="s">
        <v>70</v>
      </c>
      <c r="T358" s="1" t="s">
        <v>1455</v>
      </c>
      <c r="U358" s="4" t="s">
        <v>2997</v>
      </c>
      <c r="X358" s="1" t="str">
        <f>IFERROR(__xludf.DUMMYFUNCTION("split(F358,"" ,:;.?!"")"),"были")</f>
        <v>были</v>
      </c>
      <c r="Y358" s="1" t="str">
        <f>IFERROR(__xludf.DUMMYFUNCTION("""COMPUTED_VALUE"""),"предпосылки")</f>
        <v>предпосылки</v>
      </c>
      <c r="Z358" s="1" t="str">
        <f>IFERROR(__xludf.DUMMYFUNCTION("""COMPUTED_VALUE"""),"он")</f>
        <v>он</v>
      </c>
      <c r="AA358" s="1" t="str">
        <f>IFERROR(__xludf.DUMMYFUNCTION("""COMPUTED_VALUE"""),"явно")</f>
        <v>явно</v>
      </c>
      <c r="AB358" s="1" t="str">
        <f>IFERROR(__xludf.DUMMYFUNCTION("""COMPUTED_VALUE"""),"болел")</f>
        <v>болел</v>
      </c>
      <c r="AC358" s="1" t="str">
        <f>IFERROR(__xludf.DUMMYFUNCTION("""COMPUTED_VALUE"""),"пневмонией")</f>
        <v>пневмонией</v>
      </c>
    </row>
    <row r="359" ht="14.25" customHeight="1">
      <c r="A359" s="1" t="s">
        <v>2998</v>
      </c>
      <c r="B359" s="1" t="s">
        <v>719</v>
      </c>
      <c r="C359" s="2" t="s">
        <v>2999</v>
      </c>
      <c r="D359" s="7" t="s">
        <v>721</v>
      </c>
      <c r="E359" s="1" t="s">
        <v>25</v>
      </c>
      <c r="F359" s="4" t="s">
        <v>3000</v>
      </c>
      <c r="G359" s="4" t="s">
        <v>721</v>
      </c>
      <c r="H359" s="8" t="s">
        <v>2532</v>
      </c>
      <c r="I359" s="4" t="s">
        <v>2990</v>
      </c>
      <c r="J359" s="1" t="s">
        <v>2991</v>
      </c>
      <c r="K359" s="1" t="s">
        <v>848</v>
      </c>
      <c r="L359" s="1" t="s">
        <v>2992</v>
      </c>
      <c r="M359" s="1" t="s">
        <v>2286</v>
      </c>
      <c r="N359" s="1" t="s">
        <v>139</v>
      </c>
      <c r="O359" s="1" t="s">
        <v>366</v>
      </c>
      <c r="Q359" s="1" t="s">
        <v>1911</v>
      </c>
      <c r="R359" s="1" t="s">
        <v>2286</v>
      </c>
      <c r="S359" s="1" t="s">
        <v>70</v>
      </c>
      <c r="T359" s="1" t="s">
        <v>1455</v>
      </c>
      <c r="U359" s="4" t="s">
        <v>3001</v>
      </c>
      <c r="X359" s="1" t="str">
        <f>IFERROR(__xludf.DUMMYFUNCTION("split(F359,"" ,:;.?!"")"),"Марину")</f>
        <v>Марину</v>
      </c>
      <c r="Y359" s="1" t="str">
        <f>IFERROR(__xludf.DUMMYFUNCTION("""COMPUTED_VALUE"""),"ударить")</f>
        <v>ударить</v>
      </c>
    </row>
    <row r="360" ht="14.25" customHeight="1">
      <c r="A360" s="1" t="s">
        <v>3002</v>
      </c>
      <c r="B360" s="1" t="s">
        <v>1736</v>
      </c>
      <c r="C360" s="2" t="s">
        <v>3003</v>
      </c>
      <c r="D360" s="7" t="s">
        <v>1738</v>
      </c>
      <c r="E360" s="1" t="s">
        <v>25</v>
      </c>
      <c r="F360" s="4" t="s">
        <v>3004</v>
      </c>
      <c r="G360" s="4" t="s">
        <v>1738</v>
      </c>
      <c r="H360" s="8" t="s">
        <v>3005</v>
      </c>
      <c r="I360" s="4" t="s">
        <v>2990</v>
      </c>
      <c r="J360" s="1" t="s">
        <v>2991</v>
      </c>
      <c r="K360" s="1" t="s">
        <v>848</v>
      </c>
      <c r="L360" s="1" t="s">
        <v>2992</v>
      </c>
      <c r="M360" s="1" t="s">
        <v>2286</v>
      </c>
      <c r="N360" s="1" t="s">
        <v>139</v>
      </c>
      <c r="O360" s="1" t="s">
        <v>366</v>
      </c>
      <c r="Q360" s="1" t="s">
        <v>1911</v>
      </c>
      <c r="R360" s="1" t="s">
        <v>2286</v>
      </c>
      <c r="S360" s="1" t="s">
        <v>70</v>
      </c>
      <c r="T360" s="1" t="s">
        <v>1455</v>
      </c>
      <c r="U360" s="4" t="s">
        <v>3006</v>
      </c>
      <c r="X360" s="1" t="str">
        <f>IFERROR(__xludf.DUMMYFUNCTION("split(F360,"" ,:;.?!"")"),"решительности")</f>
        <v>решительности</v>
      </c>
      <c r="Y360" s="1" t="str">
        <f>IFERROR(__xludf.DUMMYFUNCTION("""COMPUTED_VALUE"""),"в")</f>
        <v>в</v>
      </c>
      <c r="Z360" s="1" t="str">
        <f>IFERROR(__xludf.DUMMYFUNCTION("""COMPUTED_VALUE"""),"женщинах")</f>
        <v>женщинах</v>
      </c>
    </row>
    <row r="361" ht="14.25" customHeight="1">
      <c r="A361" s="1" t="s">
        <v>3007</v>
      </c>
      <c r="B361" s="1" t="s">
        <v>3008</v>
      </c>
      <c r="C361" s="2" t="s">
        <v>3009</v>
      </c>
      <c r="D361" s="7" t="s">
        <v>3010</v>
      </c>
      <c r="E361" s="1" t="s">
        <v>25</v>
      </c>
      <c r="F361" s="4" t="s">
        <v>3011</v>
      </c>
      <c r="G361" s="4" t="s">
        <v>3010</v>
      </c>
      <c r="H361" s="8" t="s">
        <v>3012</v>
      </c>
      <c r="I361" s="4" t="s">
        <v>2990</v>
      </c>
      <c r="J361" s="1" t="s">
        <v>2991</v>
      </c>
      <c r="K361" s="1" t="s">
        <v>848</v>
      </c>
      <c r="L361" s="1" t="s">
        <v>2992</v>
      </c>
      <c r="M361" s="1" t="s">
        <v>2286</v>
      </c>
      <c r="N361" s="1" t="s">
        <v>139</v>
      </c>
      <c r="O361" s="1" t="s">
        <v>366</v>
      </c>
      <c r="Q361" s="1" t="s">
        <v>1911</v>
      </c>
      <c r="R361" s="1" t="s">
        <v>2286</v>
      </c>
      <c r="S361" s="1" t="s">
        <v>70</v>
      </c>
      <c r="T361" s="1" t="s">
        <v>1455</v>
      </c>
      <c r="U361" s="4" t="s">
        <v>3013</v>
      </c>
      <c r="X361" s="1" t="str">
        <f>IFERROR(__xludf.DUMMYFUNCTION("split(F361,"" ,:;.?!"")"),"паузе")</f>
        <v>паузе</v>
      </c>
      <c r="Y361" s="1" t="str">
        <f>IFERROR(__xludf.DUMMYFUNCTION("""COMPUTED_VALUE"""),"расставил")</f>
        <v>расставил</v>
      </c>
      <c r="Z361" s="1" t="str">
        <f>IFERROR(__xludf.DUMMYFUNCTION("""COMPUTED_VALUE"""),"чашки")</f>
        <v>чашки</v>
      </c>
      <c r="AA361" s="1" t="str">
        <f>IFERROR(__xludf.DUMMYFUNCTION("""COMPUTED_VALUE"""),"и")</f>
        <v>и</v>
      </c>
      <c r="AB361" s="1" t="str">
        <f>IFERROR(__xludf.DUMMYFUNCTION("""COMPUTED_VALUE"""),"налил")</f>
        <v>налил</v>
      </c>
      <c r="AC361" s="1" t="str">
        <f>IFERROR(__xludf.DUMMYFUNCTION("""COMPUTED_VALUE"""),"в")</f>
        <v>в</v>
      </c>
    </row>
    <row r="362" ht="14.25" customHeight="1">
      <c r="A362" s="1" t="s">
        <v>3014</v>
      </c>
      <c r="B362" s="1" t="s">
        <v>1445</v>
      </c>
      <c r="C362" s="2" t="s">
        <v>3015</v>
      </c>
      <c r="D362" s="7" t="s">
        <v>1447</v>
      </c>
      <c r="E362" s="1" t="s">
        <v>25</v>
      </c>
      <c r="F362" s="4" t="s">
        <v>3016</v>
      </c>
      <c r="G362" s="4" t="s">
        <v>1447</v>
      </c>
      <c r="H362" s="8" t="s">
        <v>3017</v>
      </c>
      <c r="I362" s="4" t="s">
        <v>3018</v>
      </c>
      <c r="J362" s="1" t="s">
        <v>2991</v>
      </c>
      <c r="K362" s="1" t="s">
        <v>848</v>
      </c>
      <c r="L362" s="1" t="s">
        <v>3019</v>
      </c>
      <c r="M362" s="1" t="s">
        <v>2286</v>
      </c>
      <c r="N362" s="1" t="s">
        <v>139</v>
      </c>
      <c r="O362" s="1" t="s">
        <v>366</v>
      </c>
      <c r="Q362" s="1" t="s">
        <v>1911</v>
      </c>
      <c r="R362" s="1" t="s">
        <v>2286</v>
      </c>
      <c r="S362" s="1" t="s">
        <v>70</v>
      </c>
      <c r="T362" s="1" t="s">
        <v>1455</v>
      </c>
      <c r="U362" s="4" t="s">
        <v>3020</v>
      </c>
      <c r="X362" s="1" t="str">
        <f>IFERROR(__xludf.DUMMYFUNCTION("split(F362,"" ,:;.?!"")"),"Руслану")</f>
        <v>Руслану</v>
      </c>
      <c r="Y362" s="1" t="str">
        <f>IFERROR(__xludf.DUMMYFUNCTION("""COMPUTED_VALUE"""),"казалось")</f>
        <v>казалось</v>
      </c>
      <c r="Z362" s="1" t="str">
        <f>IFERROR(__xludf.DUMMYFUNCTION("""COMPUTED_VALUE"""),"что")</f>
        <v>что</v>
      </c>
      <c r="AA362" s="1" t="str">
        <f>IFERROR(__xludf.DUMMYFUNCTION("""COMPUTED_VALUE"""),"совсем")</f>
        <v>совсем</v>
      </c>
      <c r="AB362" s="1" t="str">
        <f>IFERROR(__xludf.DUMMYFUNCTION("""COMPUTED_VALUE"""),"не")</f>
        <v>не</v>
      </c>
      <c r="AC362" s="1" t="str">
        <f>IFERROR(__xludf.DUMMYFUNCTION("""COMPUTED_VALUE"""),"отличается")</f>
        <v>отличается</v>
      </c>
    </row>
    <row r="363" ht="14.25" customHeight="1">
      <c r="A363" s="1" t="s">
        <v>3021</v>
      </c>
      <c r="B363" s="1" t="s">
        <v>1798</v>
      </c>
      <c r="C363" s="2" t="s">
        <v>3022</v>
      </c>
      <c r="D363" s="7" t="s">
        <v>1800</v>
      </c>
      <c r="E363" s="1" t="s">
        <v>25</v>
      </c>
      <c r="F363" s="4" t="s">
        <v>3023</v>
      </c>
      <c r="G363" s="4" t="s">
        <v>1800</v>
      </c>
      <c r="H363" s="8" t="s">
        <v>3024</v>
      </c>
      <c r="I363" s="4" t="s">
        <v>3018</v>
      </c>
      <c r="J363" s="1" t="s">
        <v>2991</v>
      </c>
      <c r="K363" s="1" t="s">
        <v>848</v>
      </c>
      <c r="L363" s="1" t="s">
        <v>3019</v>
      </c>
      <c r="M363" s="1" t="s">
        <v>2286</v>
      </c>
      <c r="N363" s="1" t="s">
        <v>139</v>
      </c>
      <c r="O363" s="1" t="s">
        <v>366</v>
      </c>
      <c r="Q363" s="1" t="s">
        <v>1911</v>
      </c>
      <c r="R363" s="1" t="s">
        <v>2286</v>
      </c>
      <c r="S363" s="1" t="s">
        <v>70</v>
      </c>
      <c r="T363" s="1" t="s">
        <v>1455</v>
      </c>
      <c r="U363" s="4" t="s">
        <v>3025</v>
      </c>
      <c r="X363" s="1" t="str">
        <f>IFERROR(__xludf.DUMMYFUNCTION("split(F363,"" ,:;.?!"")"),"Алёну")</f>
        <v>Алёну</v>
      </c>
    </row>
    <row r="364" ht="14.25" customHeight="1">
      <c r="A364" s="1" t="s">
        <v>3026</v>
      </c>
      <c r="B364" s="1" t="s">
        <v>1736</v>
      </c>
      <c r="C364" s="2" t="s">
        <v>3027</v>
      </c>
      <c r="D364" s="7" t="s">
        <v>1738</v>
      </c>
      <c r="E364" s="1" t="s">
        <v>25</v>
      </c>
      <c r="F364" s="4" t="s">
        <v>3028</v>
      </c>
      <c r="G364" s="4" t="s">
        <v>1738</v>
      </c>
      <c r="H364" s="8" t="s">
        <v>3029</v>
      </c>
      <c r="I364" s="4" t="s">
        <v>3018</v>
      </c>
      <c r="J364" s="1" t="s">
        <v>2991</v>
      </c>
      <c r="K364" s="1" t="s">
        <v>848</v>
      </c>
      <c r="L364" s="1" t="s">
        <v>3019</v>
      </c>
      <c r="M364" s="1" t="s">
        <v>2286</v>
      </c>
      <c r="N364" s="1" t="s">
        <v>139</v>
      </c>
      <c r="O364" s="1" t="s">
        <v>366</v>
      </c>
      <c r="Q364" s="1" t="s">
        <v>1911</v>
      </c>
      <c r="R364" s="1" t="s">
        <v>2286</v>
      </c>
      <c r="S364" s="1" t="s">
        <v>70</v>
      </c>
      <c r="T364" s="1" t="s">
        <v>1455</v>
      </c>
      <c r="U364" s="4" t="s">
        <v>3030</v>
      </c>
      <c r="X364" s="1" t="str">
        <f>IFERROR(__xludf.DUMMYFUNCTION("split(F364,"" ,:;.?!"")"),"Алину")</f>
        <v>Алину</v>
      </c>
      <c r="Y364" s="1" t="str">
        <f>IFERROR(__xludf.DUMMYFUNCTION("""COMPUTED_VALUE"""),"он")</f>
        <v>он</v>
      </c>
      <c r="Z364" s="1" t="str">
        <f>IFERROR(__xludf.DUMMYFUNCTION("""COMPUTED_VALUE"""),"что")</f>
        <v>что</v>
      </c>
      <c r="AA364" s="1" t="str">
        <f>IFERROR(__xludf.DUMMYFUNCTION("""COMPUTED_VALUE"""),"―")</f>
        <v>―</v>
      </c>
      <c r="AB364" s="1" t="str">
        <f>IFERROR(__xludf.DUMMYFUNCTION("""COMPUTED_VALUE"""),"ничем")</f>
        <v>ничем</v>
      </c>
      <c r="AC364" s="1" t="str">
        <f>IFERROR(__xludf.DUMMYFUNCTION("""COMPUTED_VALUE"""),"не")</f>
        <v>не</v>
      </c>
      <c r="AD364" s="1" t="str">
        <f>IFERROR(__xludf.DUMMYFUNCTION("""COMPUTED_VALUE"""),"дорожит")</f>
        <v>дорожит</v>
      </c>
    </row>
    <row r="365" ht="14.25" customHeight="1">
      <c r="A365" s="1" t="s">
        <v>25</v>
      </c>
      <c r="B365" s="1" t="s">
        <v>1474</v>
      </c>
      <c r="C365" s="2"/>
      <c r="D365" s="7" t="s">
        <v>1475</v>
      </c>
      <c r="E365" s="1" t="s">
        <v>25</v>
      </c>
      <c r="F365" s="4" t="s">
        <v>3031</v>
      </c>
      <c r="G365" s="4" t="s">
        <v>1475</v>
      </c>
      <c r="H365" s="8" t="s">
        <v>3032</v>
      </c>
      <c r="I365" s="4" t="s">
        <v>3018</v>
      </c>
      <c r="J365" s="1" t="s">
        <v>2991</v>
      </c>
      <c r="K365" s="1" t="s">
        <v>848</v>
      </c>
      <c r="L365" s="1" t="s">
        <v>3019</v>
      </c>
      <c r="M365" s="1" t="s">
        <v>2286</v>
      </c>
      <c r="N365" s="1" t="s">
        <v>139</v>
      </c>
      <c r="O365" s="1" t="s">
        <v>366</v>
      </c>
      <c r="Q365" s="1" t="s">
        <v>1911</v>
      </c>
      <c r="R365" s="1" t="s">
        <v>2286</v>
      </c>
      <c r="S365" s="1" t="s">
        <v>70</v>
      </c>
      <c r="T365" s="1" t="s">
        <v>1455</v>
      </c>
      <c r="U365" s="4" t="s">
        <v>3033</v>
      </c>
      <c r="X365" s="1" t="str">
        <f>IFERROR(__xludf.DUMMYFUNCTION("split(F365,"" ,:;.?!"")"),"Игорю")</f>
        <v>Игорю</v>
      </c>
      <c r="Y365" s="1" t="str">
        <f>IFERROR(__xludf.DUMMYFUNCTION("""COMPUTED_VALUE"""),"―")</f>
        <v>―</v>
      </c>
      <c r="Z365" s="1" t="str">
        <f>IFERROR(__xludf.DUMMYFUNCTION("""COMPUTED_VALUE"""),"какая")</f>
        <v>какая</v>
      </c>
      <c r="AA365" s="1" t="str">
        <f>IFERROR(__xludf.DUMMYFUNCTION("""COMPUTED_VALUE"""),"разница")</f>
        <v>разница</v>
      </c>
      <c r="AB365" s="1" t="str">
        <f>IFERROR(__xludf.DUMMYFUNCTION("""COMPUTED_VALUE"""),"когда")</f>
        <v>когда</v>
      </c>
      <c r="AC365" s="1" t="str">
        <f>IFERROR(__xludf.DUMMYFUNCTION("""COMPUTED_VALUE"""),"по")</f>
        <v>по</v>
      </c>
      <c r="AD365" s="1" t="str">
        <f>IFERROR(__xludf.DUMMYFUNCTION("""COMPUTED_VALUE"""),"мукам")</f>
        <v>мукам</v>
      </c>
    </row>
    <row r="366" ht="14.25" customHeight="1">
      <c r="A366" s="1" t="s">
        <v>3034</v>
      </c>
      <c r="B366" s="1" t="s">
        <v>3035</v>
      </c>
      <c r="C366" s="2" t="s">
        <v>3036</v>
      </c>
      <c r="D366" s="7" t="s">
        <v>3037</v>
      </c>
      <c r="E366" s="1" t="s">
        <v>25</v>
      </c>
      <c r="F366" s="4" t="s">
        <v>3038</v>
      </c>
      <c r="G366" s="4" t="s">
        <v>3037</v>
      </c>
      <c r="H366" s="8" t="s">
        <v>3039</v>
      </c>
      <c r="I366" s="4" t="s">
        <v>3040</v>
      </c>
      <c r="J366" s="1" t="s">
        <v>3041</v>
      </c>
      <c r="K366" s="1" t="s">
        <v>176</v>
      </c>
      <c r="L366" s="1" t="s">
        <v>3042</v>
      </c>
      <c r="M366" s="1" t="s">
        <v>2286</v>
      </c>
      <c r="N366" s="1" t="s">
        <v>139</v>
      </c>
      <c r="O366" s="1" t="s">
        <v>457</v>
      </c>
      <c r="Q366" s="1" t="s">
        <v>1911</v>
      </c>
      <c r="R366" s="1" t="s">
        <v>2286</v>
      </c>
      <c r="S366" s="1" t="s">
        <v>70</v>
      </c>
      <c r="T366" s="1" t="s">
        <v>1455</v>
      </c>
      <c r="U366" s="4" t="s">
        <v>3043</v>
      </c>
      <c r="X366" s="1" t="str">
        <f>IFERROR(__xludf.DUMMYFUNCTION("split(F366,"" ,:;.?!"")"),"брови")</f>
        <v>брови</v>
      </c>
      <c r="Y366" s="1" t="str">
        <f>IFERROR(__xludf.DUMMYFUNCTION("""COMPUTED_VALUE"""),"как")</f>
        <v>как</v>
      </c>
      <c r="Z366" s="1" t="str">
        <f>IFERROR(__xludf.DUMMYFUNCTION("""COMPUTED_VALUE"""),"кто-то")</f>
        <v>кто-то</v>
      </c>
      <c r="AA366" s="1" t="str">
        <f>IFERROR(__xludf.DUMMYFUNCTION("""COMPUTED_VALUE"""),"оскалившись")</f>
        <v>оскалившись</v>
      </c>
      <c r="AB366" s="1" t="str">
        <f>IFERROR(__xludf.DUMMYFUNCTION("""COMPUTED_VALUE"""),"смеялся")</f>
        <v>смеялся</v>
      </c>
      <c r="AC366" s="1" t="str">
        <f>IFERROR(__xludf.DUMMYFUNCTION("""COMPUTED_VALUE"""),"а")</f>
        <v>а</v>
      </c>
    </row>
    <row r="367" ht="14.25" customHeight="1">
      <c r="A367" s="1" t="s">
        <v>920</v>
      </c>
      <c r="B367" s="1" t="s">
        <v>3044</v>
      </c>
      <c r="C367" s="2" t="s">
        <v>922</v>
      </c>
      <c r="D367" s="7" t="s">
        <v>3045</v>
      </c>
      <c r="E367" s="1" t="s">
        <v>25</v>
      </c>
      <c r="F367" s="4" t="s">
        <v>3046</v>
      </c>
      <c r="G367" s="4" t="s">
        <v>3045</v>
      </c>
      <c r="H367" s="8" t="s">
        <v>3047</v>
      </c>
      <c r="I367" s="4" t="s">
        <v>3048</v>
      </c>
      <c r="J367" s="1" t="s">
        <v>29</v>
      </c>
      <c r="L367" s="1" t="s">
        <v>3049</v>
      </c>
      <c r="M367" s="1" t="s">
        <v>2286</v>
      </c>
      <c r="N367" s="1" t="s">
        <v>2366</v>
      </c>
      <c r="O367" s="1" t="s">
        <v>3050</v>
      </c>
      <c r="P367" s="1" t="s">
        <v>3051</v>
      </c>
      <c r="Q367" s="1" t="s">
        <v>2600</v>
      </c>
      <c r="R367" s="1" t="s">
        <v>2286</v>
      </c>
      <c r="S367" s="1" t="s">
        <v>70</v>
      </c>
      <c r="T367" s="1" t="s">
        <v>1455</v>
      </c>
      <c r="U367" s="4" t="s">
        <v>3052</v>
      </c>
      <c r="X367" s="1" t="str">
        <f>IFERROR(__xludf.DUMMYFUNCTION("split(F367,"" ,:;.?!"")"),"грязи")</f>
        <v>грязи</v>
      </c>
      <c r="Y367" s="1" t="str">
        <f>IFERROR(__xludf.DUMMYFUNCTION("""COMPUTED_VALUE"""),"и")</f>
        <v>и</v>
      </c>
      <c r="Z367" s="1" t="str">
        <f>IFERROR(__xludf.DUMMYFUNCTION("""COMPUTED_VALUE"""),"тяжелой")</f>
        <v>тяжелой</v>
      </c>
      <c r="AA367" s="1" t="str">
        <f>IFERROR(__xludf.DUMMYFUNCTION("""COMPUTED_VALUE"""),"работы")</f>
        <v>работы</v>
      </c>
    </row>
    <row r="368" ht="14.25" customHeight="1">
      <c r="A368" s="1" t="s">
        <v>3053</v>
      </c>
      <c r="B368" s="1" t="s">
        <v>1271</v>
      </c>
      <c r="C368" s="2" t="s">
        <v>3054</v>
      </c>
      <c r="D368" s="7" t="s">
        <v>1273</v>
      </c>
      <c r="E368" s="1" t="s">
        <v>25</v>
      </c>
      <c r="F368" s="4" t="s">
        <v>3055</v>
      </c>
      <c r="G368" s="4" t="s">
        <v>1273</v>
      </c>
      <c r="H368" s="8" t="s">
        <v>1550</v>
      </c>
      <c r="I368" s="4" t="s">
        <v>3056</v>
      </c>
      <c r="J368" s="1" t="s">
        <v>29</v>
      </c>
      <c r="L368" s="1" t="s">
        <v>3057</v>
      </c>
      <c r="M368" s="1" t="s">
        <v>2286</v>
      </c>
      <c r="N368" s="1" t="s">
        <v>2366</v>
      </c>
      <c r="O368" s="1" t="s">
        <v>52</v>
      </c>
      <c r="P368" s="1" t="s">
        <v>3058</v>
      </c>
      <c r="Q368" s="1" t="s">
        <v>1996</v>
      </c>
      <c r="R368" s="1" t="s">
        <v>2286</v>
      </c>
      <c r="S368" s="1" t="s">
        <v>70</v>
      </c>
      <c r="T368" s="1" t="s">
        <v>1455</v>
      </c>
      <c r="U368" s="4" t="s">
        <v>3059</v>
      </c>
      <c r="X368" s="1" t="str">
        <f>IFERROR(__xludf.DUMMYFUNCTION("split(F368,"" ,:;.?!"")"),"делом")</f>
        <v>делом</v>
      </c>
      <c r="Y368" s="1" t="str">
        <f>IFERROR(__xludf.DUMMYFUNCTION("""COMPUTED_VALUE"""),"то")</f>
        <v>то</v>
      </c>
      <c r="Z368" s="1" t="str">
        <f>IFERROR(__xludf.DUMMYFUNCTION("""COMPUTED_VALUE"""),"проведет")</f>
        <v>проведет</v>
      </c>
      <c r="AA368" s="1" t="str">
        <f>IFERROR(__xludf.DUMMYFUNCTION("""COMPUTED_VALUE"""),"в")</f>
        <v>в</v>
      </c>
      <c r="AB368" s="1" t="str">
        <f>IFERROR(__xludf.DUMMYFUNCTION("""COMPUTED_VALUE"""),"родном")</f>
        <v>родном</v>
      </c>
      <c r="AC368" s="1" t="str">
        <f>IFERROR(__xludf.DUMMYFUNCTION("""COMPUTED_VALUE"""),"Брянске")</f>
        <v>Брянске</v>
      </c>
    </row>
    <row r="369" ht="14.25" customHeight="1">
      <c r="A369" s="1" t="s">
        <v>3060</v>
      </c>
      <c r="B369" s="1" t="s">
        <v>3061</v>
      </c>
      <c r="C369" s="2" t="s">
        <v>3062</v>
      </c>
      <c r="D369" s="7" t="s">
        <v>3063</v>
      </c>
      <c r="E369" s="1" t="s">
        <v>25</v>
      </c>
      <c r="F369" s="4" t="s">
        <v>3064</v>
      </c>
      <c r="G369" s="4" t="s">
        <v>3063</v>
      </c>
      <c r="H369" s="8" t="s">
        <v>3065</v>
      </c>
      <c r="I369" s="4" t="s">
        <v>3066</v>
      </c>
      <c r="J369" s="1" t="s">
        <v>29</v>
      </c>
      <c r="L369" s="1" t="s">
        <v>3067</v>
      </c>
      <c r="M369" s="1" t="s">
        <v>2286</v>
      </c>
      <c r="N369" s="1" t="s">
        <v>51</v>
      </c>
      <c r="O369" s="1" t="s">
        <v>2060</v>
      </c>
      <c r="P369" s="1" t="s">
        <v>1373</v>
      </c>
      <c r="Q369" s="1" t="s">
        <v>3067</v>
      </c>
      <c r="R369" s="1" t="s">
        <v>2286</v>
      </c>
      <c r="S369" s="1" t="s">
        <v>272</v>
      </c>
      <c r="T369" s="1" t="s">
        <v>1455</v>
      </c>
      <c r="U369" s="4" t="s">
        <v>3068</v>
      </c>
      <c r="X369" s="1" t="str">
        <f>IFERROR(__xludf.DUMMYFUNCTION("split(F369,"" ,:;.?!"")"),"учителю")</f>
        <v>учителю</v>
      </c>
      <c r="Y369" s="1" t="str">
        <f>IFERROR(__xludf.DUMMYFUNCTION("""COMPUTED_VALUE"""),"ученики")</f>
        <v>ученики</v>
      </c>
      <c r="Z369" s="1" t="str">
        <f>IFERROR(__xludf.DUMMYFUNCTION("""COMPUTED_VALUE"""),"несут")</f>
        <v>несут</v>
      </c>
      <c r="AA369" s="1" t="str">
        <f>IFERROR(__xludf.DUMMYFUNCTION("""COMPUTED_VALUE"""),"свои")</f>
        <v>свои</v>
      </c>
      <c r="AB369" s="1" t="str">
        <f>IFERROR(__xludf.DUMMYFUNCTION("""COMPUTED_VALUE"""),"радости")</f>
        <v>радости</v>
      </c>
      <c r="AC369" s="1" t="str">
        <f>IFERROR(__xludf.DUMMYFUNCTION("""COMPUTED_VALUE"""),"и")</f>
        <v>и</v>
      </c>
    </row>
    <row r="370" ht="14.25" customHeight="1">
      <c r="A370" s="1" t="s">
        <v>3069</v>
      </c>
      <c r="B370" s="1" t="s">
        <v>1271</v>
      </c>
      <c r="C370" s="2" t="s">
        <v>3070</v>
      </c>
      <c r="D370" s="7" t="s">
        <v>1273</v>
      </c>
      <c r="E370" s="1" t="s">
        <v>25</v>
      </c>
      <c r="F370" s="4" t="s">
        <v>3071</v>
      </c>
      <c r="G370" s="4" t="s">
        <v>1273</v>
      </c>
      <c r="H370" s="8" t="s">
        <v>3072</v>
      </c>
      <c r="I370" s="4" t="s">
        <v>3066</v>
      </c>
      <c r="J370" s="1" t="s">
        <v>29</v>
      </c>
      <c r="L370" s="1" t="s">
        <v>3067</v>
      </c>
      <c r="M370" s="1" t="s">
        <v>2286</v>
      </c>
      <c r="N370" s="1" t="s">
        <v>51</v>
      </c>
      <c r="O370" s="1" t="s">
        <v>2060</v>
      </c>
      <c r="P370" s="1" t="s">
        <v>1373</v>
      </c>
      <c r="Q370" s="1" t="s">
        <v>3067</v>
      </c>
      <c r="R370" s="1" t="s">
        <v>2286</v>
      </c>
      <c r="S370" s="1" t="s">
        <v>272</v>
      </c>
      <c r="T370" s="1" t="s">
        <v>1455</v>
      </c>
      <c r="U370" s="4" t="s">
        <v>3073</v>
      </c>
      <c r="X370" s="1" t="str">
        <f>IFERROR(__xludf.DUMMYFUNCTION("split(F370,"" ,:;.?!"")"),"учителям")</f>
        <v>учителям</v>
      </c>
    </row>
    <row r="371" ht="14.25" customHeight="1">
      <c r="A371" s="1" t="s">
        <v>3074</v>
      </c>
      <c r="B371" s="1" t="s">
        <v>59</v>
      </c>
      <c r="C371" s="2" t="s">
        <v>3075</v>
      </c>
      <c r="D371" s="7" t="s">
        <v>61</v>
      </c>
      <c r="E371" s="1" t="s">
        <v>25</v>
      </c>
      <c r="F371" s="4" t="s">
        <v>3076</v>
      </c>
      <c r="G371" s="4" t="s">
        <v>61</v>
      </c>
      <c r="H371" s="8" t="s">
        <v>3077</v>
      </c>
      <c r="I371" s="4" t="s">
        <v>3066</v>
      </c>
      <c r="J371" s="1" t="s">
        <v>29</v>
      </c>
      <c r="L371" s="1" t="s">
        <v>3067</v>
      </c>
      <c r="M371" s="1" t="s">
        <v>2286</v>
      </c>
      <c r="N371" s="1" t="s">
        <v>51</v>
      </c>
      <c r="O371" s="1" t="s">
        <v>2060</v>
      </c>
      <c r="P371" s="1" t="s">
        <v>1373</v>
      </c>
      <c r="Q371" s="1" t="s">
        <v>3067</v>
      </c>
      <c r="R371" s="1" t="s">
        <v>2286</v>
      </c>
      <c r="S371" s="1" t="s">
        <v>272</v>
      </c>
      <c r="T371" s="1" t="s">
        <v>1455</v>
      </c>
      <c r="U371" s="4" t="s">
        <v>3078</v>
      </c>
      <c r="X371" s="1" t="str">
        <f>IFERROR(__xludf.DUMMYFUNCTION("split(F371,"" ,:;.?!"")"),"лицам")</f>
        <v>лицам</v>
      </c>
      <c r="Y371" s="1" t="str">
        <f>IFERROR(__xludf.DUMMYFUNCTION("""COMPUTED_VALUE"""),"уже")</f>
        <v>уже</v>
      </c>
      <c r="Z371" s="1" t="str">
        <f>IFERROR(__xludf.DUMMYFUNCTION("""COMPUTED_VALUE"""),"было")</f>
        <v>было</v>
      </c>
      <c r="AA371" s="1" t="str">
        <f>IFERROR(__xludf.DUMMYFUNCTION("""COMPUTED_VALUE"""),"понятно")</f>
        <v>понятно</v>
      </c>
      <c r="AB371" s="1" t="str">
        <f>IFERROR(__xludf.DUMMYFUNCTION("""COMPUTED_VALUE"""),"что")</f>
        <v>что</v>
      </c>
      <c r="AC371" s="1" t="str">
        <f>IFERROR(__xludf.DUMMYFUNCTION("""COMPUTED_VALUE"""),"программа")</f>
        <v>программа</v>
      </c>
    </row>
    <row r="372" ht="14.25" customHeight="1">
      <c r="A372" s="1" t="s">
        <v>3079</v>
      </c>
      <c r="B372" s="1" t="s">
        <v>698</v>
      </c>
      <c r="C372" s="2" t="s">
        <v>3080</v>
      </c>
      <c r="D372" s="7" t="s">
        <v>700</v>
      </c>
      <c r="E372" s="1" t="s">
        <v>25</v>
      </c>
      <c r="F372" s="4" t="s">
        <v>3081</v>
      </c>
      <c r="G372" s="4" t="s">
        <v>700</v>
      </c>
      <c r="H372" s="8" t="s">
        <v>3082</v>
      </c>
      <c r="I372" s="4" t="s">
        <v>3066</v>
      </c>
      <c r="J372" s="1" t="s">
        <v>29</v>
      </c>
      <c r="L372" s="1" t="s">
        <v>3067</v>
      </c>
      <c r="M372" s="1" t="s">
        <v>2286</v>
      </c>
      <c r="N372" s="1" t="s">
        <v>51</v>
      </c>
      <c r="O372" s="1" t="s">
        <v>2060</v>
      </c>
      <c r="P372" s="1" t="s">
        <v>1373</v>
      </c>
      <c r="Q372" s="1" t="s">
        <v>3067</v>
      </c>
      <c r="R372" s="1" t="s">
        <v>2286</v>
      </c>
      <c r="S372" s="1" t="s">
        <v>272</v>
      </c>
      <c r="T372" s="1" t="s">
        <v>1455</v>
      </c>
      <c r="U372" s="4" t="s">
        <v>3083</v>
      </c>
      <c r="X372" s="1" t="str">
        <f>IFERROR(__xludf.DUMMYFUNCTION("split(F372,"" ,:;.?!"")"),"Эвальду")</f>
        <v>Эвальду</v>
      </c>
      <c r="Y372" s="1" t="str">
        <f>IFERROR(__xludf.DUMMYFUNCTION("""COMPUTED_VALUE"""),"Ильенкову711")</f>
        <v>Ильенкову711</v>
      </c>
      <c r="Z372" s="1" t="str">
        <f>IFERROR(__xludf.DUMMYFUNCTION("""COMPUTED_VALUE"""),"и")</f>
        <v>и</v>
      </c>
      <c r="AA372" s="1" t="str">
        <f>IFERROR(__xludf.DUMMYFUNCTION("""COMPUTED_VALUE"""),"был")</f>
        <v>был</v>
      </c>
      <c r="AB372" s="1" t="str">
        <f>IFERROR(__xludf.DUMMYFUNCTION("""COMPUTED_VALUE"""),"автором")</f>
        <v>автором</v>
      </c>
    </row>
    <row r="373" ht="14.25" customHeight="1">
      <c r="A373" s="1" t="s">
        <v>3084</v>
      </c>
      <c r="B373" s="1" t="s">
        <v>921</v>
      </c>
      <c r="C373" s="2" t="s">
        <v>3085</v>
      </c>
      <c r="D373" s="7" t="s">
        <v>923</v>
      </c>
      <c r="E373" s="1" t="s">
        <v>25</v>
      </c>
      <c r="F373" s="4" t="s">
        <v>3086</v>
      </c>
      <c r="G373" s="4" t="s">
        <v>923</v>
      </c>
      <c r="H373" s="8" t="s">
        <v>3087</v>
      </c>
      <c r="I373" s="4" t="s">
        <v>3066</v>
      </c>
      <c r="J373" s="1" t="s">
        <v>29</v>
      </c>
      <c r="L373" s="1" t="s">
        <v>3067</v>
      </c>
      <c r="M373" s="1" t="s">
        <v>2286</v>
      </c>
      <c r="N373" s="1" t="s">
        <v>51</v>
      </c>
      <c r="O373" s="1" t="s">
        <v>2060</v>
      </c>
      <c r="P373" s="1" t="s">
        <v>1373</v>
      </c>
      <c r="Q373" s="1" t="s">
        <v>3067</v>
      </c>
      <c r="R373" s="1" t="s">
        <v>2286</v>
      </c>
      <c r="S373" s="1" t="s">
        <v>272</v>
      </c>
      <c r="T373" s="1" t="s">
        <v>1455</v>
      </c>
      <c r="U373" s="4" t="s">
        <v>3088</v>
      </c>
      <c r="X373" s="1" t="str">
        <f>IFERROR(__xludf.DUMMYFUNCTION("split(F373,"" ,:;.?!"")"),"машину")</f>
        <v>машину</v>
      </c>
      <c r="Y373" s="1" t="str">
        <f>IFERROR(__xludf.DUMMYFUNCTION("""COMPUTED_VALUE"""),"похитить")</f>
        <v>похитить</v>
      </c>
    </row>
    <row r="374" ht="14.25" customHeight="1">
      <c r="A374" s="1" t="s">
        <v>3089</v>
      </c>
      <c r="B374" s="1" t="s">
        <v>22</v>
      </c>
      <c r="C374" s="2" t="s">
        <v>3090</v>
      </c>
      <c r="D374" s="7" t="s">
        <v>24</v>
      </c>
      <c r="E374" s="1" t="s">
        <v>25</v>
      </c>
      <c r="F374" s="4" t="s">
        <v>3091</v>
      </c>
      <c r="G374" s="4" t="s">
        <v>24</v>
      </c>
      <c r="H374" s="8" t="s">
        <v>3092</v>
      </c>
      <c r="I374" s="4" t="s">
        <v>3066</v>
      </c>
      <c r="J374" s="1" t="s">
        <v>29</v>
      </c>
      <c r="L374" s="1" t="s">
        <v>3067</v>
      </c>
      <c r="M374" s="1" t="s">
        <v>2286</v>
      </c>
      <c r="N374" s="1" t="s">
        <v>51</v>
      </c>
      <c r="O374" s="1" t="s">
        <v>2060</v>
      </c>
      <c r="P374" s="1" t="s">
        <v>1373</v>
      </c>
      <c r="Q374" s="1" t="s">
        <v>3067</v>
      </c>
      <c r="R374" s="1" t="s">
        <v>2286</v>
      </c>
      <c r="S374" s="1" t="s">
        <v>272</v>
      </c>
      <c r="T374" s="1" t="s">
        <v>1455</v>
      </c>
      <c r="U374" s="4" t="s">
        <v>3093</v>
      </c>
      <c r="X374" s="1" t="str">
        <f>IFERROR(__xludf.DUMMYFUNCTION("split(F374,"" ,:;.?!"")"),"живому")</f>
        <v>живому</v>
      </c>
      <c r="Y374" s="1" t="str">
        <f>IFERROR(__xludf.DUMMYFUNCTION("""COMPUTED_VALUE"""),"процессу")</f>
        <v>процессу</v>
      </c>
      <c r="Z374" s="1" t="str">
        <f>IFERROR(__xludf.DUMMYFUNCTION("""COMPUTED_VALUE"""),"исторического")</f>
        <v>исторического</v>
      </c>
      <c r="AA374" s="1" t="str">
        <f>IFERROR(__xludf.DUMMYFUNCTION("""COMPUTED_VALUE"""),"развития")</f>
        <v>развития</v>
      </c>
      <c r="AB374" s="1" t="str">
        <f>IFERROR(__xludf.DUMMYFUNCTION("""COMPUTED_VALUE"""),"включая")</f>
        <v>включая</v>
      </c>
      <c r="AC374" s="1" t="str">
        <f>IFERROR(__xludf.DUMMYFUNCTION("""COMPUTED_VALUE"""),"созревание")</f>
        <v>созревание</v>
      </c>
    </row>
    <row r="375" ht="14.25" customHeight="1">
      <c r="A375" s="1" t="s">
        <v>3094</v>
      </c>
      <c r="B375" s="1" t="s">
        <v>413</v>
      </c>
      <c r="C375" s="2" t="s">
        <v>3095</v>
      </c>
      <c r="D375" s="7" t="s">
        <v>415</v>
      </c>
      <c r="E375" s="1" t="s">
        <v>25</v>
      </c>
      <c r="F375" s="4" t="s">
        <v>3096</v>
      </c>
      <c r="G375" s="4" t="s">
        <v>415</v>
      </c>
      <c r="H375" s="8" t="s">
        <v>1518</v>
      </c>
      <c r="I375" s="4" t="s">
        <v>3066</v>
      </c>
      <c r="J375" s="1" t="s">
        <v>29</v>
      </c>
      <c r="L375" s="1" t="s">
        <v>3067</v>
      </c>
      <c r="M375" s="1" t="s">
        <v>2286</v>
      </c>
      <c r="N375" s="1" t="s">
        <v>51</v>
      </c>
      <c r="O375" s="1" t="s">
        <v>2060</v>
      </c>
      <c r="P375" s="1" t="s">
        <v>1373</v>
      </c>
      <c r="Q375" s="1" t="s">
        <v>3067</v>
      </c>
      <c r="R375" s="1" t="s">
        <v>2286</v>
      </c>
      <c r="S375" s="1" t="s">
        <v>272</v>
      </c>
      <c r="T375" s="1" t="s">
        <v>1455</v>
      </c>
      <c r="U375" s="4" t="s">
        <v>3097</v>
      </c>
      <c r="X375" s="1" t="str">
        <f>IFERROR(__xludf.DUMMYFUNCTION("split(F375,"" ,:;.?!"")"),"тому")</f>
        <v>тому</v>
      </c>
      <c r="Y375" s="1" t="str">
        <f>IFERROR(__xludf.DUMMYFUNCTION("""COMPUTED_VALUE"""),"как")</f>
        <v>как</v>
      </c>
      <c r="Z375" s="1" t="str">
        <f>IFERROR(__xludf.DUMMYFUNCTION("""COMPUTED_VALUE"""),"«мой")</f>
        <v>«мой</v>
      </c>
      <c r="AA375" s="1" t="str">
        <f>IFERROR(__xludf.DUMMYFUNCTION("""COMPUTED_VALUE"""),"труд/")</f>
        <v>труд/</v>
      </c>
      <c r="AB375" s="1" t="str">
        <f>IFERROR(__xludf.DUMMYFUNCTION("""COMPUTED_VALUE"""),"вливается")</f>
        <v>вливается</v>
      </c>
      <c r="AC375" s="1" t="str">
        <f>IFERROR(__xludf.DUMMYFUNCTION("""COMPUTED_VALUE"""),"в")</f>
        <v>в</v>
      </c>
    </row>
    <row r="376" ht="14.25" customHeight="1">
      <c r="A376" s="1" t="s">
        <v>3098</v>
      </c>
      <c r="B376" s="1" t="s">
        <v>3099</v>
      </c>
      <c r="C376" s="2" t="s">
        <v>3100</v>
      </c>
      <c r="D376" s="7" t="s">
        <v>3101</v>
      </c>
      <c r="E376" s="1" t="s">
        <v>25</v>
      </c>
      <c r="F376" s="4" t="s">
        <v>3102</v>
      </c>
      <c r="G376" s="4" t="s">
        <v>3101</v>
      </c>
      <c r="H376" s="8" t="s">
        <v>1646</v>
      </c>
      <c r="I376" s="4" t="s">
        <v>3103</v>
      </c>
      <c r="J376" s="1" t="s">
        <v>29</v>
      </c>
      <c r="L376" s="1" t="s">
        <v>3104</v>
      </c>
      <c r="M376" s="1" t="s">
        <v>2286</v>
      </c>
      <c r="N376" s="1" t="s">
        <v>3105</v>
      </c>
      <c r="O376" s="1" t="s">
        <v>80</v>
      </c>
      <c r="S376" s="1" t="s">
        <v>35</v>
      </c>
      <c r="T376" s="1" t="s">
        <v>1455</v>
      </c>
      <c r="U376" s="4" t="s">
        <v>3106</v>
      </c>
      <c r="X376" s="1" t="str">
        <f>IFERROR(__xludf.DUMMYFUNCTION("split(F376,"" ,:;.?!"")"),"русским")</f>
        <v>русским</v>
      </c>
      <c r="Y376" s="1" t="str">
        <f>IFERROR(__xludf.DUMMYFUNCTION("""COMPUTED_VALUE"""),"языком")</f>
        <v>языком</v>
      </c>
    </row>
    <row r="377" ht="14.25" customHeight="1">
      <c r="A377" s="1" t="s">
        <v>3107</v>
      </c>
      <c r="B377" s="1" t="s">
        <v>1775</v>
      </c>
      <c r="C377" s="2" t="s">
        <v>3108</v>
      </c>
      <c r="D377" s="7" t="s">
        <v>1777</v>
      </c>
      <c r="E377" s="1" t="s">
        <v>25</v>
      </c>
      <c r="F377" s="4" t="s">
        <v>3109</v>
      </c>
      <c r="G377" s="4" t="s">
        <v>1777</v>
      </c>
      <c r="H377" s="8" t="s">
        <v>2532</v>
      </c>
      <c r="I377" s="4" t="s">
        <v>3110</v>
      </c>
      <c r="J377" s="1" t="s">
        <v>29</v>
      </c>
      <c r="L377" s="1" t="s">
        <v>3111</v>
      </c>
      <c r="M377" s="1" t="s">
        <v>2286</v>
      </c>
      <c r="N377" s="1" t="s">
        <v>2366</v>
      </c>
      <c r="O377" s="1" t="s">
        <v>67</v>
      </c>
      <c r="P377" s="1" t="s">
        <v>3112</v>
      </c>
      <c r="Q377" s="1" t="s">
        <v>2600</v>
      </c>
      <c r="R377" s="1" t="s">
        <v>2286</v>
      </c>
      <c r="S377" s="1" t="s">
        <v>70</v>
      </c>
      <c r="T377" s="1" t="s">
        <v>1455</v>
      </c>
      <c r="U377" s="4" t="s">
        <v>3113</v>
      </c>
      <c r="X377" s="1" t="str">
        <f>IFERROR(__xludf.DUMMYFUNCTION("split(F377,"" ,:;.?!"")"),"Марину")</f>
        <v>Марину</v>
      </c>
      <c r="Y377" s="1" t="str">
        <f>IFERROR(__xludf.DUMMYFUNCTION("""COMPUTED_VALUE"""),"Цветаеву")</f>
        <v>Цветаеву</v>
      </c>
      <c r="Z377" s="1" t="str">
        <f>IFERROR(__xludf.DUMMYFUNCTION("""COMPUTED_VALUE"""),"―")</f>
        <v>―</v>
      </c>
      <c r="AA377" s="1" t="str">
        <f>IFERROR(__xludf.DUMMYFUNCTION("""COMPUTED_VALUE"""),"говорит")</f>
        <v>говорит</v>
      </c>
      <c r="AB377" s="1" t="str">
        <f>IFERROR(__xludf.DUMMYFUNCTION("""COMPUTED_VALUE"""),"Шаталов")</f>
        <v>Шаталов</v>
      </c>
    </row>
    <row r="378" ht="14.25" customHeight="1">
      <c r="A378" s="1" t="s">
        <v>3114</v>
      </c>
      <c r="B378" s="1" t="s">
        <v>1775</v>
      </c>
      <c r="C378" s="2" t="s">
        <v>3115</v>
      </c>
      <c r="D378" s="7" t="s">
        <v>1777</v>
      </c>
      <c r="E378" s="1" t="s">
        <v>25</v>
      </c>
      <c r="F378" s="4" t="s">
        <v>3116</v>
      </c>
      <c r="G378" s="4" t="s">
        <v>1777</v>
      </c>
      <c r="H378" s="8" t="s">
        <v>3117</v>
      </c>
      <c r="I378" s="4" t="s">
        <v>3110</v>
      </c>
      <c r="J378" s="1" t="s">
        <v>29</v>
      </c>
      <c r="L378" s="1" t="s">
        <v>3111</v>
      </c>
      <c r="M378" s="1" t="s">
        <v>2286</v>
      </c>
      <c r="N378" s="1" t="s">
        <v>2366</v>
      </c>
      <c r="O378" s="1" t="s">
        <v>67</v>
      </c>
      <c r="P378" s="1" t="s">
        <v>3112</v>
      </c>
      <c r="Q378" s="1" t="s">
        <v>2600</v>
      </c>
      <c r="R378" s="1" t="s">
        <v>2286</v>
      </c>
      <c r="S378" s="1" t="s">
        <v>70</v>
      </c>
      <c r="T378" s="1" t="s">
        <v>1455</v>
      </c>
      <c r="U378" s="4" t="s">
        <v>3118</v>
      </c>
      <c r="X378" s="1" t="str">
        <f>IFERROR(__xludf.DUMMYFUNCTION("split(F378,"" ,:;.?!"")"),"Ахматову")</f>
        <v>Ахматову</v>
      </c>
      <c r="Y378" s="1" t="str">
        <f>IFERROR(__xludf.DUMMYFUNCTION("""COMPUTED_VALUE"""),"чем")</f>
        <v>чем</v>
      </c>
      <c r="Z378" s="1" t="str">
        <f>IFERROR(__xludf.DUMMYFUNCTION("""COMPUTED_VALUE"""),"Цветаеву")</f>
        <v>Цветаеву</v>
      </c>
      <c r="AA378" s="1" t="str">
        <f>IFERROR(__xludf.DUMMYFUNCTION("""COMPUTED_VALUE"""),"это")</f>
        <v>это</v>
      </c>
      <c r="AB378" s="1" t="str">
        <f>IFERROR(__xludf.DUMMYFUNCTION("""COMPUTED_VALUE"""),"совершенно")</f>
        <v>совершенно</v>
      </c>
      <c r="AC378" s="1" t="str">
        <f>IFERROR(__xludf.DUMMYFUNCTION("""COMPUTED_VALUE"""),"разные")</f>
        <v>разные</v>
      </c>
    </row>
    <row r="379" ht="14.25" customHeight="1">
      <c r="B379" s="1" t="s">
        <v>3119</v>
      </c>
      <c r="C379" s="2"/>
      <c r="D379" s="7" t="s">
        <v>3120</v>
      </c>
      <c r="E379" s="1" t="s">
        <v>25</v>
      </c>
      <c r="F379" s="4" t="s">
        <v>3121</v>
      </c>
      <c r="G379" s="4" t="s">
        <v>3120</v>
      </c>
      <c r="H379" s="8" t="s">
        <v>1472</v>
      </c>
      <c r="I379" s="4" t="s">
        <v>3110</v>
      </c>
      <c r="J379" s="1" t="s">
        <v>29</v>
      </c>
      <c r="L379" s="1" t="s">
        <v>3111</v>
      </c>
      <c r="M379" s="1" t="s">
        <v>2286</v>
      </c>
      <c r="N379" s="1" t="s">
        <v>2366</v>
      </c>
      <c r="O379" s="1" t="s">
        <v>67</v>
      </c>
      <c r="P379" s="1" t="s">
        <v>3112</v>
      </c>
      <c r="Q379" s="1" t="s">
        <v>2600</v>
      </c>
      <c r="R379" s="1" t="s">
        <v>2286</v>
      </c>
      <c r="S379" s="1" t="s">
        <v>70</v>
      </c>
      <c r="T379" s="1" t="s">
        <v>1455</v>
      </c>
      <c r="U379" s="4" t="s">
        <v>3122</v>
      </c>
      <c r="X379" s="1" t="str">
        <f>IFERROR(__xludf.DUMMYFUNCTION("split(F379,"" ,:;.?!"")"),"песни")</f>
        <v>песни</v>
      </c>
      <c r="Y379" s="1" t="str">
        <f>IFERROR(__xludf.DUMMYFUNCTION("""COMPUTED_VALUE"""),"мужчин")</f>
        <v>мужчин</v>
      </c>
      <c r="Z379" s="1" t="str">
        <f>IFERROR(__xludf.DUMMYFUNCTION("""COMPUTED_VALUE"""),"и")</f>
        <v>и</v>
      </c>
      <c r="AA379" s="1" t="str">
        <f>IFERROR(__xludf.DUMMYFUNCTION("""COMPUTED_VALUE"""),"женщин")</f>
        <v>женщин</v>
      </c>
    </row>
    <row r="380" ht="14.25" customHeight="1">
      <c r="B380" s="1" t="s">
        <v>3119</v>
      </c>
      <c r="C380" s="2"/>
      <c r="D380" s="7" t="s">
        <v>3120</v>
      </c>
      <c r="E380" s="1" t="s">
        <v>25</v>
      </c>
      <c r="F380" s="4" t="s">
        <v>3123</v>
      </c>
      <c r="G380" s="4" t="s">
        <v>3120</v>
      </c>
      <c r="H380" s="8" t="s">
        <v>1472</v>
      </c>
      <c r="I380" s="4" t="s">
        <v>3110</v>
      </c>
      <c r="J380" s="1" t="s">
        <v>29</v>
      </c>
      <c r="L380" s="1" t="s">
        <v>3111</v>
      </c>
      <c r="M380" s="1" t="s">
        <v>2286</v>
      </c>
      <c r="N380" s="1" t="s">
        <v>2366</v>
      </c>
      <c r="O380" s="1" t="s">
        <v>67</v>
      </c>
      <c r="P380" s="1" t="s">
        <v>3112</v>
      </c>
      <c r="Q380" s="1" t="s">
        <v>2600</v>
      </c>
      <c r="R380" s="1" t="s">
        <v>2286</v>
      </c>
      <c r="S380" s="1" t="s">
        <v>70</v>
      </c>
      <c r="T380" s="1" t="s">
        <v>1455</v>
      </c>
      <c r="U380" s="4" t="s">
        <v>3124</v>
      </c>
      <c r="X380" s="1" t="str">
        <f>IFERROR(__xludf.DUMMYFUNCTION("split(F380,"" ,:;.?!"")"),"песни")</f>
        <v>песни</v>
      </c>
      <c r="Y380" s="1" t="str">
        <f>IFERROR(__xludf.DUMMYFUNCTION("""COMPUTED_VALUE"""),"разных")</f>
        <v>разных</v>
      </c>
      <c r="Z380" s="1" t="str">
        <f>IFERROR(__xludf.DUMMYFUNCTION("""COMPUTED_VALUE"""),"поколений")</f>
        <v>поколений</v>
      </c>
    </row>
    <row r="381" ht="14.25" customHeight="1">
      <c r="A381" s="1" t="s">
        <v>3125</v>
      </c>
      <c r="B381" s="1" t="s">
        <v>461</v>
      </c>
      <c r="C381" s="2" t="s">
        <v>3126</v>
      </c>
      <c r="D381" s="7" t="s">
        <v>463</v>
      </c>
      <c r="E381" s="1" t="s">
        <v>25</v>
      </c>
      <c r="F381" s="4" t="s">
        <v>3127</v>
      </c>
      <c r="G381" s="4" t="s">
        <v>463</v>
      </c>
      <c r="H381" s="8" t="s">
        <v>1472</v>
      </c>
      <c r="I381" s="4" t="s">
        <v>3110</v>
      </c>
      <c r="J381" s="1" t="s">
        <v>29</v>
      </c>
      <c r="L381" s="1" t="s">
        <v>3111</v>
      </c>
      <c r="M381" s="1" t="s">
        <v>2286</v>
      </c>
      <c r="N381" s="1" t="s">
        <v>2366</v>
      </c>
      <c r="O381" s="1" t="s">
        <v>67</v>
      </c>
      <c r="P381" s="1" t="s">
        <v>3112</v>
      </c>
      <c r="Q381" s="1" t="s">
        <v>2600</v>
      </c>
      <c r="R381" s="1" t="s">
        <v>2286</v>
      </c>
      <c r="S381" s="1" t="s">
        <v>70</v>
      </c>
      <c r="T381" s="1" t="s">
        <v>1455</v>
      </c>
      <c r="U381" s="4" t="s">
        <v>3128</v>
      </c>
      <c r="X381" s="1" t="str">
        <f>IFERROR(__xludf.DUMMYFUNCTION("split(F381,"" ,:;.?!"")"),"песни")</f>
        <v>песни</v>
      </c>
      <c r="Y381" s="1" t="str">
        <f>IFERROR(__xludf.DUMMYFUNCTION("""COMPUTED_VALUE"""),"и")</f>
        <v>и</v>
      </c>
      <c r="Z381" s="1" t="str">
        <f>IFERROR(__xludf.DUMMYFUNCTION("""COMPUTED_VALUE"""),"ее")</f>
        <v>ее</v>
      </c>
      <c r="AA381" s="1" t="str">
        <f>IFERROR(__xludf.DUMMYFUNCTION("""COMPUTED_VALUE"""),"автора»")</f>
        <v>автора»</v>
      </c>
      <c r="AB381" s="1" t="str">
        <f>IFERROR(__xludf.DUMMYFUNCTION("""COMPUTED_VALUE"""),"(открытый")</f>
        <v>(открытый</v>
      </c>
      <c r="AC381" s="1" t="str">
        <f>IFERROR(__xludf.DUMMYFUNCTION("""COMPUTED_VALUE"""),"опрос)")</f>
        <v>опрос)</v>
      </c>
    </row>
    <row r="382" ht="14.25" customHeight="1">
      <c r="A382" s="1" t="s">
        <v>3129</v>
      </c>
      <c r="B382" s="1" t="s">
        <v>1474</v>
      </c>
      <c r="C382" s="2" t="s">
        <v>3130</v>
      </c>
      <c r="D382" s="7" t="s">
        <v>1475</v>
      </c>
      <c r="E382" s="1" t="s">
        <v>25</v>
      </c>
      <c r="F382" s="4" t="s">
        <v>3131</v>
      </c>
      <c r="G382" s="4" t="s">
        <v>1475</v>
      </c>
      <c r="H382" s="8" t="s">
        <v>3132</v>
      </c>
      <c r="I382" s="4" t="s">
        <v>3133</v>
      </c>
      <c r="L382" s="1" t="s">
        <v>3134</v>
      </c>
      <c r="M382" s="1" t="s">
        <v>2286</v>
      </c>
      <c r="N382" s="1" t="s">
        <v>2366</v>
      </c>
      <c r="O382" s="1" t="s">
        <v>67</v>
      </c>
      <c r="P382" s="1" t="s">
        <v>2040</v>
      </c>
      <c r="Q382" s="1" t="s">
        <v>2041</v>
      </c>
      <c r="R382" s="1" t="s">
        <v>2286</v>
      </c>
      <c r="S382" s="1" t="s">
        <v>70</v>
      </c>
      <c r="T382" s="1" t="s">
        <v>1455</v>
      </c>
      <c r="U382" s="4" t="s">
        <v>3135</v>
      </c>
      <c r="X382" s="1" t="str">
        <f>IFERROR(__xludf.DUMMYFUNCTION("split(F382,"" ,:;.?!"")"),"власти")</f>
        <v>власти</v>
      </c>
      <c r="Y382" s="1" t="str">
        <f>IFERROR(__xludf.DUMMYFUNCTION("""COMPUTED_VALUE"""),"США")</f>
        <v>США</v>
      </c>
      <c r="Z382" s="1" t="str">
        <f>IFERROR(__xludf.DUMMYFUNCTION("""COMPUTED_VALUE"""),"приветствуют")</f>
        <v>приветствуют</v>
      </c>
      <c r="AA382" s="1" t="str">
        <f>IFERROR(__xludf.DUMMYFUNCTION("""COMPUTED_VALUE"""),"идею")</f>
        <v>идею</v>
      </c>
      <c r="AB382" s="1" t="str">
        <f>IFERROR(__xludf.DUMMYFUNCTION("""COMPUTED_VALUE"""),"создания")</f>
        <v>создания</v>
      </c>
      <c r="AC382" s="1" t="str">
        <f>IFERROR(__xludf.DUMMYFUNCTION("""COMPUTED_VALUE"""),"инфраструктурного")</f>
        <v>инфраструктурного</v>
      </c>
    </row>
    <row r="383" ht="14.25" customHeight="1">
      <c r="A383" s="1" t="s">
        <v>25</v>
      </c>
      <c r="B383" s="1" t="s">
        <v>1474</v>
      </c>
      <c r="C383" s="2"/>
      <c r="D383" s="7" t="s">
        <v>1475</v>
      </c>
      <c r="E383" s="1" t="s">
        <v>25</v>
      </c>
      <c r="F383" s="4" t="s">
        <v>3136</v>
      </c>
      <c r="G383" s="4" t="s">
        <v>1475</v>
      </c>
      <c r="H383" s="8" t="s">
        <v>925</v>
      </c>
      <c r="I383" s="4" t="s">
        <v>3137</v>
      </c>
      <c r="J383" s="1" t="s">
        <v>29</v>
      </c>
      <c r="L383" s="1" t="s">
        <v>3138</v>
      </c>
      <c r="M383" s="1" t="s">
        <v>3139</v>
      </c>
      <c r="N383" s="1" t="s">
        <v>32</v>
      </c>
      <c r="O383" s="1" t="s">
        <v>33</v>
      </c>
      <c r="P383" s="1" t="s">
        <v>3140</v>
      </c>
      <c r="S383" s="1" t="s">
        <v>35</v>
      </c>
      <c r="T383" s="1" t="s">
        <v>1455</v>
      </c>
      <c r="U383" s="4" t="s">
        <v>3141</v>
      </c>
      <c r="X383" s="1" t="str">
        <f>IFERROR(__xludf.DUMMYFUNCTION("split(F383,"" ,:;.?!"")"),"детям")</f>
        <v>детям</v>
      </c>
      <c r="Y383" s="1" t="str">
        <f>IFERROR(__xludf.DUMMYFUNCTION("""COMPUTED_VALUE"""),"было")</f>
        <v>было</v>
      </c>
      <c r="Z383" s="1" t="str">
        <f>IFERROR(__xludf.DUMMYFUNCTION("""COMPUTED_VALUE"""),"бы")</f>
        <v>бы</v>
      </c>
      <c r="AA383" s="1" t="str">
        <f>IFERROR(__xludf.DUMMYFUNCTION("""COMPUTED_VALUE"""),"действительно")</f>
        <v>действительно</v>
      </c>
      <c r="AB383" s="1" t="str">
        <f>IFERROR(__xludf.DUMMYFUNCTION("""COMPUTED_VALUE"""),"очень")</f>
        <v>очень</v>
      </c>
      <c r="AC383" s="1" t="str">
        <f>IFERROR(__xludf.DUMMYFUNCTION("""COMPUTED_VALUE"""),"интересно")</f>
        <v>интересно</v>
      </c>
    </row>
    <row r="384" ht="14.25" customHeight="1">
      <c r="A384" s="1" t="s">
        <v>3142</v>
      </c>
      <c r="B384" s="1" t="s">
        <v>1445</v>
      </c>
      <c r="C384" s="2" t="s">
        <v>3143</v>
      </c>
      <c r="D384" s="7" t="s">
        <v>1447</v>
      </c>
      <c r="E384" s="1" t="s">
        <v>25</v>
      </c>
      <c r="F384" s="4" t="s">
        <v>3144</v>
      </c>
      <c r="G384" s="4" t="s">
        <v>1447</v>
      </c>
      <c r="H384" s="8" t="s">
        <v>3145</v>
      </c>
      <c r="I384" s="4" t="s">
        <v>3146</v>
      </c>
      <c r="J384" s="1" t="s">
        <v>3147</v>
      </c>
      <c r="K384" s="1" t="s">
        <v>1375</v>
      </c>
      <c r="L384" s="1" t="s">
        <v>3148</v>
      </c>
      <c r="M384" s="1" t="s">
        <v>3149</v>
      </c>
      <c r="N384" s="1" t="s">
        <v>139</v>
      </c>
      <c r="O384" s="1" t="s">
        <v>962</v>
      </c>
      <c r="Q384" s="1" t="s">
        <v>3150</v>
      </c>
      <c r="R384" s="1" t="s">
        <v>2286</v>
      </c>
      <c r="S384" s="1" t="s">
        <v>272</v>
      </c>
      <c r="T384" s="1" t="s">
        <v>1455</v>
      </c>
      <c r="U384" s="4" t="s">
        <v>3151</v>
      </c>
      <c r="X384" s="1" t="str">
        <f>IFERROR(__xludf.DUMMYFUNCTION("split(F384,"" ,:;.?!"")"),"девушке")</f>
        <v>девушке</v>
      </c>
      <c r="Y384" s="1" t="str">
        <f>IFERROR(__xludf.DUMMYFUNCTION("""COMPUTED_VALUE"""),"отвечал")</f>
        <v>отвечал</v>
      </c>
      <c r="Z384" s="1" t="str">
        <f>IFERROR(__xludf.DUMMYFUNCTION("""COMPUTED_VALUE"""),"―")</f>
        <v>―</v>
      </c>
      <c r="AA384" s="1" t="str">
        <f>IFERROR(__xludf.DUMMYFUNCTION("""COMPUTED_VALUE"""),"да")</f>
        <v>да</v>
      </c>
      <c r="AB384" s="1" t="str">
        <f>IFERROR(__xludf.DUMMYFUNCTION("""COMPUTED_VALUE"""),"не")</f>
        <v>не</v>
      </c>
      <c r="AC384" s="1" t="str">
        <f>IFERROR(__xludf.DUMMYFUNCTION("""COMPUTED_VALUE"""),"отвечал")</f>
        <v>отвечал</v>
      </c>
      <c r="AD384" s="1" t="str">
        <f>IFERROR(__xludf.DUMMYFUNCTION("""COMPUTED_VALUE"""),"а")</f>
        <v>а</v>
      </c>
    </row>
    <row r="385" ht="14.25" customHeight="1">
      <c r="A385" s="1" t="s">
        <v>3152</v>
      </c>
      <c r="B385" s="1" t="s">
        <v>461</v>
      </c>
      <c r="C385" s="2" t="s">
        <v>3153</v>
      </c>
      <c r="D385" s="7" t="s">
        <v>463</v>
      </c>
      <c r="E385" s="1" t="s">
        <v>25</v>
      </c>
      <c r="F385" s="4" t="s">
        <v>3154</v>
      </c>
      <c r="G385" s="4" t="s">
        <v>463</v>
      </c>
      <c r="H385" s="8" t="s">
        <v>3155</v>
      </c>
      <c r="I385" s="4" t="s">
        <v>3146</v>
      </c>
      <c r="J385" s="1" t="s">
        <v>3147</v>
      </c>
      <c r="K385" s="1" t="s">
        <v>1375</v>
      </c>
      <c r="L385" s="1" t="s">
        <v>3148</v>
      </c>
      <c r="M385" s="1" t="s">
        <v>3149</v>
      </c>
      <c r="N385" s="1" t="s">
        <v>139</v>
      </c>
      <c r="O385" s="1" t="s">
        <v>962</v>
      </c>
      <c r="Q385" s="1" t="s">
        <v>3150</v>
      </c>
      <c r="R385" s="1" t="s">
        <v>2286</v>
      </c>
      <c r="S385" s="1" t="s">
        <v>272</v>
      </c>
      <c r="T385" s="1" t="s">
        <v>1455</v>
      </c>
      <c r="U385" s="4" t="s">
        <v>3156</v>
      </c>
      <c r="X385" s="1" t="str">
        <f>IFERROR(__xludf.DUMMYFUNCTION("split(F385,"" ,:;.?!"")"),"церкви")</f>
        <v>церкви</v>
      </c>
      <c r="Y385" s="1" t="str">
        <f>IFERROR(__xludf.DUMMYFUNCTION("""COMPUTED_VALUE"""),"Фрари")</f>
        <v>Фрари</v>
      </c>
      <c r="Z385" s="1" t="str">
        <f>IFERROR(__xludf.DUMMYFUNCTION("""COMPUTED_VALUE"""),"мечтал")</f>
        <v>мечтал</v>
      </c>
      <c r="AA385" s="1" t="str">
        <f>IFERROR(__xludf.DUMMYFUNCTION("""COMPUTED_VALUE"""),"что")</f>
        <v>что</v>
      </c>
      <c r="AB385" s="1" t="str">
        <f>IFERROR(__xludf.DUMMYFUNCTION("""COMPUTED_VALUE"""),"его")</f>
        <v>его</v>
      </c>
      <c r="AC385" s="1" t="str">
        <f>IFERROR(__xludf.DUMMYFUNCTION("""COMPUTED_VALUE"""),"там")</f>
        <v>там</v>
      </c>
    </row>
    <row r="386" ht="14.25" customHeight="1">
      <c r="A386" s="1" t="s">
        <v>3157</v>
      </c>
      <c r="B386" s="1" t="s">
        <v>3158</v>
      </c>
      <c r="C386" s="2" t="s">
        <v>3159</v>
      </c>
      <c r="D386" s="7" t="s">
        <v>3160</v>
      </c>
      <c r="E386" s="1" t="s">
        <v>25</v>
      </c>
      <c r="F386" s="4" t="s">
        <v>3161</v>
      </c>
      <c r="G386" s="4" t="s">
        <v>3160</v>
      </c>
      <c r="H386" s="8" t="s">
        <v>3162</v>
      </c>
      <c r="I386" s="4" t="s">
        <v>3146</v>
      </c>
      <c r="J386" s="1" t="s">
        <v>3147</v>
      </c>
      <c r="K386" s="1" t="s">
        <v>1375</v>
      </c>
      <c r="L386" s="1" t="s">
        <v>3148</v>
      </c>
      <c r="M386" s="1" t="s">
        <v>3149</v>
      </c>
      <c r="N386" s="1" t="s">
        <v>139</v>
      </c>
      <c r="O386" s="1" t="s">
        <v>962</v>
      </c>
      <c r="Q386" s="1" t="s">
        <v>3150</v>
      </c>
      <c r="R386" s="1" t="s">
        <v>2286</v>
      </c>
      <c r="S386" s="1" t="s">
        <v>272</v>
      </c>
      <c r="T386" s="1" t="s">
        <v>1455</v>
      </c>
      <c r="U386" s="4" t="s">
        <v>3163</v>
      </c>
      <c r="X386" s="1" t="str">
        <f>IFERROR(__xludf.DUMMYFUNCTION("split(F386,"" ,:;.?!"")"),"золотым")</f>
        <v>золотым</v>
      </c>
      <c r="Y386" s="1" t="str">
        <f>IFERROR(__xludf.DUMMYFUNCTION("""COMPUTED_VALUE"""),"колечкам")</f>
        <v>колечкам</v>
      </c>
      <c r="Z386" s="1" t="str">
        <f>IFERROR(__xludf.DUMMYFUNCTION("""COMPUTED_VALUE"""),"еще")</f>
        <v>еще</v>
      </c>
      <c r="AA386" s="1" t="str">
        <f>IFERROR(__xludf.DUMMYFUNCTION("""COMPUTED_VALUE"""),"одной")</f>
        <v>одной</v>
      </c>
      <c r="AB386" s="1" t="str">
        <f>IFERROR(__xludf.DUMMYFUNCTION("""COMPUTED_VALUE"""),"судьбы…")</f>
        <v>судьбы…</v>
      </c>
    </row>
    <row r="387" ht="14.25" customHeight="1">
      <c r="A387" s="1" t="s">
        <v>920</v>
      </c>
      <c r="B387" s="1" t="s">
        <v>719</v>
      </c>
      <c r="C387" s="2" t="s">
        <v>922</v>
      </c>
      <c r="D387" s="7" t="s">
        <v>721</v>
      </c>
      <c r="E387" s="1" t="s">
        <v>25</v>
      </c>
      <c r="F387" s="4" t="s">
        <v>3164</v>
      </c>
      <c r="G387" s="4" t="s">
        <v>721</v>
      </c>
      <c r="H387" s="8" t="s">
        <v>3165</v>
      </c>
      <c r="I387" s="4" t="s">
        <v>3146</v>
      </c>
      <c r="J387" s="1" t="s">
        <v>3147</v>
      </c>
      <c r="K387" s="1" t="s">
        <v>1375</v>
      </c>
      <c r="L387" s="1" t="s">
        <v>3148</v>
      </c>
      <c r="M387" s="1" t="s">
        <v>3149</v>
      </c>
      <c r="N387" s="1" t="s">
        <v>139</v>
      </c>
      <c r="O387" s="1" t="s">
        <v>962</v>
      </c>
      <c r="Q387" s="1" t="s">
        <v>3150</v>
      </c>
      <c r="R387" s="1" t="s">
        <v>2286</v>
      </c>
      <c r="S387" s="1" t="s">
        <v>272</v>
      </c>
      <c r="T387" s="1" t="s">
        <v>1455</v>
      </c>
      <c r="U387" s="4" t="s">
        <v>3166</v>
      </c>
      <c r="X387" s="1" t="str">
        <f>IFERROR(__xludf.DUMMYFUNCTION("split(F387,"" ,:;.?!"")"),"Леньку")</f>
        <v>Леньку</v>
      </c>
      <c r="Y387" s="1" t="str">
        <f>IFERROR(__xludf.DUMMYFUNCTION("""COMPUTED_VALUE"""),"огорчать")</f>
        <v>огорчать</v>
      </c>
    </row>
    <row r="388" ht="14.25" customHeight="1">
      <c r="A388" s="1" t="s">
        <v>3167</v>
      </c>
      <c r="B388" s="1" t="s">
        <v>3168</v>
      </c>
      <c r="C388" s="2" t="s">
        <v>3169</v>
      </c>
      <c r="D388" s="7" t="s">
        <v>3170</v>
      </c>
      <c r="E388" s="1" t="s">
        <v>25</v>
      </c>
      <c r="F388" s="4" t="s">
        <v>3171</v>
      </c>
      <c r="G388" s="4" t="s">
        <v>3170</v>
      </c>
      <c r="H388" s="8" t="s">
        <v>3172</v>
      </c>
      <c r="I388" s="4" t="s">
        <v>3146</v>
      </c>
      <c r="J388" s="1" t="s">
        <v>3147</v>
      </c>
      <c r="K388" s="1" t="s">
        <v>1375</v>
      </c>
      <c r="L388" s="1" t="s">
        <v>3148</v>
      </c>
      <c r="M388" s="1" t="s">
        <v>3149</v>
      </c>
      <c r="N388" s="1" t="s">
        <v>139</v>
      </c>
      <c r="O388" s="1" t="s">
        <v>962</v>
      </c>
      <c r="Q388" s="1" t="s">
        <v>3150</v>
      </c>
      <c r="R388" s="1" t="s">
        <v>2286</v>
      </c>
      <c r="S388" s="1" t="s">
        <v>272</v>
      </c>
      <c r="T388" s="1" t="s">
        <v>1455</v>
      </c>
      <c r="U388" s="4" t="s">
        <v>3173</v>
      </c>
      <c r="X388" s="1" t="str">
        <f>IFERROR(__xludf.DUMMYFUNCTION("split(F388,"" ,:;.?!"")"),"неприязни")</f>
        <v>неприязни</v>
      </c>
      <c r="Y388" s="1" t="str">
        <f>IFERROR(__xludf.DUMMYFUNCTION("""COMPUTED_VALUE"""),"до")</f>
        <v>до</v>
      </c>
      <c r="Z388" s="1" t="str">
        <f>IFERROR(__xludf.DUMMYFUNCTION("""COMPUTED_VALUE"""),"чувства")</f>
        <v>чувства</v>
      </c>
      <c r="AA388" s="1" t="str">
        <f>IFERROR(__xludf.DUMMYFUNCTION("""COMPUTED_VALUE"""),"глубокой")</f>
        <v>глубокой</v>
      </c>
      <c r="AB388" s="1" t="str">
        <f>IFERROR(__xludf.DUMMYFUNCTION("""COMPUTED_VALUE"""),"моей")</f>
        <v>моей</v>
      </c>
      <c r="AC388" s="1" t="str">
        <f>IFERROR(__xludf.DUMMYFUNCTION("""COMPUTED_VALUE"""),"вины")</f>
        <v>вины</v>
      </c>
    </row>
    <row r="389" ht="14.25" customHeight="1">
      <c r="A389" s="1" t="s">
        <v>3174</v>
      </c>
      <c r="B389" s="1" t="s">
        <v>413</v>
      </c>
      <c r="C389" s="2" t="s">
        <v>3175</v>
      </c>
      <c r="D389" s="7" t="s">
        <v>415</v>
      </c>
      <c r="E389" s="1" t="s">
        <v>25</v>
      </c>
      <c r="F389" s="4" t="s">
        <v>3176</v>
      </c>
      <c r="G389" s="4" t="s">
        <v>415</v>
      </c>
      <c r="H389" s="8" t="s">
        <v>3177</v>
      </c>
      <c r="I389" s="4" t="s">
        <v>3146</v>
      </c>
      <c r="J389" s="1" t="s">
        <v>3147</v>
      </c>
      <c r="K389" s="1" t="s">
        <v>1375</v>
      </c>
      <c r="L389" s="1" t="s">
        <v>3148</v>
      </c>
      <c r="M389" s="1" t="s">
        <v>3149</v>
      </c>
      <c r="N389" s="1" t="s">
        <v>139</v>
      </c>
      <c r="O389" s="1" t="s">
        <v>962</v>
      </c>
      <c r="Q389" s="1" t="s">
        <v>3150</v>
      </c>
      <c r="R389" s="1" t="s">
        <v>2286</v>
      </c>
      <c r="S389" s="1" t="s">
        <v>272</v>
      </c>
      <c r="T389" s="1" t="s">
        <v>1455</v>
      </c>
      <c r="U389" s="4" t="s">
        <v>3178</v>
      </c>
      <c r="X389" s="1" t="str">
        <f>IFERROR(__xludf.DUMMYFUNCTION("split(F389,"" ,:;.?!"")"),"разнообразию")</f>
        <v>разнообразию</v>
      </c>
    </row>
    <row r="390" ht="14.25" customHeight="1">
      <c r="A390" s="1" t="s">
        <v>3179</v>
      </c>
      <c r="B390" s="1" t="s">
        <v>3180</v>
      </c>
      <c r="C390" s="2" t="s">
        <v>3181</v>
      </c>
      <c r="D390" s="7" t="s">
        <v>3182</v>
      </c>
      <c r="E390" s="1" t="s">
        <v>25</v>
      </c>
      <c r="F390" s="4" t="s">
        <v>3183</v>
      </c>
      <c r="G390" s="4" t="s">
        <v>3182</v>
      </c>
      <c r="H390" s="8" t="s">
        <v>2647</v>
      </c>
      <c r="I390" s="4" t="s">
        <v>3146</v>
      </c>
      <c r="J390" s="1" t="s">
        <v>3147</v>
      </c>
      <c r="K390" s="1" t="s">
        <v>1375</v>
      </c>
      <c r="L390" s="1" t="s">
        <v>3148</v>
      </c>
      <c r="M390" s="1" t="s">
        <v>3149</v>
      </c>
      <c r="N390" s="1" t="s">
        <v>139</v>
      </c>
      <c r="O390" s="1" t="s">
        <v>962</v>
      </c>
      <c r="Q390" s="1" t="s">
        <v>3150</v>
      </c>
      <c r="R390" s="1" t="s">
        <v>2286</v>
      </c>
      <c r="S390" s="1" t="s">
        <v>272</v>
      </c>
      <c r="T390" s="1" t="s">
        <v>1455</v>
      </c>
      <c r="U390" s="4" t="s">
        <v>3184</v>
      </c>
      <c r="X390" s="1" t="str">
        <f>IFERROR(__xludf.DUMMYFUNCTION("split(F390,"" ,:;.?!"")"),"новым")</f>
        <v>новым</v>
      </c>
      <c r="Y390" s="1" t="str">
        <f>IFERROR(__xludf.DUMMYFUNCTION("""COMPUTED_VALUE"""),"их")</f>
        <v>их</v>
      </c>
      <c r="Z390" s="1" t="str">
        <f>IFERROR(__xludf.DUMMYFUNCTION("""COMPUTED_VALUE"""),"правилом")</f>
        <v>правилом</v>
      </c>
      <c r="AA390" s="1" t="str">
        <f>IFERROR(__xludf.DUMMYFUNCTION("""COMPUTED_VALUE"""),"―")</f>
        <v>―</v>
      </c>
      <c r="AB390" s="1" t="str">
        <f>IFERROR(__xludf.DUMMYFUNCTION("""COMPUTED_VALUE"""),"не")</f>
        <v>не</v>
      </c>
      <c r="AC390" s="1" t="str">
        <f>IFERROR(__xludf.DUMMYFUNCTION("""COMPUTED_VALUE"""),"подавать")</f>
        <v>подавать</v>
      </c>
      <c r="AD390" s="1" t="str">
        <f>IFERROR(__xludf.DUMMYFUNCTION("""COMPUTED_VALUE"""),"кофе")</f>
        <v>кофе</v>
      </c>
    </row>
    <row r="391" ht="14.25" customHeight="1">
      <c r="A391" s="1" t="s">
        <v>920</v>
      </c>
      <c r="B391" s="1" t="s">
        <v>1798</v>
      </c>
      <c r="C391" s="2" t="s">
        <v>922</v>
      </c>
      <c r="D391" s="7" t="s">
        <v>1800</v>
      </c>
      <c r="E391" s="1" t="s">
        <v>25</v>
      </c>
      <c r="F391" s="4" t="s">
        <v>3185</v>
      </c>
      <c r="G391" s="4" t="s">
        <v>1800</v>
      </c>
      <c r="H391" s="8" t="s">
        <v>3186</v>
      </c>
      <c r="I391" s="4" t="s">
        <v>3187</v>
      </c>
      <c r="J391" s="1" t="s">
        <v>29</v>
      </c>
      <c r="L391" s="1" t="s">
        <v>3188</v>
      </c>
      <c r="M391" s="1" t="s">
        <v>3189</v>
      </c>
      <c r="N391" s="1" t="s">
        <v>32</v>
      </c>
      <c r="O391" s="1" t="s">
        <v>80</v>
      </c>
      <c r="P391" s="1" t="s">
        <v>81</v>
      </c>
      <c r="S391" s="1" t="s">
        <v>35</v>
      </c>
      <c r="T391" s="1" t="s">
        <v>1455</v>
      </c>
      <c r="U391" s="4" t="s">
        <v>3190</v>
      </c>
      <c r="X391" s="1" t="str">
        <f>IFERROR(__xludf.DUMMYFUNCTION("split(F391,"" ,:;.?!"")"),"суши")</f>
        <v>суши</v>
      </c>
    </row>
    <row r="392" ht="14.25" customHeight="1">
      <c r="A392" s="1" t="s">
        <v>3191</v>
      </c>
      <c r="B392" s="1" t="s">
        <v>1798</v>
      </c>
      <c r="C392" s="2" t="s">
        <v>3192</v>
      </c>
      <c r="D392" s="7" t="s">
        <v>1800</v>
      </c>
      <c r="E392" s="1" t="s">
        <v>25</v>
      </c>
      <c r="F392" s="4" t="s">
        <v>3193</v>
      </c>
      <c r="G392" s="4" t="s">
        <v>1800</v>
      </c>
      <c r="H392" s="8" t="s">
        <v>3186</v>
      </c>
      <c r="I392" s="4" t="s">
        <v>3187</v>
      </c>
      <c r="J392" s="1" t="s">
        <v>29</v>
      </c>
      <c r="L392" s="1" t="s">
        <v>3188</v>
      </c>
      <c r="M392" s="1" t="s">
        <v>3189</v>
      </c>
      <c r="N392" s="1" t="s">
        <v>32</v>
      </c>
      <c r="O392" s="1" t="s">
        <v>80</v>
      </c>
      <c r="P392" s="1" t="s">
        <v>81</v>
      </c>
      <c r="S392" s="1" t="s">
        <v>35</v>
      </c>
      <c r="T392" s="1" t="s">
        <v>1455</v>
      </c>
      <c r="U392" s="4" t="s">
        <v>3194</v>
      </c>
      <c r="X392" s="1" t="str">
        <f>IFERROR(__xludf.DUMMYFUNCTION("split(F392,"" ,:;.?!"")"),"суши")</f>
        <v>суши</v>
      </c>
      <c r="Y392" s="1" t="str">
        <f>IFERROR(__xludf.DUMMYFUNCTION("""COMPUTED_VALUE"""),"(([e-NOTik]")</f>
        <v>(([e-NOTik]</v>
      </c>
      <c r="Z392" s="1" t="str">
        <f>IFERROR(__xludf.DUMMYFUNCTION("""COMPUTED_VALUE"""),"Почему")</f>
        <v>Почему</v>
      </c>
      <c r="AA392" s="1" t="str">
        <f>IFERROR(__xludf.DUMMYFUNCTION("""COMPUTED_VALUE"""),"скучаете")</f>
        <v>скучаете</v>
      </c>
    </row>
    <row r="393" ht="14.25" customHeight="1">
      <c r="A393" s="1" t="s">
        <v>3195</v>
      </c>
      <c r="B393" s="1" t="s">
        <v>1474</v>
      </c>
      <c r="C393" s="2" t="s">
        <v>3196</v>
      </c>
      <c r="D393" s="7" t="s">
        <v>1475</v>
      </c>
      <c r="E393" s="1" t="s">
        <v>25</v>
      </c>
      <c r="F393" s="4" t="s">
        <v>3197</v>
      </c>
      <c r="G393" s="4" t="s">
        <v>1475</v>
      </c>
      <c r="H393" s="8" t="s">
        <v>1666</v>
      </c>
      <c r="I393" s="4" t="s">
        <v>3198</v>
      </c>
      <c r="J393" s="1" t="s">
        <v>29</v>
      </c>
      <c r="L393" s="1" t="s">
        <v>3199</v>
      </c>
      <c r="M393" s="1" t="s">
        <v>3200</v>
      </c>
      <c r="N393" s="1" t="s">
        <v>32</v>
      </c>
      <c r="O393" s="1" t="s">
        <v>80</v>
      </c>
      <c r="P393" s="1" t="s">
        <v>3201</v>
      </c>
      <c r="S393" s="1" t="s">
        <v>35</v>
      </c>
      <c r="T393" s="1" t="s">
        <v>1455</v>
      </c>
      <c r="U393" s="4" t="s">
        <v>3202</v>
      </c>
      <c r="X393" s="1" t="str">
        <f>IFERROR(__xludf.DUMMYFUNCTION("split(F393,"" ,:;.?!"")"),"были")</f>
        <v>были</v>
      </c>
      <c r="Y393" s="1" t="str">
        <f>IFERROR(__xludf.DUMMYFUNCTION("""COMPUTED_VALUE"""),"там")</f>
        <v>там</v>
      </c>
      <c r="Z393" s="1" t="str">
        <f>IFERROR(__xludf.DUMMYFUNCTION("""COMPUTED_VALUE"""),"и")</f>
        <v>и</v>
      </c>
      <c r="AA393" s="1" t="str">
        <f>IFERROR(__xludf.DUMMYFUNCTION("""COMPUTED_VALUE"""),"записи")</f>
        <v>записи</v>
      </c>
      <c r="AB393" s="1" t="str">
        <f>IFERROR(__xludf.DUMMYFUNCTION("""COMPUTED_VALUE"""),"правдивые…")</f>
        <v>правдивые…</v>
      </c>
      <c r="AC393" s="1" t="str">
        <f>IFERROR(__xludf.DUMMYFUNCTION("""COMPUTED_VALUE"""),"к")</f>
        <v>к</v>
      </c>
    </row>
    <row r="394" ht="14.25" customHeight="1">
      <c r="A394" s="1" t="s">
        <v>3203</v>
      </c>
      <c r="B394" s="1" t="s">
        <v>3204</v>
      </c>
      <c r="C394" s="2" t="s">
        <v>3205</v>
      </c>
      <c r="D394" s="7" t="s">
        <v>3206</v>
      </c>
      <c r="E394" s="1" t="s">
        <v>25</v>
      </c>
      <c r="F394" s="4" t="s">
        <v>3207</v>
      </c>
      <c r="G394" s="4" t="s">
        <v>3206</v>
      </c>
      <c r="H394" s="8" t="s">
        <v>1104</v>
      </c>
      <c r="I394" s="4" t="s">
        <v>3208</v>
      </c>
      <c r="J394" s="1" t="s">
        <v>3209</v>
      </c>
      <c r="K394" s="1" t="s">
        <v>888</v>
      </c>
      <c r="L394" s="1" t="s">
        <v>3210</v>
      </c>
      <c r="M394" s="1" t="s">
        <v>3211</v>
      </c>
      <c r="N394" s="1" t="s">
        <v>2366</v>
      </c>
      <c r="O394" s="1" t="s">
        <v>67</v>
      </c>
      <c r="P394" s="1" t="s">
        <v>3212</v>
      </c>
      <c r="Q394" s="1" t="s">
        <v>2041</v>
      </c>
      <c r="R394" s="1" t="s">
        <v>3211</v>
      </c>
      <c r="S394" s="1" t="s">
        <v>70</v>
      </c>
      <c r="T394" s="1" t="s">
        <v>1455</v>
      </c>
      <c r="U394" s="4" t="s">
        <v>3213</v>
      </c>
      <c r="X394" s="1" t="str">
        <f>IFERROR(__xludf.DUMMYFUNCTION("split(F394,"" ,:;.?!"")"),"гостю")</f>
        <v>гостю</v>
      </c>
      <c r="Y394" s="1" t="str">
        <f>IFERROR(__xludf.DUMMYFUNCTION("""COMPUTED_VALUE"""),"и")</f>
        <v>и</v>
      </c>
      <c r="Z394" s="1" t="str">
        <f>IFERROR(__xludf.DUMMYFUNCTION("""COMPUTED_VALUE"""),"с")</f>
        <v>с</v>
      </c>
      <c r="AA394" s="1" t="str">
        <f>IFERROR(__xludf.DUMMYFUNCTION("""COMPUTED_VALUE"""),"плохо")</f>
        <v>плохо</v>
      </c>
      <c r="AB394" s="1" t="str">
        <f>IFERROR(__xludf.DUMMYFUNCTION("""COMPUTED_VALUE"""),"скрываемой")</f>
        <v>скрываемой</v>
      </c>
      <c r="AC394" s="1" t="str">
        <f>IFERROR(__xludf.DUMMYFUNCTION("""COMPUTED_VALUE"""),"ностальгией")</f>
        <v>ностальгией</v>
      </c>
    </row>
    <row r="395" ht="14.25" customHeight="1">
      <c r="A395" s="1" t="s">
        <v>3214</v>
      </c>
      <c r="B395" s="1" t="s">
        <v>2196</v>
      </c>
      <c r="C395" s="2" t="s">
        <v>3215</v>
      </c>
      <c r="D395" s="7" t="s">
        <v>2198</v>
      </c>
      <c r="E395" s="1" t="s">
        <v>25</v>
      </c>
      <c r="F395" s="4" t="s">
        <v>3216</v>
      </c>
      <c r="G395" s="4" t="s">
        <v>2198</v>
      </c>
      <c r="H395" s="8" t="s">
        <v>3217</v>
      </c>
      <c r="I395" s="4" t="s">
        <v>3218</v>
      </c>
      <c r="J395" s="1" t="s">
        <v>3219</v>
      </c>
      <c r="L395" s="1" t="s">
        <v>3220</v>
      </c>
      <c r="M395" s="1" t="s">
        <v>3211</v>
      </c>
      <c r="N395" s="1" t="s">
        <v>51</v>
      </c>
      <c r="O395" s="1" t="s">
        <v>67</v>
      </c>
      <c r="P395" s="1" t="s">
        <v>3221</v>
      </c>
      <c r="Q395" s="1" t="s">
        <v>3222</v>
      </c>
      <c r="R395" s="1" t="s">
        <v>3211</v>
      </c>
      <c r="S395" s="1" t="s">
        <v>70</v>
      </c>
      <c r="T395" s="1" t="s">
        <v>1455</v>
      </c>
      <c r="U395" s="4" t="s">
        <v>3223</v>
      </c>
      <c r="X395" s="1" t="str">
        <f>IFERROR(__xludf.DUMMYFUNCTION("split(F395,"" ,:;.?!"")"),"главным")</f>
        <v>главным</v>
      </c>
      <c r="Y395" s="1" t="str">
        <f>IFERROR(__xludf.DUMMYFUNCTION("""COMPUTED_VALUE"""),"образом")</f>
        <v>образом</v>
      </c>
      <c r="Z395" s="1" t="str">
        <f>IFERROR(__xludf.DUMMYFUNCTION("""COMPUTED_VALUE"""),"удержать")</f>
        <v>удержать</v>
      </c>
      <c r="AA395" s="1" t="str">
        <f>IFERROR(__xludf.DUMMYFUNCTION("""COMPUTED_VALUE"""),"свои")</f>
        <v>свои</v>
      </c>
      <c r="AB395" s="1" t="str">
        <f>IFERROR(__xludf.DUMMYFUNCTION("""COMPUTED_VALUE"""),"позиции")</f>
        <v>позиции</v>
      </c>
      <c r="AC395" s="1" t="str">
        <f>IFERROR(__xludf.DUMMYFUNCTION("""COMPUTED_VALUE"""),"поскольку")</f>
        <v>поскольку</v>
      </c>
    </row>
    <row r="396" ht="14.25" customHeight="1">
      <c r="B396" s="1" t="s">
        <v>1474</v>
      </c>
      <c r="C396" s="2"/>
      <c r="D396" s="7" t="s">
        <v>1475</v>
      </c>
      <c r="E396" s="1" t="s">
        <v>25</v>
      </c>
      <c r="F396" s="4" t="s">
        <v>3224</v>
      </c>
      <c r="G396" s="4" t="s">
        <v>1475</v>
      </c>
      <c r="H396" s="8" t="s">
        <v>3225</v>
      </c>
      <c r="I396" s="4" t="s">
        <v>3226</v>
      </c>
      <c r="J396" s="1" t="s">
        <v>3227</v>
      </c>
      <c r="L396" s="1" t="s">
        <v>3228</v>
      </c>
      <c r="M396" s="1" t="s">
        <v>3211</v>
      </c>
      <c r="N396" s="1" t="s">
        <v>126</v>
      </c>
      <c r="O396" s="1" t="s">
        <v>2060</v>
      </c>
      <c r="P396" s="1" t="s">
        <v>3229</v>
      </c>
      <c r="Q396" s="1" t="s">
        <v>3230</v>
      </c>
      <c r="R396" s="1" t="s">
        <v>3211</v>
      </c>
      <c r="S396" s="1" t="s">
        <v>272</v>
      </c>
      <c r="T396" s="1" t="s">
        <v>1455</v>
      </c>
      <c r="U396" s="4" t="s">
        <v>3231</v>
      </c>
      <c r="X396" s="1" t="str">
        <f>IFERROR(__xludf.DUMMYFUNCTION("split(F396,"" ,:;.?!"")"),"параллели")</f>
        <v>параллели</v>
      </c>
      <c r="Y396" s="1" t="str">
        <f>IFERROR(__xludf.DUMMYFUNCTION("""COMPUTED_VALUE"""),"между")</f>
        <v>между</v>
      </c>
      <c r="Z396" s="1" t="str">
        <f>IFERROR(__xludf.DUMMYFUNCTION("""COMPUTED_VALUE"""),"ГПГ")</f>
        <v>ГПГ</v>
      </c>
      <c r="AA396" s="1" t="str">
        <f>IFERROR(__xludf.DUMMYFUNCTION("""COMPUTED_VALUE"""),"и")</f>
        <v>и</v>
      </c>
      <c r="AB396" s="1" t="str">
        <f>IFERROR(__xludf.DUMMYFUNCTION("""COMPUTED_VALUE"""),"амфимиксисом")</f>
        <v>амфимиксисом</v>
      </c>
      <c r="AC396" s="1" t="str">
        <f>IFERROR(__xludf.DUMMYFUNCTION("""COMPUTED_VALUE"""),"очевидны")</f>
        <v>очевидны</v>
      </c>
    </row>
    <row r="397" ht="14.25" customHeight="1">
      <c r="A397" s="1" t="s">
        <v>25</v>
      </c>
      <c r="B397" s="1" t="s">
        <v>1474</v>
      </c>
      <c r="C397" s="2"/>
      <c r="D397" s="7" t="s">
        <v>1475</v>
      </c>
      <c r="E397" s="1" t="s">
        <v>25</v>
      </c>
      <c r="F397" s="4" t="s">
        <v>3232</v>
      </c>
      <c r="G397" s="4" t="s">
        <v>1475</v>
      </c>
      <c r="H397" s="8" t="s">
        <v>1477</v>
      </c>
      <c r="I397" s="4" t="s">
        <v>3233</v>
      </c>
      <c r="J397" s="1" t="s">
        <v>2364</v>
      </c>
      <c r="L397" s="1" t="s">
        <v>3234</v>
      </c>
      <c r="M397" s="1" t="s">
        <v>3211</v>
      </c>
      <c r="N397" s="1" t="s">
        <v>2366</v>
      </c>
      <c r="O397" s="1" t="s">
        <v>67</v>
      </c>
      <c r="P397" s="1" t="s">
        <v>3235</v>
      </c>
      <c r="Q397" s="1" t="s">
        <v>2041</v>
      </c>
      <c r="R397" s="1" t="s">
        <v>3211</v>
      </c>
      <c r="S397" s="1" t="s">
        <v>70</v>
      </c>
      <c r="T397" s="1" t="s">
        <v>1455</v>
      </c>
      <c r="U397" s="4" t="s">
        <v>3236</v>
      </c>
      <c r="X397" s="1" t="str">
        <f>IFERROR(__xludf.DUMMYFUNCTION("split(F397,"" ,:;.?!"")"),"справедливости")</f>
        <v>справедливости</v>
      </c>
      <c r="Y397" s="1" t="str">
        <f>IFERROR(__xludf.DUMMYFUNCTION("""COMPUTED_VALUE"""),"ради")</f>
        <v>ради</v>
      </c>
      <c r="Z397" s="1" t="str">
        <f>IFERROR(__xludf.DUMMYFUNCTION("""COMPUTED_VALUE"""),"стоить")</f>
        <v>стоить</v>
      </c>
      <c r="AA397" s="1" t="str">
        <f>IFERROR(__xludf.DUMMYFUNCTION("""COMPUTED_VALUE"""),"заметить")</f>
        <v>заметить</v>
      </c>
      <c r="AB397" s="1" t="str">
        <f>IFERROR(__xludf.DUMMYFUNCTION("""COMPUTED_VALUE"""),"что")</f>
        <v>что</v>
      </c>
      <c r="AC397" s="1" t="str">
        <f>IFERROR(__xludf.DUMMYFUNCTION("""COMPUTED_VALUE"""),"лет")</f>
        <v>лет</v>
      </c>
    </row>
    <row r="398" ht="14.25" customHeight="1">
      <c r="A398" s="1" t="s">
        <v>3237</v>
      </c>
      <c r="B398" s="1" t="s">
        <v>1445</v>
      </c>
      <c r="C398" s="2" t="s">
        <v>3238</v>
      </c>
      <c r="D398" s="7" t="s">
        <v>1447</v>
      </c>
      <c r="E398" s="1" t="s">
        <v>25</v>
      </c>
      <c r="F398" s="4" t="s">
        <v>3239</v>
      </c>
      <c r="G398" s="4" t="s">
        <v>1447</v>
      </c>
      <c r="H398" s="8" t="s">
        <v>401</v>
      </c>
      <c r="I398" s="4" t="s">
        <v>3240</v>
      </c>
      <c r="J398" s="1" t="s">
        <v>3241</v>
      </c>
      <c r="L398" s="1" t="s">
        <v>3242</v>
      </c>
      <c r="M398" s="1" t="s">
        <v>3211</v>
      </c>
      <c r="N398" s="1" t="s">
        <v>2366</v>
      </c>
      <c r="O398" s="1" t="s">
        <v>67</v>
      </c>
      <c r="P398" s="1" t="s">
        <v>3243</v>
      </c>
      <c r="Q398" s="1" t="s">
        <v>2041</v>
      </c>
      <c r="R398" s="1" t="s">
        <v>3211</v>
      </c>
      <c r="S398" s="1" t="s">
        <v>70</v>
      </c>
      <c r="T398" s="1" t="s">
        <v>1455</v>
      </c>
      <c r="U398" s="4" t="s">
        <v>3244</v>
      </c>
      <c r="X398" s="1" t="str">
        <f>IFERROR(__xludf.DUMMYFUNCTION("split(F398,"" ,:;.?!"")"),"возможности")</f>
        <v>возможности</v>
      </c>
      <c r="Y398" s="1" t="str">
        <f>IFERROR(__xludf.DUMMYFUNCTION("""COMPUTED_VALUE"""),"стана")</f>
        <v>стана</v>
      </c>
      <c r="Z398" s="1" t="str">
        <f>IFERROR(__xludf.DUMMYFUNCTION("""COMPUTED_VALUE"""),"позволяют")</f>
        <v>позволяют</v>
      </c>
      <c r="AA398" s="1" t="str">
        <f>IFERROR(__xludf.DUMMYFUNCTION("""COMPUTED_VALUE"""),"производить")</f>
        <v>производить</v>
      </c>
      <c r="AB398" s="1" t="str">
        <f>IFERROR(__xludf.DUMMYFUNCTION("""COMPUTED_VALUE"""),"и")</f>
        <v>и</v>
      </c>
      <c r="AC398" s="1" t="str">
        <f>IFERROR(__xludf.DUMMYFUNCTION("""COMPUTED_VALUE"""),"другую")</f>
        <v>другую</v>
      </c>
    </row>
    <row r="399" ht="14.25" customHeight="1">
      <c r="A399" s="1" t="s">
        <v>3245</v>
      </c>
      <c r="B399" s="1" t="s">
        <v>325</v>
      </c>
      <c r="C399" s="2" t="s">
        <v>3246</v>
      </c>
      <c r="D399" s="7" t="s">
        <v>327</v>
      </c>
      <c r="E399" s="1" t="s">
        <v>25</v>
      </c>
      <c r="F399" s="4" t="s">
        <v>3247</v>
      </c>
      <c r="G399" s="4" t="s">
        <v>327</v>
      </c>
      <c r="H399" s="8" t="s">
        <v>3248</v>
      </c>
      <c r="I399" s="4" t="s">
        <v>3249</v>
      </c>
      <c r="J399" s="1" t="s">
        <v>2381</v>
      </c>
      <c r="K399" s="1" t="s">
        <v>734</v>
      </c>
      <c r="L399" s="1" t="s">
        <v>3250</v>
      </c>
      <c r="M399" s="1" t="s">
        <v>3211</v>
      </c>
      <c r="N399" s="1" t="s">
        <v>139</v>
      </c>
      <c r="O399" s="1" t="s">
        <v>457</v>
      </c>
      <c r="Q399" s="1" t="s">
        <v>285</v>
      </c>
      <c r="R399" s="1" t="s">
        <v>3211</v>
      </c>
      <c r="S399" s="1" t="s">
        <v>70</v>
      </c>
      <c r="T399" s="1" t="s">
        <v>1455</v>
      </c>
      <c r="U399" s="4" t="s">
        <v>3251</v>
      </c>
      <c r="X399" s="1" t="str">
        <f>IFERROR(__xludf.DUMMYFUNCTION("split(F399,"" ,:;.?!"")"),"отстраиванию")</f>
        <v>отстраиванию</v>
      </c>
      <c r="Y399" s="1" t="str">
        <f>IFERROR(__xludf.DUMMYFUNCTION("""COMPUTED_VALUE"""),"главного")</f>
        <v>главного</v>
      </c>
      <c r="Z399" s="1" t="str">
        <f>IFERROR(__xludf.DUMMYFUNCTION("""COMPUTED_VALUE"""),"храма")</f>
        <v>храма</v>
      </c>
      <c r="AA399" s="1" t="str">
        <f>IFERROR(__xludf.DUMMYFUNCTION("""COMPUTED_VALUE"""),"разрушение")</f>
        <v>разрушение</v>
      </c>
      <c r="AB399" s="1" t="str">
        <f>IFERROR(__xludf.DUMMYFUNCTION("""COMPUTED_VALUE"""),"которого")</f>
        <v>которого</v>
      </c>
      <c r="AC399" s="1" t="str">
        <f>IFERROR(__xludf.DUMMYFUNCTION("""COMPUTED_VALUE"""),"горячо")</f>
        <v>горячо</v>
      </c>
    </row>
    <row r="400" ht="14.25" customHeight="1">
      <c r="A400" s="1" t="s">
        <v>3252</v>
      </c>
      <c r="B400" s="1" t="s">
        <v>156</v>
      </c>
      <c r="C400" s="2" t="s">
        <v>3253</v>
      </c>
      <c r="D400" s="7" t="s">
        <v>158</v>
      </c>
      <c r="E400" s="1" t="s">
        <v>25</v>
      </c>
      <c r="F400" s="4" t="s">
        <v>3254</v>
      </c>
      <c r="G400" s="4" t="s">
        <v>158</v>
      </c>
      <c r="H400" s="8" t="s">
        <v>1518</v>
      </c>
      <c r="I400" s="4" t="s">
        <v>3249</v>
      </c>
      <c r="J400" s="1" t="s">
        <v>2381</v>
      </c>
      <c r="K400" s="1" t="s">
        <v>734</v>
      </c>
      <c r="L400" s="1" t="s">
        <v>3250</v>
      </c>
      <c r="M400" s="1" t="s">
        <v>3211</v>
      </c>
      <c r="N400" s="1" t="s">
        <v>139</v>
      </c>
      <c r="O400" s="1" t="s">
        <v>457</v>
      </c>
      <c r="Q400" s="1" t="s">
        <v>285</v>
      </c>
      <c r="R400" s="1" t="s">
        <v>3211</v>
      </c>
      <c r="S400" s="1" t="s">
        <v>70</v>
      </c>
      <c r="T400" s="1" t="s">
        <v>1455</v>
      </c>
      <c r="U400" s="4" t="s">
        <v>3255</v>
      </c>
      <c r="X400" s="1" t="str">
        <f>IFERROR(__xludf.DUMMYFUNCTION("split(F400,"" ,:;.?!"")"),"тому")</f>
        <v>тому</v>
      </c>
      <c r="Y400" s="1" t="str">
        <f>IFERROR(__xludf.DUMMYFUNCTION("""COMPUTED_VALUE"""),"что")</f>
        <v>что</v>
      </c>
      <c r="Z400" s="1" t="str">
        <f>IFERROR(__xludf.DUMMYFUNCTION("""COMPUTED_VALUE"""),"он")</f>
        <v>он</v>
      </c>
      <c r="AA400" s="1" t="str">
        <f>IFERROR(__xludf.DUMMYFUNCTION("""COMPUTED_VALUE"""),"не")</f>
        <v>не</v>
      </c>
      <c r="AB400" s="1" t="str">
        <f>IFERROR(__xludf.DUMMYFUNCTION("""COMPUTED_VALUE"""),"остался")</f>
        <v>остался</v>
      </c>
      <c r="AC400" s="1" t="str">
        <f>IFERROR(__xludf.DUMMYFUNCTION("""COMPUTED_VALUE"""),"и")</f>
        <v>и</v>
      </c>
    </row>
    <row r="401" ht="14.25" customHeight="1">
      <c r="A401" s="1" t="s">
        <v>3256</v>
      </c>
      <c r="B401" s="1" t="s">
        <v>461</v>
      </c>
      <c r="C401" s="2" t="s">
        <v>3257</v>
      </c>
      <c r="D401" s="7" t="s">
        <v>463</v>
      </c>
      <c r="E401" s="1" t="s">
        <v>25</v>
      </c>
      <c r="F401" s="4" t="s">
        <v>3258</v>
      </c>
      <c r="G401" s="4" t="s">
        <v>463</v>
      </c>
      <c r="H401" s="8" t="s">
        <v>3259</v>
      </c>
      <c r="I401" s="4" t="s">
        <v>3260</v>
      </c>
      <c r="J401" s="1" t="s">
        <v>2381</v>
      </c>
      <c r="K401" s="1" t="s">
        <v>734</v>
      </c>
      <c r="L401" s="1" t="s">
        <v>3261</v>
      </c>
      <c r="M401" s="1" t="s">
        <v>3211</v>
      </c>
      <c r="N401" s="1" t="s">
        <v>139</v>
      </c>
      <c r="O401" s="1" t="s">
        <v>457</v>
      </c>
      <c r="Q401" s="1" t="s">
        <v>3262</v>
      </c>
      <c r="R401" s="1" t="s">
        <v>3211</v>
      </c>
      <c r="S401" s="1" t="s">
        <v>70</v>
      </c>
      <c r="T401" s="1" t="s">
        <v>1455</v>
      </c>
      <c r="U401" s="4" t="s">
        <v>3263</v>
      </c>
      <c r="X401" s="1" t="str">
        <f>IFERROR(__xludf.DUMMYFUNCTION("split(F401,"" ,:;.?!"")"),"дочери")</f>
        <v>дочери</v>
      </c>
      <c r="Y401" s="1" t="str">
        <f>IFERROR(__xludf.DUMMYFUNCTION("""COMPUTED_VALUE"""),"и")</f>
        <v>и</v>
      </c>
      <c r="Z401" s="1" t="str">
        <f>IFERROR(__xludf.DUMMYFUNCTION("""COMPUTED_VALUE"""),"в")</f>
        <v>в</v>
      </c>
      <c r="AA401" s="1" t="str">
        <f>IFERROR(__xludf.DUMMYFUNCTION("""COMPUTED_VALUE"""),"качестве")</f>
        <v>качестве</v>
      </c>
      <c r="AB401" s="1" t="str">
        <f>IFERROR(__xludf.DUMMYFUNCTION("""COMPUTED_VALUE"""),"приданого")</f>
        <v>приданого</v>
      </c>
      <c r="AC401" s="1" t="str">
        <f>IFERROR(__xludf.DUMMYFUNCTION("""COMPUTED_VALUE"""),"получил")</f>
        <v>получил</v>
      </c>
    </row>
    <row r="402" ht="14.25" customHeight="1">
      <c r="A402" s="1" t="s">
        <v>3264</v>
      </c>
      <c r="B402" s="1" t="s">
        <v>2727</v>
      </c>
      <c r="C402" s="2" t="s">
        <v>3265</v>
      </c>
      <c r="D402" s="7" t="s">
        <v>2729</v>
      </c>
      <c r="E402" s="1" t="s">
        <v>25</v>
      </c>
      <c r="F402" s="4" t="s">
        <v>3266</v>
      </c>
      <c r="G402" s="4" t="s">
        <v>2729</v>
      </c>
      <c r="H402" s="8" t="s">
        <v>3267</v>
      </c>
      <c r="I402" s="4" t="s">
        <v>3268</v>
      </c>
      <c r="J402" s="1" t="s">
        <v>3269</v>
      </c>
      <c r="L402" s="1" t="s">
        <v>3270</v>
      </c>
      <c r="M402" s="1" t="s">
        <v>3211</v>
      </c>
      <c r="N402" s="1" t="s">
        <v>2366</v>
      </c>
      <c r="O402" s="1" t="s">
        <v>67</v>
      </c>
      <c r="P402" s="1" t="s">
        <v>3271</v>
      </c>
      <c r="Q402" s="1" t="s">
        <v>3272</v>
      </c>
      <c r="R402" s="1" t="s">
        <v>3211</v>
      </c>
      <c r="S402" s="1" t="s">
        <v>70</v>
      </c>
      <c r="T402" s="1" t="s">
        <v>1455</v>
      </c>
      <c r="U402" s="4" t="s">
        <v>3273</v>
      </c>
      <c r="X402" s="1" t="str">
        <f>IFERROR(__xludf.DUMMYFUNCTION("split(F402,"" ,:;.?!"")"),"расхлябанности")</f>
        <v>расхлябанности</v>
      </c>
      <c r="Y402" s="1" t="str">
        <f>IFERROR(__xludf.DUMMYFUNCTION("""COMPUTED_VALUE"""),"недобросовестности")</f>
        <v>недобросовестности</v>
      </c>
      <c r="Z402" s="1" t="str">
        <f>IFERROR(__xludf.DUMMYFUNCTION("""COMPUTED_VALUE"""),"лжи")</f>
        <v>лжи</v>
      </c>
      <c r="AA402" s="1" t="str">
        <f>IFERROR(__xludf.DUMMYFUNCTION("""COMPUTED_VALUE"""),"лукавства")</f>
        <v>лукавства</v>
      </c>
    </row>
    <row r="403" ht="14.25" customHeight="1">
      <c r="A403" s="1" t="s">
        <v>3274</v>
      </c>
      <c r="B403" s="1" t="s">
        <v>1271</v>
      </c>
      <c r="C403" s="2" t="s">
        <v>3275</v>
      </c>
      <c r="D403" s="7" t="s">
        <v>1273</v>
      </c>
      <c r="E403" s="1" t="s">
        <v>25</v>
      </c>
      <c r="F403" s="4" t="s">
        <v>3276</v>
      </c>
      <c r="G403" s="4" t="s">
        <v>1273</v>
      </c>
      <c r="H403" s="8" t="s">
        <v>3277</v>
      </c>
      <c r="I403" s="4" t="s">
        <v>3278</v>
      </c>
      <c r="J403" s="1" t="s">
        <v>3279</v>
      </c>
      <c r="K403" s="1" t="s">
        <v>454</v>
      </c>
      <c r="L403" s="1" t="s">
        <v>3280</v>
      </c>
      <c r="M403" s="1" t="s">
        <v>3211</v>
      </c>
      <c r="N403" s="1" t="s">
        <v>139</v>
      </c>
      <c r="O403" s="1" t="s">
        <v>366</v>
      </c>
      <c r="Q403" s="1" t="s">
        <v>3281</v>
      </c>
      <c r="R403" s="1" t="s">
        <v>3211</v>
      </c>
      <c r="S403" s="1" t="s">
        <v>272</v>
      </c>
      <c r="T403" s="1" t="s">
        <v>1455</v>
      </c>
      <c r="U403" s="4" t="s">
        <v>3282</v>
      </c>
      <c r="X403" s="1" t="str">
        <f>IFERROR(__xludf.DUMMYFUNCTION("split(F403,"" ,:;.?!"")"),"папиным")</f>
        <v>папиным</v>
      </c>
      <c r="Y403" s="1" t="str">
        <f>IFERROR(__xludf.DUMMYFUNCTION("""COMPUTED_VALUE"""),"сыночком")</f>
        <v>сыночком</v>
      </c>
    </row>
    <row r="404" ht="14.25" customHeight="1">
      <c r="A404" s="1" t="s">
        <v>25</v>
      </c>
      <c r="B404" s="1" t="s">
        <v>1474</v>
      </c>
      <c r="C404" s="2"/>
      <c r="D404" s="7" t="s">
        <v>1475</v>
      </c>
      <c r="E404" s="1" t="s">
        <v>25</v>
      </c>
      <c r="F404" s="4" t="s">
        <v>3283</v>
      </c>
      <c r="G404" s="4" t="s">
        <v>1475</v>
      </c>
      <c r="H404" s="8" t="s">
        <v>3284</v>
      </c>
      <c r="I404" s="4" t="s">
        <v>3278</v>
      </c>
      <c r="J404" s="1" t="s">
        <v>3279</v>
      </c>
      <c r="K404" s="1" t="s">
        <v>454</v>
      </c>
      <c r="L404" s="1" t="s">
        <v>3280</v>
      </c>
      <c r="M404" s="1" t="s">
        <v>3211</v>
      </c>
      <c r="N404" s="1" t="s">
        <v>139</v>
      </c>
      <c r="O404" s="1" t="s">
        <v>366</v>
      </c>
      <c r="Q404" s="1" t="s">
        <v>3281</v>
      </c>
      <c r="R404" s="1" t="s">
        <v>3211</v>
      </c>
      <c r="S404" s="1" t="s">
        <v>272</v>
      </c>
      <c r="T404" s="1" t="s">
        <v>1455</v>
      </c>
      <c r="U404" s="4" t="s">
        <v>3285</v>
      </c>
      <c r="X404" s="1" t="str">
        <f>IFERROR(__xludf.DUMMYFUNCTION("split(F404,"" ,:;.?!"")"),"Химину")</f>
        <v>Химину</v>
      </c>
      <c r="Y404" s="1" t="str">
        <f>IFERROR(__xludf.DUMMYFUNCTION("""COMPUTED_VALUE"""),"показалось")</f>
        <v>показалось</v>
      </c>
      <c r="Z404" s="1" t="str">
        <f>IFERROR(__xludf.DUMMYFUNCTION("""COMPUTED_VALUE"""),"что")</f>
        <v>что</v>
      </c>
      <c r="AA404" s="1" t="str">
        <f>IFERROR(__xludf.DUMMYFUNCTION("""COMPUTED_VALUE"""),"в")</f>
        <v>в</v>
      </c>
      <c r="AB404" s="1" t="str">
        <f>IFERROR(__xludf.DUMMYFUNCTION("""COMPUTED_VALUE"""),"глубине")</f>
        <v>глубине</v>
      </c>
      <c r="AC404" s="1" t="str">
        <f>IFERROR(__xludf.DUMMYFUNCTION("""COMPUTED_VALUE"""),"ее")</f>
        <v>ее</v>
      </c>
    </row>
    <row r="405" ht="14.25" customHeight="1">
      <c r="A405" s="1" t="s">
        <v>3286</v>
      </c>
      <c r="B405" s="1" t="s">
        <v>442</v>
      </c>
      <c r="C405" s="2" t="s">
        <v>3287</v>
      </c>
      <c r="D405" s="7" t="s">
        <v>444</v>
      </c>
      <c r="E405" s="1" t="s">
        <v>197</v>
      </c>
      <c r="F405" s="4" t="s">
        <v>3288</v>
      </c>
      <c r="G405" s="4" t="s">
        <v>444</v>
      </c>
      <c r="H405" s="8" t="s">
        <v>3289</v>
      </c>
      <c r="I405" s="4" t="s">
        <v>3278</v>
      </c>
      <c r="J405" s="1" t="s">
        <v>3279</v>
      </c>
      <c r="K405" s="1" t="s">
        <v>454</v>
      </c>
      <c r="L405" s="1" t="s">
        <v>3280</v>
      </c>
      <c r="M405" s="1" t="s">
        <v>3211</v>
      </c>
      <c r="N405" s="1" t="s">
        <v>139</v>
      </c>
      <c r="O405" s="1" t="s">
        <v>366</v>
      </c>
      <c r="Q405" s="1" t="s">
        <v>3281</v>
      </c>
      <c r="R405" s="1" t="s">
        <v>3211</v>
      </c>
      <c r="S405" s="1" t="s">
        <v>272</v>
      </c>
      <c r="T405" s="1" t="s">
        <v>1455</v>
      </c>
      <c r="U405" s="4" t="s">
        <v>3290</v>
      </c>
      <c r="X405" s="1" t="str">
        <f>IFERROR(__xludf.DUMMYFUNCTION("split(F405,"" ,:;.?!"")"),"Насте")</f>
        <v>Насте</v>
      </c>
      <c r="Y405" s="1" t="str">
        <f>IFERROR(__xludf.DUMMYFUNCTION("""COMPUTED_VALUE"""),"нет")</f>
        <v>нет</v>
      </c>
      <c r="Z405" s="1" t="str">
        <f>IFERROR(__xludf.DUMMYFUNCTION("""COMPUTED_VALUE"""),"до")</f>
        <v>до</v>
      </c>
      <c r="AA405" s="1" t="str">
        <f>IFERROR(__xludf.DUMMYFUNCTION("""COMPUTED_VALUE"""),"этого")</f>
        <v>этого</v>
      </c>
      <c r="AB405" s="1" t="str">
        <f>IFERROR(__xludf.DUMMYFUNCTION("""COMPUTED_VALUE"""),"дела")</f>
        <v>дела</v>
      </c>
      <c r="AC405" s="1" t="str">
        <f>IFERROR(__xludf.DUMMYFUNCTION("""COMPUTED_VALUE"""),"но")</f>
        <v>но</v>
      </c>
    </row>
    <row r="406" ht="14.25" customHeight="1">
      <c r="A406" s="1" t="s">
        <v>3291</v>
      </c>
      <c r="B406" s="1" t="s">
        <v>461</v>
      </c>
      <c r="C406" s="2" t="s">
        <v>3292</v>
      </c>
      <c r="D406" s="7" t="s">
        <v>463</v>
      </c>
      <c r="E406" s="1" t="s">
        <v>25</v>
      </c>
      <c r="F406" s="4" t="s">
        <v>3293</v>
      </c>
      <c r="G406" s="4" t="s">
        <v>463</v>
      </c>
      <c r="H406" s="8" t="s">
        <v>3294</v>
      </c>
      <c r="I406" s="4" t="s">
        <v>3278</v>
      </c>
      <c r="J406" s="1" t="s">
        <v>3279</v>
      </c>
      <c r="K406" s="1" t="s">
        <v>454</v>
      </c>
      <c r="L406" s="1" t="s">
        <v>3280</v>
      </c>
      <c r="M406" s="1" t="s">
        <v>3211</v>
      </c>
      <c r="N406" s="1" t="s">
        <v>139</v>
      </c>
      <c r="O406" s="1" t="s">
        <v>366</v>
      </c>
      <c r="Q406" s="1" t="s">
        <v>3281</v>
      </c>
      <c r="R406" s="1" t="s">
        <v>3211</v>
      </c>
      <c r="S406" s="1" t="s">
        <v>272</v>
      </c>
      <c r="T406" s="1" t="s">
        <v>1455</v>
      </c>
      <c r="U406" s="4" t="s">
        <v>3295</v>
      </c>
      <c r="X406" s="1" t="str">
        <f>IFERROR(__xludf.DUMMYFUNCTION("split(F406,"" ,:;.?!"")"),"кондитерской")</f>
        <v>кондитерской</v>
      </c>
      <c r="Y406" s="1" t="str">
        <f>IFERROR(__xludf.DUMMYFUNCTION("""COMPUTED_VALUE"""),"новый")</f>
        <v>новый</v>
      </c>
      <c r="Z406" s="1" t="str">
        <f>IFERROR(__xludf.DUMMYFUNCTION("""COMPUTED_VALUE"""),"выпуск")</f>
        <v>выпуск</v>
      </c>
      <c r="AA406" s="1" t="str">
        <f>IFERROR(__xludf.DUMMYFUNCTION("""COMPUTED_VALUE"""),"журнала")</f>
        <v>журнала</v>
      </c>
      <c r="AB406" s="1" t="str">
        <f>IFERROR(__xludf.DUMMYFUNCTION("""COMPUTED_VALUE"""),"с")</f>
        <v>с</v>
      </c>
      <c r="AC406" s="1" t="str">
        <f>IFERROR(__xludf.DUMMYFUNCTION("""COMPUTED_VALUE"""),"ее")</f>
        <v>ее</v>
      </c>
    </row>
    <row r="407" ht="14.25" customHeight="1">
      <c r="A407" s="1" t="s">
        <v>3296</v>
      </c>
      <c r="B407" s="1" t="s">
        <v>2230</v>
      </c>
      <c r="C407" s="2" t="s">
        <v>3297</v>
      </c>
      <c r="D407" s="7" t="s">
        <v>2232</v>
      </c>
      <c r="E407" s="1" t="s">
        <v>25</v>
      </c>
      <c r="F407" s="4" t="s">
        <v>3298</v>
      </c>
      <c r="G407" s="4" t="s">
        <v>2232</v>
      </c>
      <c r="H407" s="8" t="s">
        <v>1691</v>
      </c>
      <c r="I407" s="4" t="s">
        <v>3278</v>
      </c>
      <c r="J407" s="1" t="s">
        <v>3279</v>
      </c>
      <c r="K407" s="1" t="s">
        <v>454</v>
      </c>
      <c r="L407" s="1" t="s">
        <v>3280</v>
      </c>
      <c r="M407" s="1" t="s">
        <v>3211</v>
      </c>
      <c r="N407" s="1" t="s">
        <v>139</v>
      </c>
      <c r="O407" s="1" t="s">
        <v>366</v>
      </c>
      <c r="Q407" s="1" t="s">
        <v>3281</v>
      </c>
      <c r="R407" s="1" t="s">
        <v>3211</v>
      </c>
      <c r="S407" s="1" t="s">
        <v>272</v>
      </c>
      <c r="T407" s="1" t="s">
        <v>1455</v>
      </c>
      <c r="U407" s="4" t="s">
        <v>3299</v>
      </c>
      <c r="X407" s="1" t="str">
        <f>IFERROR(__xludf.DUMMYFUNCTION("split(F407,"" ,:;.?!"")"),"Валеру")</f>
        <v>Валеру</v>
      </c>
      <c r="Y407" s="1" t="str">
        <f>IFERROR(__xludf.DUMMYFUNCTION("""COMPUTED_VALUE"""),"подставить")</f>
        <v>подставить</v>
      </c>
    </row>
    <row r="408" ht="14.25" customHeight="1">
      <c r="A408" s="1" t="s">
        <v>3300</v>
      </c>
      <c r="B408" s="1" t="s">
        <v>1362</v>
      </c>
      <c r="C408" s="2" t="s">
        <v>3301</v>
      </c>
      <c r="D408" s="7" t="s">
        <v>1364</v>
      </c>
      <c r="E408" s="1" t="s">
        <v>25</v>
      </c>
      <c r="F408" s="4" t="s">
        <v>3302</v>
      </c>
      <c r="G408" s="4" t="s">
        <v>1364</v>
      </c>
      <c r="H408" s="8" t="s">
        <v>2970</v>
      </c>
      <c r="I408" s="4" t="s">
        <v>3278</v>
      </c>
      <c r="J408" s="1" t="s">
        <v>3279</v>
      </c>
      <c r="K408" s="1" t="s">
        <v>454</v>
      </c>
      <c r="L408" s="1" t="s">
        <v>3280</v>
      </c>
      <c r="M408" s="1" t="s">
        <v>3211</v>
      </c>
      <c r="N408" s="1" t="s">
        <v>139</v>
      </c>
      <c r="O408" s="1" t="s">
        <v>366</v>
      </c>
      <c r="Q408" s="1" t="s">
        <v>3281</v>
      </c>
      <c r="R408" s="1" t="s">
        <v>3211</v>
      </c>
      <c r="S408" s="1" t="s">
        <v>272</v>
      </c>
      <c r="T408" s="1" t="s">
        <v>1455</v>
      </c>
      <c r="U408" s="4" t="s">
        <v>3303</v>
      </c>
      <c r="X408" s="1" t="str">
        <f>IFERROR(__xludf.DUMMYFUNCTION("split(F408,"" ,:;.?!"")"),"чаю")</f>
        <v>чаю</v>
      </c>
    </row>
    <row r="409" ht="14.25" customHeight="1">
      <c r="A409" s="1" t="s">
        <v>3304</v>
      </c>
      <c r="B409" s="1" t="s">
        <v>39</v>
      </c>
      <c r="C409" s="2" t="s">
        <v>3305</v>
      </c>
      <c r="D409" s="7" t="s">
        <v>41</v>
      </c>
      <c r="E409" s="1" t="s">
        <v>25</v>
      </c>
      <c r="F409" s="4" t="s">
        <v>3306</v>
      </c>
      <c r="G409" s="4" t="s">
        <v>41</v>
      </c>
      <c r="H409" s="8" t="s">
        <v>3307</v>
      </c>
      <c r="I409" s="4" t="s">
        <v>3278</v>
      </c>
      <c r="J409" s="1" t="s">
        <v>3279</v>
      </c>
      <c r="K409" s="1" t="s">
        <v>454</v>
      </c>
      <c r="L409" s="1" t="s">
        <v>3280</v>
      </c>
      <c r="M409" s="1" t="s">
        <v>3211</v>
      </c>
      <c r="N409" s="1" t="s">
        <v>139</v>
      </c>
      <c r="O409" s="1" t="s">
        <v>366</v>
      </c>
      <c r="Q409" s="1" t="s">
        <v>3281</v>
      </c>
      <c r="R409" s="1" t="s">
        <v>3211</v>
      </c>
      <c r="S409" s="1" t="s">
        <v>272</v>
      </c>
      <c r="T409" s="1" t="s">
        <v>1455</v>
      </c>
      <c r="U409" s="4" t="s">
        <v>3308</v>
      </c>
      <c r="X409" s="1" t="str">
        <f>IFERROR(__xludf.DUMMYFUNCTION("split(F409,"" ,:;.?!"")"),"злоключениям")</f>
        <v>злоключениям</v>
      </c>
      <c r="Y409" s="1" t="str">
        <f>IFERROR(__xludf.DUMMYFUNCTION("""COMPUTED_VALUE"""),"Элли")</f>
        <v>Элли</v>
      </c>
      <c r="Z409" s="1" t="str">
        <f>IFERROR(__xludf.DUMMYFUNCTION("""COMPUTED_VALUE"""),"Тотошки")</f>
        <v>Тотошки</v>
      </c>
      <c r="AA409" s="1" t="str">
        <f>IFERROR(__xludf.DUMMYFUNCTION("""COMPUTED_VALUE"""),"и")</f>
        <v>и</v>
      </c>
      <c r="AB409" s="1" t="str">
        <f>IFERROR(__xludf.DUMMYFUNCTION("""COMPUTED_VALUE"""),"их")</f>
        <v>их</v>
      </c>
      <c r="AC409" s="1" t="str">
        <f>IFERROR(__xludf.DUMMYFUNCTION("""COMPUTED_VALUE"""),"друзей")</f>
        <v>друзей</v>
      </c>
    </row>
    <row r="410" ht="14.25" customHeight="1">
      <c r="A410" s="1" t="s">
        <v>3309</v>
      </c>
      <c r="B410" s="1" t="s">
        <v>2493</v>
      </c>
      <c r="C410" s="2" t="s">
        <v>3310</v>
      </c>
      <c r="D410" s="7" t="s">
        <v>2495</v>
      </c>
      <c r="E410" s="1" t="s">
        <v>25</v>
      </c>
      <c r="F410" s="4" t="s">
        <v>3311</v>
      </c>
      <c r="G410" s="4" t="s">
        <v>2495</v>
      </c>
      <c r="H410" s="8" t="s">
        <v>3312</v>
      </c>
      <c r="I410" s="4" t="s">
        <v>3313</v>
      </c>
      <c r="J410" s="1" t="s">
        <v>3314</v>
      </c>
      <c r="K410" s="1" t="s">
        <v>1295</v>
      </c>
      <c r="L410" s="1" t="s">
        <v>3315</v>
      </c>
      <c r="M410" s="1" t="s">
        <v>3211</v>
      </c>
      <c r="N410" s="1" t="s">
        <v>2366</v>
      </c>
      <c r="O410" s="1" t="s">
        <v>67</v>
      </c>
      <c r="P410" s="1" t="s">
        <v>53</v>
      </c>
      <c r="Q410" s="1" t="s">
        <v>1996</v>
      </c>
      <c r="R410" s="1" t="s">
        <v>3211</v>
      </c>
      <c r="S410" s="1" t="s">
        <v>70</v>
      </c>
      <c r="T410" s="1" t="s">
        <v>1455</v>
      </c>
      <c r="U410" s="4" t="s">
        <v>3316</v>
      </c>
      <c r="X410" s="1" t="str">
        <f>IFERROR(__xludf.DUMMYFUNCTION("split(F410,"" ,:;.?!"")"),"беспомощности")</f>
        <v>беспомощности</v>
      </c>
    </row>
    <row r="411" ht="14.25" customHeight="1">
      <c r="A411" s="1" t="s">
        <v>3317</v>
      </c>
      <c r="B411" s="1" t="s">
        <v>1445</v>
      </c>
      <c r="C411" s="2" t="s">
        <v>928</v>
      </c>
      <c r="D411" s="7" t="s">
        <v>1447</v>
      </c>
      <c r="E411" s="1" t="s">
        <v>25</v>
      </c>
      <c r="F411" s="4" t="s">
        <v>3318</v>
      </c>
      <c r="G411" s="4" t="s">
        <v>1447</v>
      </c>
      <c r="H411" s="8" t="s">
        <v>3319</v>
      </c>
      <c r="I411" s="4" t="s">
        <v>3320</v>
      </c>
      <c r="J411" s="1" t="s">
        <v>3321</v>
      </c>
      <c r="L411" s="1" t="s">
        <v>3322</v>
      </c>
      <c r="M411" s="1" t="s">
        <v>3211</v>
      </c>
      <c r="N411" s="1" t="s">
        <v>2366</v>
      </c>
      <c r="O411" s="1" t="s">
        <v>67</v>
      </c>
      <c r="P411" s="1" t="s">
        <v>53</v>
      </c>
      <c r="Q411" s="1" t="s">
        <v>1996</v>
      </c>
      <c r="R411" s="1" t="s">
        <v>3211</v>
      </c>
      <c r="S411" s="1" t="s">
        <v>70</v>
      </c>
      <c r="T411" s="1" t="s">
        <v>1455</v>
      </c>
      <c r="U411" s="4" t="s">
        <v>3323</v>
      </c>
      <c r="X411" s="1" t="str">
        <f>IFERROR(__xludf.DUMMYFUNCTION("split(F411,"" ,:;.?!"")"),"Плёсу")</f>
        <v>Плёсу</v>
      </c>
      <c r="Y411" s="1" t="str">
        <f>IFERROR(__xludf.DUMMYFUNCTION("""COMPUTED_VALUE"""),"никогда")</f>
        <v>никогда</v>
      </c>
      <c r="Z411" s="1" t="str">
        <f>IFERROR(__xludf.DUMMYFUNCTION("""COMPUTED_VALUE"""),"не")</f>
        <v>не</v>
      </c>
      <c r="AA411" s="1" t="str">
        <f>IFERROR(__xludf.DUMMYFUNCTION("""COMPUTED_VALUE"""),"стать")</f>
        <v>стать</v>
      </c>
      <c r="AB411" s="1" t="str">
        <f>IFERROR(__xludf.DUMMYFUNCTION("""COMPUTED_VALUE"""),"Канном")</f>
        <v>Канном</v>
      </c>
      <c r="AC411" s="1" t="str">
        <f>IFERROR(__xludf.DUMMYFUNCTION("""COMPUTED_VALUE"""),"у")</f>
        <v>у</v>
      </c>
    </row>
    <row r="412" ht="14.25" customHeight="1">
      <c r="A412" s="1" t="s">
        <v>3324</v>
      </c>
      <c r="B412" s="1" t="s">
        <v>1285</v>
      </c>
      <c r="C412" s="2" t="s">
        <v>3325</v>
      </c>
      <c r="D412" s="7" t="s">
        <v>1287</v>
      </c>
      <c r="E412" s="1" t="s">
        <v>25</v>
      </c>
      <c r="F412" s="4" t="s">
        <v>3326</v>
      </c>
      <c r="G412" s="4" t="s">
        <v>1287</v>
      </c>
      <c r="H412" s="8" t="s">
        <v>3327</v>
      </c>
      <c r="I412" s="4" t="s">
        <v>3328</v>
      </c>
      <c r="J412" s="1" t="s">
        <v>3329</v>
      </c>
      <c r="L412" s="1" t="s">
        <v>3330</v>
      </c>
      <c r="M412" s="1" t="s">
        <v>3211</v>
      </c>
      <c r="N412" s="1" t="s">
        <v>2366</v>
      </c>
      <c r="O412" s="1" t="s">
        <v>67</v>
      </c>
      <c r="P412" s="1" t="s">
        <v>68</v>
      </c>
      <c r="Q412" s="1" t="s">
        <v>2041</v>
      </c>
      <c r="R412" s="1" t="s">
        <v>3211</v>
      </c>
      <c r="S412" s="1" t="s">
        <v>70</v>
      </c>
      <c r="T412" s="1" t="s">
        <v>1455</v>
      </c>
      <c r="U412" s="4" t="s">
        <v>3331</v>
      </c>
      <c r="X412" s="1" t="str">
        <f>IFERROR(__xludf.DUMMYFUNCTION("split(F412,"" ,:;.?!"")"),"самореализации")</f>
        <v>самореализации</v>
      </c>
      <c r="Y412" s="1" t="str">
        <f>IFERROR(__xludf.DUMMYFUNCTION("""COMPUTED_VALUE"""),"―")</f>
        <v>―</v>
      </c>
      <c r="Z412" s="1" t="str">
        <f>IFERROR(__xludf.DUMMYFUNCTION("""COMPUTED_VALUE"""),"личностной")</f>
        <v>личностной</v>
      </c>
      <c r="AA412" s="1" t="str">
        <f>IFERROR(__xludf.DUMMYFUNCTION("""COMPUTED_VALUE"""),"и")</f>
        <v>и</v>
      </c>
      <c r="AB412" s="1" t="str">
        <f>IFERROR(__xludf.DUMMYFUNCTION("""COMPUTED_VALUE"""),"творческой")</f>
        <v>творческой</v>
      </c>
      <c r="AC412" s="1" t="str">
        <f>IFERROR(__xludf.DUMMYFUNCTION("""COMPUTED_VALUE"""),"―")</f>
        <v>―</v>
      </c>
      <c r="AD412" s="1" t="str">
        <f>IFERROR(__xludf.DUMMYFUNCTION("""COMPUTED_VALUE"""),"в")</f>
        <v>в</v>
      </c>
      <c r="AE412" s="1" t="str">
        <f>IFERROR(__xludf.DUMMYFUNCTION("""COMPUTED_VALUE"""),"новых")</f>
        <v>новых</v>
      </c>
    </row>
    <row r="413" ht="14.25" customHeight="1">
      <c r="A413" s="1" t="s">
        <v>3332</v>
      </c>
      <c r="B413" s="1" t="s">
        <v>3333</v>
      </c>
      <c r="C413" s="2" t="s">
        <v>3334</v>
      </c>
      <c r="D413" s="7" t="s">
        <v>3335</v>
      </c>
      <c r="E413" s="1" t="s">
        <v>25</v>
      </c>
      <c r="F413" s="4" t="s">
        <v>3336</v>
      </c>
      <c r="G413" s="4" t="s">
        <v>3335</v>
      </c>
      <c r="H413" s="8" t="s">
        <v>3337</v>
      </c>
      <c r="I413" s="4" t="s">
        <v>3338</v>
      </c>
      <c r="J413" s="1" t="s">
        <v>3329</v>
      </c>
      <c r="L413" s="1" t="s">
        <v>3339</v>
      </c>
      <c r="M413" s="1" t="s">
        <v>3211</v>
      </c>
      <c r="N413" s="1" t="s">
        <v>2366</v>
      </c>
      <c r="O413" s="1" t="s">
        <v>1372</v>
      </c>
      <c r="P413" s="1" t="s">
        <v>3340</v>
      </c>
      <c r="Q413" s="1" t="s">
        <v>2041</v>
      </c>
      <c r="R413" s="1" t="s">
        <v>3211</v>
      </c>
      <c r="S413" s="1" t="s">
        <v>70</v>
      </c>
      <c r="T413" s="1" t="s">
        <v>1455</v>
      </c>
      <c r="U413" s="4" t="s">
        <v>3341</v>
      </c>
      <c r="X413" s="1" t="str">
        <f>IFERROR(__xludf.DUMMYFUNCTION("split(F413,"" ,:;.?!"")"),"родину")</f>
        <v>родину</v>
      </c>
      <c r="Y413" s="1" t="str">
        <f>IFERROR(__xludf.DUMMYFUNCTION("""COMPUTED_VALUE"""),"героини")</f>
        <v>героини</v>
      </c>
      <c r="Z413" s="1" t="str">
        <f>IFERROR(__xludf.DUMMYFUNCTION("""COMPUTED_VALUE"""),"показать")</f>
        <v>показать</v>
      </c>
      <c r="AA413" s="1" t="str">
        <f>IFERROR(__xludf.DUMMYFUNCTION("""COMPUTED_VALUE"""),"ее")</f>
        <v>ее</v>
      </c>
      <c r="AB413" s="1" t="str">
        <f>IFERROR(__xludf.DUMMYFUNCTION("""COMPUTED_VALUE"""),"культуру")</f>
        <v>культуру</v>
      </c>
      <c r="AC413" s="1" t="str">
        <f>IFERROR(__xludf.DUMMYFUNCTION("""COMPUTED_VALUE"""),"заставить")</f>
        <v>заставить</v>
      </c>
    </row>
    <row r="414" ht="14.25" customHeight="1">
      <c r="A414" s="1" t="s">
        <v>3342</v>
      </c>
      <c r="B414" s="1" t="s">
        <v>3343</v>
      </c>
      <c r="C414" s="2" t="s">
        <v>3344</v>
      </c>
      <c r="D414" s="7" t="s">
        <v>3345</v>
      </c>
      <c r="E414" s="1" t="s">
        <v>25</v>
      </c>
      <c r="F414" s="4" t="s">
        <v>3346</v>
      </c>
      <c r="G414" s="4" t="s">
        <v>3345</v>
      </c>
      <c r="H414" s="8" t="s">
        <v>3347</v>
      </c>
      <c r="I414" s="4" t="s">
        <v>3338</v>
      </c>
      <c r="J414" s="1" t="s">
        <v>3329</v>
      </c>
      <c r="L414" s="1" t="s">
        <v>3339</v>
      </c>
      <c r="M414" s="1" t="s">
        <v>3211</v>
      </c>
      <c r="N414" s="1" t="s">
        <v>2366</v>
      </c>
      <c r="O414" s="1" t="s">
        <v>1372</v>
      </c>
      <c r="P414" s="1" t="s">
        <v>3340</v>
      </c>
      <c r="Q414" s="1" t="s">
        <v>2041</v>
      </c>
      <c r="R414" s="1" t="s">
        <v>3211</v>
      </c>
      <c r="S414" s="1" t="s">
        <v>70</v>
      </c>
      <c r="T414" s="1" t="s">
        <v>1455</v>
      </c>
      <c r="U414" s="4" t="s">
        <v>3348</v>
      </c>
      <c r="X414" s="1" t="str">
        <f>IFERROR(__xludf.DUMMYFUNCTION("split(F414,"" ,:;.?!"")"),"уровню")</f>
        <v>уровню</v>
      </c>
      <c r="Y414" s="1" t="str">
        <f>IFERROR(__xludf.DUMMYFUNCTION("""COMPUTED_VALUE"""),"развития")</f>
        <v>развития</v>
      </c>
      <c r="Z414" s="1" t="str">
        <f>IFERROR(__xludf.DUMMYFUNCTION("""COMPUTED_VALUE"""),"медицины")</f>
        <v>медицины</v>
      </c>
      <c r="AA414" s="1" t="str">
        <f>IFERROR(__xludf.DUMMYFUNCTION("""COMPUTED_VALUE"""),"и")</f>
        <v>и</v>
      </c>
      <c r="AB414" s="1" t="str">
        <f>IFERROR(__xludf.DUMMYFUNCTION("""COMPUTED_VALUE"""),"социальных")</f>
        <v>социальных</v>
      </c>
      <c r="AC414" s="1" t="str">
        <f>IFERROR(__xludf.DUMMYFUNCTION("""COMPUTED_VALUE"""),"отношений")</f>
        <v>отношений</v>
      </c>
    </row>
    <row r="415" ht="14.25" customHeight="1">
      <c r="A415" s="1" t="s">
        <v>3349</v>
      </c>
      <c r="B415" s="1" t="s">
        <v>3350</v>
      </c>
      <c r="C415" s="2" t="s">
        <v>3351</v>
      </c>
      <c r="D415" s="7" t="s">
        <v>3352</v>
      </c>
      <c r="E415" s="1" t="s">
        <v>25</v>
      </c>
      <c r="F415" s="4" t="s">
        <v>3353</v>
      </c>
      <c r="G415" s="4" t="s">
        <v>3352</v>
      </c>
      <c r="H415" s="8" t="s">
        <v>3354</v>
      </c>
      <c r="I415" s="4" t="s">
        <v>3355</v>
      </c>
      <c r="J415" s="1" t="s">
        <v>1922</v>
      </c>
      <c r="K415" s="1" t="s">
        <v>829</v>
      </c>
      <c r="L415" s="1" t="s">
        <v>3356</v>
      </c>
      <c r="M415" s="1" t="s">
        <v>3211</v>
      </c>
      <c r="N415" s="1" t="s">
        <v>51</v>
      </c>
      <c r="O415" s="1" t="s">
        <v>1372</v>
      </c>
      <c r="P415" s="1" t="s">
        <v>53</v>
      </c>
      <c r="Q415" s="1" t="s">
        <v>1911</v>
      </c>
      <c r="R415" s="1" t="s">
        <v>3211</v>
      </c>
      <c r="S415" s="1" t="s">
        <v>70</v>
      </c>
      <c r="T415" s="1" t="s">
        <v>1455</v>
      </c>
      <c r="U415" s="4" t="s">
        <v>3357</v>
      </c>
      <c r="X415" s="1" t="str">
        <f>IFERROR(__xludf.DUMMYFUNCTION("split(F415,"" ,:;.?!"")"),"публике")</f>
        <v>публике</v>
      </c>
    </row>
    <row r="416" ht="14.25" customHeight="1">
      <c r="A416" s="1" t="s">
        <v>3358</v>
      </c>
      <c r="B416" s="1" t="s">
        <v>1271</v>
      </c>
      <c r="C416" s="2" t="s">
        <v>3359</v>
      </c>
      <c r="D416" s="7" t="s">
        <v>1273</v>
      </c>
      <c r="E416" s="1" t="s">
        <v>25</v>
      </c>
      <c r="F416" s="4" t="s">
        <v>3360</v>
      </c>
      <c r="G416" s="4" t="s">
        <v>1273</v>
      </c>
      <c r="H416" s="8" t="s">
        <v>3361</v>
      </c>
      <c r="I416" s="4" t="s">
        <v>3355</v>
      </c>
      <c r="J416" s="1" t="s">
        <v>1922</v>
      </c>
      <c r="K416" s="1" t="s">
        <v>829</v>
      </c>
      <c r="L416" s="1" t="s">
        <v>3356</v>
      </c>
      <c r="M416" s="1" t="s">
        <v>3211</v>
      </c>
      <c r="N416" s="1" t="s">
        <v>51</v>
      </c>
      <c r="O416" s="1" t="s">
        <v>1372</v>
      </c>
      <c r="P416" s="1" t="s">
        <v>53</v>
      </c>
      <c r="Q416" s="1" t="s">
        <v>1911</v>
      </c>
      <c r="R416" s="1" t="s">
        <v>3211</v>
      </c>
      <c r="S416" s="1" t="s">
        <v>70</v>
      </c>
      <c r="T416" s="1" t="s">
        <v>1455</v>
      </c>
      <c r="U416" s="4" t="s">
        <v>3362</v>
      </c>
      <c r="X416" s="1" t="str">
        <f>IFERROR(__xludf.DUMMYFUNCTION("split(F416,"" ,:;.?!"")"),"объектам")</f>
        <v>объектам</v>
      </c>
      <c r="Y416" s="1" t="str">
        <f>IFERROR(__xludf.DUMMYFUNCTION("""COMPUTED_VALUE"""),"и")</f>
        <v>и</v>
      </c>
      <c r="Z416" s="1" t="str">
        <f>IFERROR(__xludf.DUMMYFUNCTION("""COMPUTED_VALUE"""),"сущностям")</f>
        <v>сущностям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drawing r:id="rId2"/>
</worksheet>
</file>