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ance Sheet" sheetId="1" r:id="rId4"/>
    <sheet state="visible" name="Income statement" sheetId="2" r:id="rId5"/>
    <sheet state="visible" name="Cash Flow" sheetId="3" r:id="rId6"/>
    <sheet state="visible" name="DCF" sheetId="4" r:id="rId7"/>
    <sheet state="visible" name="CAPM UNIVERSE" sheetId="5" r:id="rId8"/>
  </sheets>
  <definedNames/>
  <calcPr/>
  <extLst>
    <ext uri="GoogleSheetsCustomDataVersion1">
      <go:sheetsCustomData xmlns:go="http://customooxmlschemas.google.com/" r:id="rId9" roundtripDataSignature="AMtx7mhtUAxfV630qfLzbhHIHm3fq5YpBA=="/>
    </ext>
  </extLst>
</workbook>
</file>

<file path=xl/sharedStrings.xml><?xml version="1.0" encoding="utf-8"?>
<sst xmlns="http://schemas.openxmlformats.org/spreadsheetml/2006/main" count="171" uniqueCount="117">
  <si>
    <t>BALANCE SHEET OF ICICI BANK (in Rs. Cr.)</t>
  </si>
  <si>
    <t>Reasons behind the Methodologies/Performa</t>
  </si>
  <si>
    <t>No. of Months</t>
  </si>
  <si>
    <t> </t>
  </si>
  <si>
    <t>EQUITIES AND LIABILITIES</t>
  </si>
  <si>
    <t>SHAREHOLDER'S FUNDS</t>
  </si>
  <si>
    <t>Equity Share Capital</t>
  </si>
  <si>
    <t xml:space="preserve">took weighted average with higher weights to more rescent years </t>
  </si>
  <si>
    <t>TOTAL SHARE CAPITAL</t>
  </si>
  <si>
    <t>Revaluation Reserve</t>
  </si>
  <si>
    <t>constant increase</t>
  </si>
  <si>
    <t>Reserves and Surplus</t>
  </si>
  <si>
    <t>TOTAL RESERVES AND SURPLUS</t>
  </si>
  <si>
    <t>TOTAL SHAREHOLDERS FUNDS</t>
  </si>
  <si>
    <t>Deposits</t>
  </si>
  <si>
    <t>ratio of (deposit per year/deposit of previous year) increases at constant rate</t>
  </si>
  <si>
    <t>Borrowings</t>
  </si>
  <si>
    <t>ratio of (deposit per year/deposit of previous year) decrease at constant rate</t>
  </si>
  <si>
    <t>Other Liabilities and Provisions</t>
  </si>
  <si>
    <t>constate increase of diff between two yrs</t>
  </si>
  <si>
    <t>TOTAL CAPITAL AND LIABILITIES</t>
  </si>
  <si>
    <t>ASSETS</t>
  </si>
  <si>
    <t>Cash and Balances with Reserve Bank of India</t>
  </si>
  <si>
    <t>Balances with Banks Money at Call and Short Notice</t>
  </si>
  <si>
    <t>avg increase in numbers</t>
  </si>
  <si>
    <t>Investments</t>
  </si>
  <si>
    <t>Advances</t>
  </si>
  <si>
    <t>Fixed Assets</t>
  </si>
  <si>
    <t>Other Assets</t>
  </si>
  <si>
    <t>average increase</t>
  </si>
  <si>
    <t>TOTAL ASSETS</t>
  </si>
  <si>
    <t>Profits and LOSS(Cr.)</t>
  </si>
  <si>
    <t>FY22</t>
  </si>
  <si>
    <t>FY21</t>
  </si>
  <si>
    <t>FY20</t>
  </si>
  <si>
    <t>FY19</t>
  </si>
  <si>
    <t>FY18</t>
  </si>
  <si>
    <t>FY17</t>
  </si>
  <si>
    <t>TOTAL INCOME</t>
  </si>
  <si>
    <t xml:space="preserve">BY STUDYING THE  STARTEGY OF ICICI, AFTER SUFFERING MAJOR HITS IN ERA OF 2017-19 </t>
  </si>
  <si>
    <t>TOTAL OPERATING EXPE.</t>
  </si>
  <si>
    <t>AND YEAR OF COVID 2020 WE GIVE</t>
  </si>
  <si>
    <t>60% WEIGHTAGE TO THE 2021 , 30% TO 2020 AND REST TO THE OTHERS</t>
  </si>
  <si>
    <t>Depreciation</t>
  </si>
  <si>
    <t>EBITDA</t>
  </si>
  <si>
    <t>Tax</t>
  </si>
  <si>
    <t xml:space="preserve">Interest </t>
  </si>
  <si>
    <t>EBIT</t>
  </si>
  <si>
    <t>NET PROFIT</t>
  </si>
  <si>
    <t>NET PROFIT to TOTAL INCOME</t>
  </si>
  <si>
    <t>So above ratio remain almost close   for  early years (2017-2020)  but sudden</t>
  </si>
  <si>
    <t>boost in 2021 and the more weightage to 2021 helps to predict the 2022 which we fix slightly close to 2021</t>
  </si>
  <si>
    <t>CASH FLOW OF ICICI BANK (in Rs. Cr.)</t>
  </si>
  <si>
    <t>Net CashFlow From Operating Activities</t>
  </si>
  <si>
    <t>constant increase in value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</si>
  <si>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</si>
  <si>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</si>
  <si>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</si>
  <si>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</si>
  <si>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</si>
  <si>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</si>
  <si>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Dividend Paid</t>
  </si>
  <si>
    <t>-----</t>
  </si>
  <si>
    <t>UCFF or FCFF (in Cr.)</t>
  </si>
  <si>
    <t>Change in NWC</t>
  </si>
  <si>
    <t>CapEx</t>
  </si>
  <si>
    <t>Unlevered Free Cash Flow</t>
  </si>
  <si>
    <t xml:space="preserve">  </t>
  </si>
  <si>
    <t>FY16</t>
  </si>
  <si>
    <t>USING THIS TO CALCULATE THE CAPEX</t>
  </si>
  <si>
    <t>Property Plant Equipment</t>
  </si>
  <si>
    <t>WACC</t>
  </si>
  <si>
    <t xml:space="preserve">                                                                                                                          </t>
  </si>
  <si>
    <t>Weight of Equity</t>
  </si>
  <si>
    <t>CHANGES WITH YEARS IN COE</t>
  </si>
  <si>
    <t>Weight of Debt</t>
  </si>
  <si>
    <t xml:space="preserve">GIVING MORE  WEIGHTAGE  TO RECENT YEARS WILL TELLS US THAT  COE  WILL CHANGE SLIGHTLY </t>
  </si>
  <si>
    <t>Cost of Equity</t>
  </si>
  <si>
    <t>Tax rate</t>
  </si>
  <si>
    <t>Cost of Debt</t>
  </si>
  <si>
    <t>FCFF</t>
  </si>
  <si>
    <t xml:space="preserve">THE INCREASE% OF WACC </t>
  </si>
  <si>
    <t>ASSUMPTION:(as giving more importance to recent trends)</t>
  </si>
  <si>
    <t>PERPETUAL GROWTH RATE</t>
  </si>
  <si>
    <t>TERMINAL   VALUE</t>
  </si>
  <si>
    <t>ROE</t>
  </si>
  <si>
    <t xml:space="preserve">HERE WE  CALCULATE THE GROWTH RATE BY GIVING 60%  WEIGHTAGE TO 2021 </t>
  </si>
  <si>
    <t>Retention ratio</t>
  </si>
  <si>
    <t>25 % TO 2020  AND REST TO  BE EQUALLY DISTRIBUTED TO  OTHERS</t>
  </si>
  <si>
    <t>GROWTH RATE(%)</t>
  </si>
  <si>
    <t>MEAN</t>
  </si>
  <si>
    <t>Average of FCFF and terminal</t>
  </si>
  <si>
    <t>NET PRESENT VALUE</t>
  </si>
  <si>
    <t>AVG. MARKET RETURN</t>
  </si>
  <si>
    <t>INDIA 10-YEAR BOND</t>
  </si>
  <si>
    <t>Date</t>
  </si>
  <si>
    <t>PRICE</t>
  </si>
  <si>
    <t>OPEN</t>
  </si>
  <si>
    <t>HIGH</t>
  </si>
  <si>
    <t>LOW</t>
  </si>
  <si>
    <t>% change</t>
  </si>
  <si>
    <t>HERE WE ASSUME THE MARKET RETURN AS 15% BY LOOKING INTO THE HISTORY AND TAKING THE AVG. OF PAST VALUES</t>
  </si>
  <si>
    <t>AVERAGE</t>
  </si>
  <si>
    <t>CHANGE%</t>
  </si>
  <si>
    <t>ICICI BANK</t>
  </si>
  <si>
    <t>NIFTY</t>
  </si>
  <si>
    <t>Open</t>
  </si>
  <si>
    <t>High</t>
  </si>
  <si>
    <t>Low</t>
  </si>
  <si>
    <t>Close*</t>
  </si>
  <si>
    <t>Adj. close**</t>
  </si>
  <si>
    <t>Volume</t>
  </si>
  <si>
    <t xml:space="preserve">%CHANGE </t>
  </si>
  <si>
    <t>%CHANGE</t>
  </si>
  <si>
    <t>-</t>
  </si>
  <si>
    <t>27,35,31,02</t>
  </si>
  <si>
    <t>Beta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</si>
</sst>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₹&quot;\ #,##0.00;[Red]&quot;₹&quot;\ \-#,##0.00"/>
    <numFmt numFmtId="165" formatCode="[$£-809]#,##0.00"/>
  </numFmts>
  <fonts count="31">
    <font>
      <sz val="11.0"/>
      <color theme="1"/>
      <name val="Calibri"/>
      <scheme val="minor"/>
    </font>
    <font>
      <b/>
      <sz val="11.0"/>
      <color rgb="FF333333"/>
      <name val="Arial"/>
    </font>
    <font>
      <b/>
      <sz val="11.0"/>
      <color rgb="FF333333"/>
      <name val="Latoregular"/>
    </font>
    <font>
      <b/>
      <sz val="11.0"/>
      <color rgb="FF000000"/>
      <name val="Calibri"/>
    </font>
    <font>
      <sz val="11.0"/>
      <color rgb="FF333333"/>
      <name val="Latoregular"/>
    </font>
    <font>
      <color theme="1"/>
      <name val="Calibri"/>
      <scheme val="minor"/>
    </font>
    <font>
      <b/>
      <u/>
      <sz val="24.0"/>
      <color rgb="FF333333"/>
      <name val="Latoregular"/>
    </font>
    <font/>
    <font>
      <b/>
      <sz val="12.0"/>
      <color rgb="FF333333"/>
      <name val="Latoregular"/>
    </font>
    <font>
      <sz val="11.0"/>
      <color rgb="FF444444"/>
      <name val="Calibri"/>
    </font>
    <font>
      <b/>
      <u/>
      <sz val="26.0"/>
      <color rgb="FF333333"/>
      <name val="Latoregular"/>
    </font>
    <font>
      <sz val="11.0"/>
      <color theme="1"/>
      <name val="Calibri"/>
    </font>
    <font>
      <sz val="11.0"/>
      <color rgb="FF3F3F76"/>
      <name val="Calibri"/>
    </font>
    <font>
      <sz val="11.0"/>
      <color rgb="FF000000"/>
      <name val="Calibri"/>
    </font>
    <font>
      <b/>
      <sz val="16.0"/>
      <color theme="1"/>
      <name val="Calibri"/>
      <scheme val="minor"/>
    </font>
    <font>
      <sz val="14.0"/>
      <color rgb="FF444444"/>
      <name val="Arial black"/>
    </font>
    <font>
      <sz val="14.0"/>
      <color theme="1"/>
      <name val="Arial black"/>
    </font>
    <font>
      <sz val="12.0"/>
      <color rgb="FFFF0000"/>
      <name val="Calibri"/>
    </font>
    <font>
      <sz val="12.0"/>
      <color rgb="FFFF0000"/>
      <name val="Calibri"/>
      <scheme val="minor"/>
    </font>
    <font>
      <b/>
      <sz val="11.0"/>
      <color rgb="FF333333"/>
      <name val="Helvetica Neue"/>
    </font>
    <font>
      <sz val="11.0"/>
      <color rgb="FF333333"/>
      <name val="Helvetica Neue"/>
    </font>
    <font>
      <b/>
      <sz val="11.0"/>
      <color rgb="FF3F3F3F"/>
      <name val="Calibri"/>
    </font>
    <font>
      <sz val="11.0"/>
      <color rgb="FF4285F4"/>
      <name val="Inconsolata"/>
    </font>
    <font>
      <b/>
      <sz val="14.0"/>
      <color theme="1"/>
      <name val="Calibri"/>
      <scheme val="minor"/>
    </font>
    <font>
      <b/>
      <u/>
      <sz val="16.0"/>
      <color rgb="FF333333"/>
      <name val="Latoregular"/>
    </font>
    <font>
      <b/>
      <sz val="12.0"/>
      <color rgb="FF333333"/>
      <name val="Inherit"/>
    </font>
    <font>
      <sz val="14.0"/>
      <color theme="1"/>
      <name val="Century"/>
    </font>
    <font>
      <b/>
      <sz val="9.0"/>
      <color rgb="FF333333"/>
      <name val="Inherit"/>
    </font>
    <font>
      <sz val="11.0"/>
      <color rgb="FF1155CC"/>
      <name val="Inconsolata"/>
    </font>
    <font>
      <sz val="12.0"/>
      <color theme="1"/>
      <name val="Century"/>
    </font>
    <font>
      <b/>
      <sz val="11.0"/>
      <color theme="1"/>
      <name val="Calibri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A6A6A6"/>
        <bgColor rgb="FFA6A6A6"/>
      </patternFill>
    </fill>
    <fill>
      <patternFill patternType="solid">
        <fgColor rgb="FFD6DCE4"/>
        <bgColor rgb="FFD6DCE4"/>
      </patternFill>
    </fill>
    <fill>
      <patternFill patternType="solid">
        <fgColor rgb="FFE08B9E"/>
        <bgColor rgb="FFE08B9E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F8CBAD"/>
        <bgColor rgb="FFF8CBAD"/>
      </patternFill>
    </fill>
    <fill>
      <patternFill patternType="solid">
        <fgColor rgb="FFFFD966"/>
        <bgColor rgb="FFFFD966"/>
      </patternFill>
    </fill>
    <fill>
      <patternFill patternType="solid">
        <fgColor rgb="FFFFE699"/>
        <bgColor rgb="FFFFE699"/>
      </patternFill>
    </fill>
    <fill>
      <patternFill patternType="solid">
        <fgColor rgb="FF71A868"/>
        <bgColor rgb="FF71A868"/>
      </patternFill>
    </fill>
    <fill>
      <patternFill patternType="solid">
        <fgColor rgb="FFBBBF63"/>
        <bgColor rgb="FFBBBF63"/>
      </patternFill>
    </fill>
    <fill>
      <patternFill patternType="solid">
        <fgColor rgb="FFBFBFBF"/>
        <bgColor rgb="FFBFBFBF"/>
      </patternFill>
    </fill>
    <fill>
      <patternFill patternType="solid">
        <fgColor rgb="FFF6F8FB"/>
        <bgColor rgb="FFF6F8FB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DDEBF7"/>
        <bgColor rgb="FFDDEBF7"/>
      </patternFill>
    </fill>
    <fill>
      <patternFill patternType="solid">
        <fgColor rgb="FFF5F5F5"/>
        <bgColor rgb="FFF5F5F5"/>
      </patternFill>
    </fill>
    <fill>
      <patternFill patternType="solid">
        <fgColor rgb="FFF2F2F2"/>
        <bgColor rgb="FFF2F2F2"/>
      </patternFill>
    </fill>
    <fill>
      <patternFill patternType="solid">
        <fgColor rgb="FF92D050"/>
        <bgColor rgb="FF92D050"/>
      </patternFill>
    </fill>
    <fill>
      <patternFill patternType="solid">
        <fgColor rgb="FFEDF4FA"/>
        <bgColor rgb="FFEDF4FA"/>
      </patternFill>
    </fill>
  </fills>
  <borders count="51">
    <border/>
    <border>
      <left/>
      <right/>
      <top style="thin">
        <color rgb="FFD1D1D1"/>
      </top>
      <bottom/>
    </border>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E0E0E0"/>
      </bottom>
    </border>
    <border>
      <left/>
      <top style="thin">
        <color rgb="FFE0E0E0"/>
      </top>
      <bottom style="thin">
        <color rgb="FFE0E0E0"/>
      </bottom>
    </border>
    <border>
      <top style="thin">
        <color rgb="FFE0E0E0"/>
      </top>
      <bottom style="thin">
        <color rgb="FFE0E0E0"/>
      </bottom>
    </border>
    <border>
      <right/>
      <top style="thin">
        <color rgb="FFE0E0E0"/>
      </top>
      <bottom style="thin">
        <color rgb="FFE0E0E0"/>
      </bottom>
    </border>
    <border>
      <left/>
      <right/>
      <top/>
      <bottom style="thin">
        <color rgb="FFE0E0E0"/>
      </bottom>
    </border>
    <border>
      <left/>
      <right style="thin">
        <color rgb="FFE0E0E0"/>
      </right>
      <top/>
      <bottom/>
    </border>
    <border>
      <left/>
      <right style="thin">
        <color rgb="FFE0E0E0"/>
      </right>
      <top style="thin">
        <color rgb="FF000000"/>
      </top>
      <bottom style="thin">
        <color rgb="FFE0E0E0"/>
      </bottom>
    </border>
    <border>
      <left/>
      <right style="thin">
        <color rgb="FFE0E0E0"/>
      </right>
      <top/>
      <bottom style="thin">
        <color rgb="FFE0E0E0"/>
      </bottom>
    </border>
    <border>
      <left/>
      <right style="thin">
        <color rgb="FFE0E0E0"/>
      </right>
      <top style="thin">
        <color rgb="FF000000"/>
      </top>
      <bottom/>
    </border>
    <border>
      <top style="thin">
        <color rgb="FF000000"/>
      </top>
    </border>
    <border>
      <left/>
      <top style="thin">
        <color rgb="FF000000"/>
      </top>
      <bottom style="thin">
        <color rgb="FFE0E0E0"/>
      </bottom>
    </border>
    <border>
      <top style="thin">
        <color rgb="FF000000"/>
      </top>
      <bottom style="thin">
        <color rgb="FFE0E0E0"/>
      </bottom>
    </border>
    <border>
      <right/>
      <top style="thin">
        <color rgb="FF000000"/>
      </top>
      <bottom style="thin">
        <color rgb="FFE0E0E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top style="thin">
        <color rgb="FF5B9BD5"/>
      </top>
      <bottom style="double">
        <color rgb="FF5B9BD5"/>
      </bottom>
    </border>
    <border>
      <bottom style="double">
        <color rgb="FF5B9BD5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7F7F7F"/>
      </left>
      <right style="thin">
        <color rgb="FF7F7F7F"/>
      </right>
      <top/>
      <bottom style="thin">
        <color rgb="FF7F7F7F"/>
      </bottom>
    </border>
    <border>
      <left/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 style="thin">
        <color rgb="FFBABABA"/>
      </top>
      <bottom/>
    </border>
    <border>
      <right style="thin">
        <color rgb="FF000000"/>
      </right>
      <top style="thin">
        <color rgb="FF5B9BD5"/>
      </top>
      <bottom style="double">
        <color rgb="FF5B9BD5"/>
      </bottom>
    </border>
    <border>
      <left style="thin">
        <color rgb="FF000000"/>
      </left>
      <right/>
      <top style="thin">
        <color rgb="FFDADADA"/>
      </top>
      <bottom/>
    </border>
    <border>
      <left style="thin">
        <color rgb="FF000000"/>
      </left>
      <right/>
      <top style="thin">
        <color rgb="FFDADADA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2" numFmtId="16" xfId="0" applyAlignment="1" applyBorder="1" applyFont="1" applyNumberFormat="1">
      <alignment shrinkToFit="0" wrapText="1"/>
    </xf>
    <xf borderId="2" fillId="3" fontId="3" numFmtId="0" xfId="0" applyBorder="1" applyFill="1" applyFont="1"/>
    <xf borderId="3" fillId="4" fontId="4" numFmtId="0" xfId="0" applyAlignment="1" applyBorder="1" applyFill="1" applyFont="1">
      <alignment shrinkToFit="0" wrapText="1"/>
    </xf>
    <xf borderId="4" fillId="4" fontId="4" numFmtId="0" xfId="0" applyAlignment="1" applyBorder="1" applyFont="1">
      <alignment shrinkToFit="0" wrapText="1"/>
    </xf>
    <xf borderId="0" fillId="0" fontId="5" numFmtId="0" xfId="0" applyFont="1"/>
    <xf borderId="5" fillId="5" fontId="6" numFmtId="0" xfId="0" applyAlignment="1" applyBorder="1" applyFill="1" applyFont="1">
      <alignment horizontal="center" shrinkToFit="0" wrapText="1"/>
    </xf>
    <xf borderId="6" fillId="0" fontId="7" numFmtId="0" xfId="0" applyBorder="1" applyFont="1"/>
    <xf borderId="7" fillId="0" fontId="7" numFmtId="0" xfId="0" applyBorder="1" applyFont="1"/>
    <xf borderId="5" fillId="6" fontId="8" numFmtId="0" xfId="0" applyAlignment="1" applyBorder="1" applyFill="1" applyFont="1">
      <alignment shrinkToFit="0" wrapText="1"/>
    </xf>
    <xf borderId="8" fillId="6" fontId="8" numFmtId="0" xfId="0" applyAlignment="1" applyBorder="1" applyFont="1">
      <alignment shrinkToFit="0" wrapText="1"/>
    </xf>
    <xf borderId="8" fillId="6" fontId="2" numFmtId="0" xfId="0" applyAlignment="1" applyBorder="1" applyFont="1">
      <alignment shrinkToFit="0" wrapText="1"/>
    </xf>
    <xf borderId="9" fillId="7" fontId="4" numFmtId="0" xfId="0" applyAlignment="1" applyBorder="1" applyFill="1" applyFont="1">
      <alignment shrinkToFit="0" wrapText="1"/>
    </xf>
    <xf borderId="2" fillId="8" fontId="4" numFmtId="4" xfId="0" applyAlignment="1" applyBorder="1" applyFill="1" applyFont="1" applyNumberFormat="1">
      <alignment shrinkToFit="0" wrapText="1"/>
    </xf>
    <xf borderId="10" fillId="9" fontId="2" numFmtId="0" xfId="0" applyAlignment="1" applyBorder="1" applyFill="1" applyFont="1">
      <alignment shrinkToFit="0" wrapText="1"/>
    </xf>
    <xf borderId="4" fillId="10" fontId="2" numFmtId="4" xfId="0" applyAlignment="1" applyBorder="1" applyFill="1" applyFont="1" applyNumberFormat="1">
      <alignment shrinkToFit="0" wrapText="1"/>
    </xf>
    <xf borderId="0" fillId="0" fontId="0" numFmtId="4" xfId="0" applyFont="1" applyNumberFormat="1"/>
    <xf borderId="11" fillId="7" fontId="4" numFmtId="0" xfId="0" applyAlignment="1" applyBorder="1" applyFont="1">
      <alignment shrinkToFit="0" wrapText="1"/>
    </xf>
    <xf borderId="8" fillId="8" fontId="4" numFmtId="4" xfId="0" applyAlignment="1" applyBorder="1" applyFont="1" applyNumberFormat="1">
      <alignment shrinkToFit="0" wrapText="1"/>
    </xf>
    <xf borderId="12" fillId="9" fontId="2" numFmtId="0" xfId="0" applyBorder="1" applyFont="1"/>
    <xf borderId="3" fillId="10" fontId="4" numFmtId="4" xfId="0" applyAlignment="1" applyBorder="1" applyFont="1" applyNumberFormat="1">
      <alignment shrinkToFit="0" wrapText="1"/>
    </xf>
    <xf borderId="10" fillId="11" fontId="2" numFmtId="0" xfId="0" applyAlignment="1" applyBorder="1" applyFill="1" applyFont="1">
      <alignment shrinkToFit="0" wrapText="1"/>
    </xf>
    <xf borderId="4" fillId="12" fontId="2" numFmtId="4" xfId="0" applyAlignment="1" applyBorder="1" applyFill="1" applyFont="1" applyNumberFormat="1">
      <alignment shrinkToFit="0" wrapText="1"/>
    </xf>
    <xf borderId="0" fillId="0" fontId="9" numFmtId="0" xfId="0" applyFont="1"/>
    <xf borderId="12" fillId="3" fontId="2" numFmtId="0" xfId="0" applyAlignment="1" applyBorder="1" applyFont="1">
      <alignment shrinkToFit="0" wrapText="1"/>
    </xf>
    <xf borderId="3" fillId="13" fontId="2" numFmtId="4" xfId="0" applyAlignment="1" applyBorder="1" applyFill="1" applyFont="1" applyNumberFormat="1">
      <alignment shrinkToFit="0" wrapText="1"/>
    </xf>
    <xf borderId="13" fillId="0" fontId="0" numFmtId="0" xfId="0" applyBorder="1" applyFont="1"/>
    <xf borderId="3" fillId="14" fontId="2" numFmtId="4" xfId="0" applyAlignment="1" applyBorder="1" applyFill="1" applyFont="1" applyNumberFormat="1">
      <alignment shrinkToFit="0" wrapText="1"/>
    </xf>
    <xf borderId="14" fillId="5" fontId="10" numFmtId="0" xfId="0" applyAlignment="1" applyBorder="1" applyFont="1">
      <alignment horizontal="center" shrinkToFit="0" wrapText="1"/>
    </xf>
    <xf borderId="15" fillId="0" fontId="7" numFmtId="0" xfId="0" applyBorder="1" applyFont="1"/>
    <xf borderId="16" fillId="0" fontId="7" numFmtId="0" xfId="0" applyBorder="1" applyFont="1"/>
    <xf borderId="0" fillId="0" fontId="11" numFmtId="4" xfId="0" applyFont="1" applyNumberFormat="1"/>
    <xf borderId="10" fillId="3" fontId="2" numFmtId="0" xfId="0" applyAlignment="1" applyBorder="1" applyFont="1">
      <alignment shrinkToFit="0" wrapText="1"/>
    </xf>
    <xf borderId="4" fillId="13" fontId="2" numFmtId="4" xfId="0" applyAlignment="1" applyBorder="1" applyFont="1" applyNumberFormat="1">
      <alignment shrinkToFit="0" wrapText="1"/>
    </xf>
    <xf borderId="0" fillId="0" fontId="0" numFmtId="0" xfId="0" applyFont="1"/>
    <xf borderId="17" fillId="15" fontId="3" numFmtId="16" xfId="0" applyBorder="1" applyFill="1" applyFont="1" applyNumberFormat="1"/>
    <xf borderId="18" fillId="16" fontId="12" numFmtId="0" xfId="0" applyBorder="1" applyFill="1" applyFont="1"/>
    <xf borderId="19" fillId="17" fontId="13" numFmtId="0" xfId="0" applyBorder="1" applyFill="1" applyFont="1"/>
    <xf borderId="20" fillId="17" fontId="13" numFmtId="0" xfId="0" applyBorder="1" applyFont="1"/>
    <xf borderId="0" fillId="0" fontId="14" numFmtId="0" xfId="0" applyFont="1"/>
    <xf borderId="0" fillId="0" fontId="15" numFmtId="0" xfId="0" applyFont="1"/>
    <xf borderId="0" fillId="0" fontId="16" numFmtId="0" xfId="0" applyFont="1"/>
    <xf borderId="0" fillId="0" fontId="17" numFmtId="0" xfId="0" applyFont="1"/>
    <xf borderId="0" fillId="0" fontId="18" numFmtId="0" xfId="0" applyFont="1"/>
    <xf borderId="21" fillId="17" fontId="13" numFmtId="0" xfId="0" applyBorder="1" applyFont="1"/>
    <xf borderId="22" fillId="17" fontId="13" numFmtId="0" xfId="0" applyBorder="1" applyFont="1"/>
    <xf borderId="23" fillId="0" fontId="3" numFmtId="4" xfId="0" applyBorder="1" applyFont="1" applyNumberFormat="1"/>
    <xf borderId="24" fillId="0" fontId="3" numFmtId="4" xfId="0" applyBorder="1" applyFont="1" applyNumberFormat="1"/>
    <xf borderId="2" fillId="15" fontId="0" numFmtId="0" xfId="0" applyBorder="1" applyFont="1"/>
    <xf borderId="25" fillId="16" fontId="12" numFmtId="0" xfId="0" applyAlignment="1" applyBorder="1" applyFont="1">
      <alignment horizontal="center"/>
    </xf>
    <xf borderId="26" fillId="17" fontId="13" numFmtId="0" xfId="0" applyBorder="1" applyFont="1"/>
    <xf borderId="25" fillId="17" fontId="13" numFmtId="0" xfId="0" applyBorder="1" applyFont="1"/>
    <xf borderId="27" fillId="17" fontId="13" numFmtId="0" xfId="0" applyBorder="1" applyFont="1"/>
    <xf borderId="0" fillId="0" fontId="0" numFmtId="0" xfId="0" applyAlignment="1" applyFont="1">
      <alignment horizontal="center"/>
    </xf>
    <xf borderId="28" fillId="15" fontId="0" numFmtId="0" xfId="0" applyAlignment="1" applyBorder="1" applyFont="1">
      <alignment horizontal="left"/>
    </xf>
    <xf borderId="29" fillId="0" fontId="7" numFmtId="0" xfId="0" applyBorder="1" applyFont="1"/>
    <xf borderId="30" fillId="0" fontId="7" numFmtId="0" xfId="0" applyBorder="1" applyFont="1"/>
    <xf borderId="2" fillId="15" fontId="9" numFmtId="0" xfId="0" applyBorder="1" applyFont="1"/>
    <xf borderId="23" fillId="0" fontId="3" numFmtId="0" xfId="0" applyBorder="1" applyFont="1"/>
    <xf borderId="31" fillId="18" fontId="19" numFmtId="0" xfId="0" applyAlignment="1" applyBorder="1" applyFill="1" applyFont="1">
      <alignment shrinkToFit="0" wrapText="1"/>
    </xf>
    <xf borderId="31" fillId="18" fontId="20" numFmtId="0" xfId="0" applyAlignment="1" applyBorder="1" applyFont="1">
      <alignment shrinkToFit="0" wrapText="1"/>
    </xf>
    <xf borderId="2" fillId="18" fontId="19" numFmtId="0" xfId="0" applyAlignment="1" applyBorder="1" applyFont="1">
      <alignment shrinkToFit="0" wrapText="1"/>
    </xf>
    <xf borderId="2" fillId="18" fontId="20" numFmtId="0" xfId="0" applyAlignment="1" applyBorder="1" applyFont="1">
      <alignment shrinkToFit="0" wrapText="1"/>
    </xf>
    <xf borderId="19" fillId="17" fontId="13" numFmtId="4" xfId="0" applyBorder="1" applyFont="1" applyNumberFormat="1"/>
    <xf borderId="32" fillId="16" fontId="12" numFmtId="0" xfId="0" applyBorder="1" applyFont="1"/>
    <xf borderId="20" fillId="17" fontId="13" numFmtId="4" xfId="0" applyBorder="1" applyFont="1" applyNumberFormat="1"/>
    <xf borderId="33" fillId="19" fontId="21" numFmtId="3" xfId="0" applyBorder="1" applyFill="1" applyFont="1" applyNumberFormat="1"/>
    <xf borderId="0" fillId="15" fontId="22" numFmtId="0" xfId="0" applyFont="1"/>
    <xf borderId="0" fillId="0" fontId="23" numFmtId="0" xfId="0" applyFont="1"/>
    <xf borderId="5" fillId="5" fontId="24" numFmtId="0" xfId="0" applyAlignment="1" applyBorder="1" applyFont="1">
      <alignment horizontal="center" shrinkToFit="0" wrapText="1"/>
    </xf>
    <xf borderId="34" fillId="16" fontId="12" numFmtId="0" xfId="0" applyBorder="1" applyFont="1"/>
    <xf borderId="21" fillId="17" fontId="13" numFmtId="4" xfId="0" applyBorder="1" applyFont="1" applyNumberFormat="1"/>
    <xf borderId="22" fillId="17" fontId="13" numFmtId="4" xfId="0" applyBorder="1" applyFont="1" applyNumberFormat="1"/>
    <xf borderId="2" fillId="20" fontId="0" numFmtId="0" xfId="0" applyBorder="1" applyFill="1" applyFont="1"/>
    <xf borderId="23" fillId="0" fontId="3" numFmtId="0" xfId="0" applyAlignment="1" applyBorder="1" applyFont="1">
      <alignment horizontal="center"/>
    </xf>
    <xf borderId="23" fillId="0" fontId="7" numFmtId="0" xfId="0" applyBorder="1" applyFont="1"/>
    <xf borderId="0" fillId="0" fontId="0" numFmtId="164" xfId="0" applyFont="1" applyNumberFormat="1"/>
    <xf borderId="2" fillId="20" fontId="0" numFmtId="4" xfId="0" applyBorder="1" applyFont="1" applyNumberFormat="1"/>
    <xf borderId="2" fillId="20" fontId="0" numFmtId="165" xfId="0" applyBorder="1" applyFont="1" applyNumberFormat="1"/>
    <xf borderId="35" fillId="15" fontId="25" numFmtId="17" xfId="0" applyAlignment="1" applyBorder="1" applyFont="1" applyNumberFormat="1">
      <alignment horizontal="center" readingOrder="1"/>
    </xf>
    <xf borderId="36" fillId="0" fontId="7" numFmtId="0" xfId="0" applyBorder="1" applyFont="1"/>
    <xf borderId="37" fillId="0" fontId="7" numFmtId="0" xfId="0" applyBorder="1" applyFont="1"/>
    <xf borderId="38" fillId="2" fontId="26" numFmtId="0" xfId="0" applyAlignment="1" applyBorder="1" applyFont="1">
      <alignment horizontal="center"/>
    </xf>
    <xf borderId="39" fillId="0" fontId="7" numFmtId="0" xfId="0" applyBorder="1" applyFont="1"/>
    <xf borderId="40" fillId="0" fontId="7" numFmtId="0" xfId="0" applyBorder="1" applyFont="1"/>
    <xf borderId="27" fillId="15" fontId="3" numFmtId="16" xfId="0" applyBorder="1" applyFont="1" applyNumberFormat="1"/>
    <xf borderId="28" fillId="7" fontId="0" numFmtId="0" xfId="0" applyAlignment="1" applyBorder="1" applyFont="1">
      <alignment horizontal="center"/>
    </xf>
    <xf borderId="41" fillId="21" fontId="27" numFmtId="17" xfId="0" applyAlignment="1" applyBorder="1" applyFill="1" applyFont="1" applyNumberFormat="1">
      <alignment horizontal="left" readingOrder="1"/>
    </xf>
    <xf borderId="42" fillId="0" fontId="3" numFmtId="4" xfId="0" applyBorder="1" applyFont="1" applyNumberFormat="1"/>
    <xf borderId="43" fillId="15" fontId="27" numFmtId="17" xfId="0" applyAlignment="1" applyBorder="1" applyFont="1" applyNumberFormat="1">
      <alignment horizontal="left" readingOrder="1"/>
    </xf>
    <xf borderId="0" fillId="15" fontId="28" numFmtId="0" xfId="0" applyFont="1"/>
    <xf borderId="44" fillId="15" fontId="27" numFmtId="17" xfId="0" applyAlignment="1" applyBorder="1" applyFont="1" applyNumberFormat="1">
      <alignment horizontal="left" readingOrder="1"/>
    </xf>
    <xf borderId="45" fillId="17" fontId="13" numFmtId="0" xfId="0" applyBorder="1" applyFont="1"/>
    <xf borderId="46" fillId="17" fontId="13" numFmtId="0" xfId="0" applyBorder="1" applyFont="1"/>
    <xf borderId="47" fillId="17" fontId="13" numFmtId="0" xfId="0" applyBorder="1" applyFont="1"/>
    <xf borderId="48" fillId="17" fontId="13" numFmtId="0" xfId="0" applyBorder="1" applyFont="1"/>
    <xf borderId="28" fillId="2" fontId="29" numFmtId="0" xfId="0" applyAlignment="1" applyBorder="1" applyFont="1">
      <alignment horizontal="center"/>
    </xf>
    <xf borderId="19" fillId="17" fontId="13" numFmtId="15" xfId="0" applyBorder="1" applyFont="1" applyNumberFormat="1"/>
    <xf borderId="21" fillId="17" fontId="13" numFmtId="15" xfId="0" applyBorder="1" applyFont="1" applyNumberFormat="1"/>
    <xf borderId="49" fillId="15" fontId="3" numFmtId="16" xfId="0" applyBorder="1" applyFont="1" applyNumberFormat="1"/>
    <xf borderId="27" fillId="2" fontId="30" numFmtId="0" xfId="0" applyBorder="1" applyFont="1"/>
    <xf borderId="50" fillId="17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86"/>
    <col customWidth="1" min="2" max="3" width="18.43"/>
    <col customWidth="1" min="4" max="4" width="22.71"/>
    <col customWidth="1" min="5" max="5" width="18.29"/>
    <col customWidth="1" min="6" max="6" width="17.0"/>
    <col customWidth="1" min="7" max="7" width="17.71"/>
    <col customWidth="1" min="8" max="8" width="67.29"/>
    <col customWidth="1" min="9" max="9" width="42.86"/>
    <col customWidth="1" min="10" max="10" width="10.14"/>
    <col customWidth="1" min="11" max="11" width="13.29"/>
    <col customWidth="1" min="12" max="12" width="25.14"/>
    <col customWidth="1" min="13" max="13" width="10.71"/>
    <col customWidth="1" min="14" max="14" width="11.86"/>
    <col customWidth="1" min="15" max="15" width="11.14"/>
    <col customWidth="1" min="16" max="26" width="8.71"/>
  </cols>
  <sheetData>
    <row r="1" ht="28.5" customHeight="1">
      <c r="A1" s="1" t="s">
        <v>0</v>
      </c>
      <c r="B1" s="2">
        <v>44277.0</v>
      </c>
      <c r="C1" s="2">
        <v>44276.0</v>
      </c>
      <c r="D1" s="2">
        <v>44275.0</v>
      </c>
      <c r="E1" s="2">
        <v>44274.0</v>
      </c>
      <c r="F1" s="2">
        <v>44273.0</v>
      </c>
      <c r="G1" s="2">
        <v>44272.0</v>
      </c>
      <c r="H1" s="3" t="s">
        <v>1</v>
      </c>
    </row>
    <row r="2">
      <c r="A2" s="4" t="s">
        <v>2</v>
      </c>
      <c r="B2" s="4">
        <v>12.0</v>
      </c>
      <c r="C2" s="4">
        <v>12.0</v>
      </c>
      <c r="D2" s="4">
        <v>12.0</v>
      </c>
      <c r="E2" s="5">
        <v>12.0</v>
      </c>
      <c r="F2" s="5">
        <v>12.0</v>
      </c>
      <c r="G2" s="5">
        <v>12.0</v>
      </c>
      <c r="H2" s="6" t="s">
        <v>3</v>
      </c>
    </row>
    <row r="4" ht="33.0" customHeight="1">
      <c r="A4" s="7" t="s">
        <v>4</v>
      </c>
      <c r="B4" s="8"/>
      <c r="C4" s="8"/>
      <c r="D4" s="8"/>
      <c r="E4" s="8"/>
      <c r="F4" s="8"/>
      <c r="G4" s="9"/>
      <c r="H4" s="6" t="s">
        <v>3</v>
      </c>
    </row>
    <row r="5" ht="16.5" customHeight="1">
      <c r="A5" s="10" t="s">
        <v>5</v>
      </c>
      <c r="B5" s="9"/>
      <c r="C5" s="11"/>
      <c r="D5" s="12"/>
      <c r="E5" s="12"/>
      <c r="F5" s="12"/>
      <c r="G5" s="12"/>
      <c r="H5" s="6" t="s">
        <v>3</v>
      </c>
    </row>
    <row r="6" ht="21.0" customHeight="1">
      <c r="A6" s="13" t="s">
        <v>6</v>
      </c>
      <c r="B6" s="14">
        <f>C6+N7</f>
        <v>1441.86</v>
      </c>
      <c r="C6" s="14">
        <v>1386.51</v>
      </c>
      <c r="D6" s="14">
        <v>1294.76</v>
      </c>
      <c r="E6" s="14">
        <v>1289.46</v>
      </c>
      <c r="F6" s="14">
        <v>1285.81</v>
      </c>
      <c r="G6" s="14">
        <v>1165.11</v>
      </c>
      <c r="H6" s="6" t="s">
        <v>7</v>
      </c>
    </row>
    <row r="7" ht="17.25" customHeight="1">
      <c r="A7" s="15" t="s">
        <v>8</v>
      </c>
      <c r="B7" s="16">
        <f t="shared" ref="B7:G7" si="1">B6</f>
        <v>1441.86</v>
      </c>
      <c r="C7" s="16">
        <f t="shared" si="1"/>
        <v>1386.51</v>
      </c>
      <c r="D7" s="16">
        <f t="shared" si="1"/>
        <v>1294.76</v>
      </c>
      <c r="E7" s="16">
        <f t="shared" si="1"/>
        <v>1289.46</v>
      </c>
      <c r="F7" s="16">
        <f t="shared" si="1"/>
        <v>1285.81</v>
      </c>
      <c r="G7" s="16">
        <f t="shared" si="1"/>
        <v>1165.11</v>
      </c>
      <c r="H7" s="6" t="s">
        <v>3</v>
      </c>
      <c r="J7" s="17">
        <f t="shared" ref="J7:M7" si="2">C7-D7</f>
        <v>91.75</v>
      </c>
      <c r="K7" s="17">
        <f t="shared" si="2"/>
        <v>5.3</v>
      </c>
      <c r="L7" s="17">
        <f t="shared" si="2"/>
        <v>3.65</v>
      </c>
      <c r="M7" s="17">
        <f t="shared" si="2"/>
        <v>120.7</v>
      </c>
      <c r="N7" s="17">
        <f>(J7+K7+L7+M7)/4+J10</f>
        <v>55.35</v>
      </c>
    </row>
    <row r="8" ht="16.5" customHeight="1">
      <c r="A8" s="18" t="s">
        <v>9</v>
      </c>
      <c r="B8" s="19">
        <v>3224.87</v>
      </c>
      <c r="C8" s="19">
        <v>3164.87</v>
      </c>
      <c r="D8" s="19">
        <v>3114.87</v>
      </c>
      <c r="E8" s="19">
        <v>3044.51</v>
      </c>
      <c r="F8" s="19">
        <v>3003.19</v>
      </c>
      <c r="G8" s="19">
        <v>3042.14</v>
      </c>
      <c r="H8" s="6" t="s">
        <v>10</v>
      </c>
    </row>
    <row r="9" ht="15.0" customHeight="1">
      <c r="A9" s="13" t="s">
        <v>11</v>
      </c>
      <c r="B9" s="14">
        <f>C9+20000</f>
        <v>166122.67</v>
      </c>
      <c r="C9" s="14">
        <v>146122.67</v>
      </c>
      <c r="D9" s="14">
        <v>112091.29</v>
      </c>
      <c r="E9" s="14">
        <v>104029.4</v>
      </c>
      <c r="F9" s="14">
        <v>100864.37</v>
      </c>
      <c r="G9" s="14">
        <v>95737.57</v>
      </c>
      <c r="H9" s="6" t="s">
        <v>10</v>
      </c>
    </row>
    <row r="10" ht="14.25" customHeight="1">
      <c r="A10" s="20" t="s">
        <v>12</v>
      </c>
      <c r="B10" s="21">
        <f t="shared" ref="B10:G10" si="3">B9+B8</f>
        <v>169347.54</v>
      </c>
      <c r="C10" s="21">
        <f t="shared" si="3"/>
        <v>149287.54</v>
      </c>
      <c r="D10" s="21">
        <f t="shared" si="3"/>
        <v>115206.16</v>
      </c>
      <c r="E10" s="21">
        <f t="shared" si="3"/>
        <v>107073.91</v>
      </c>
      <c r="F10" s="21">
        <f t="shared" si="3"/>
        <v>103867.56</v>
      </c>
      <c r="G10" s="21">
        <f t="shared" si="3"/>
        <v>98779.71</v>
      </c>
      <c r="H10" s="6" t="s">
        <v>3</v>
      </c>
    </row>
    <row r="11" ht="15.75" customHeight="1">
      <c r="A11" s="22" t="s">
        <v>13</v>
      </c>
      <c r="B11" s="23">
        <f t="shared" ref="B11:G11" si="4">B7+B10</f>
        <v>170789.4</v>
      </c>
      <c r="C11" s="23">
        <f t="shared" si="4"/>
        <v>150674.05</v>
      </c>
      <c r="D11" s="23">
        <f t="shared" si="4"/>
        <v>116500.92</v>
      </c>
      <c r="E11" s="23">
        <f t="shared" si="4"/>
        <v>108363.37</v>
      </c>
      <c r="F11" s="23">
        <f t="shared" si="4"/>
        <v>105153.37</v>
      </c>
      <c r="G11" s="23">
        <f t="shared" si="4"/>
        <v>99944.82</v>
      </c>
    </row>
    <row r="12">
      <c r="A12" s="18" t="s">
        <v>14</v>
      </c>
      <c r="B12" s="19">
        <f>C12*(J12+O12)</f>
        <v>1142848.443</v>
      </c>
      <c r="C12" s="19">
        <v>932522.16</v>
      </c>
      <c r="D12" s="19">
        <v>770968.99</v>
      </c>
      <c r="E12" s="19">
        <v>652919.67</v>
      </c>
      <c r="F12" s="19">
        <v>560975.21</v>
      </c>
      <c r="G12" s="19">
        <v>490039.06</v>
      </c>
      <c r="H12" s="6" t="s">
        <v>15</v>
      </c>
      <c r="J12" s="6">
        <f t="shared" ref="J12:M12" si="5">C12/D12</f>
        <v>1.209545614</v>
      </c>
      <c r="K12" s="6">
        <f t="shared" si="5"/>
        <v>1.180802211</v>
      </c>
      <c r="L12" s="6">
        <f t="shared" si="5"/>
        <v>1.163901111</v>
      </c>
      <c r="M12" s="6">
        <f t="shared" si="5"/>
        <v>1.144756114</v>
      </c>
      <c r="N12" s="6">
        <f>K12-L12</f>
        <v>0.01690110038</v>
      </c>
      <c r="O12" s="6">
        <f>0.016</f>
        <v>0.016</v>
      </c>
    </row>
    <row r="13" ht="15.75" customHeight="1">
      <c r="A13" s="18" t="s">
        <v>16</v>
      </c>
      <c r="B13" s="19">
        <f>C13*0.9</f>
        <v>82467.864</v>
      </c>
      <c r="C13" s="19">
        <v>91630.96</v>
      </c>
      <c r="D13" s="19">
        <v>162896.76</v>
      </c>
      <c r="E13" s="19">
        <v>165319.97</v>
      </c>
      <c r="F13" s="19">
        <v>182858.62</v>
      </c>
      <c r="G13" s="19">
        <v>147556.15</v>
      </c>
      <c r="H13" s="24" t="s">
        <v>17</v>
      </c>
      <c r="I13" s="24"/>
      <c r="J13" s="6">
        <f t="shared" ref="J13:M13" si="6">C13/D13</f>
        <v>0.5625094078</v>
      </c>
      <c r="K13" s="6">
        <f t="shared" si="6"/>
        <v>0.9853423032</v>
      </c>
      <c r="L13" s="6">
        <f t="shared" si="6"/>
        <v>0.9040862826</v>
      </c>
      <c r="M13" s="6">
        <f t="shared" si="6"/>
        <v>1.239247703</v>
      </c>
      <c r="N13" s="6">
        <f>M13+L13+K13+J13</f>
        <v>3.691185697</v>
      </c>
    </row>
    <row r="14" ht="14.25" customHeight="1">
      <c r="A14" s="13" t="s">
        <v>18</v>
      </c>
      <c r="B14" s="14">
        <f>C14+11000</f>
        <v>69770.38</v>
      </c>
      <c r="C14" s="14">
        <v>58770.38</v>
      </c>
      <c r="D14" s="14">
        <v>47994.99</v>
      </c>
      <c r="E14" s="14">
        <v>37851.46</v>
      </c>
      <c r="F14" s="14">
        <v>30196.4</v>
      </c>
      <c r="G14" s="14">
        <v>34245.16</v>
      </c>
      <c r="H14" s="6" t="s">
        <v>19</v>
      </c>
    </row>
    <row r="15" ht="18.75" customHeight="1">
      <c r="A15" s="25" t="s">
        <v>20</v>
      </c>
      <c r="B15" s="26">
        <f t="shared" ref="B15:G15" si="7">B11+B12+B13+B14</f>
        <v>1465876.087</v>
      </c>
      <c r="C15" s="26">
        <f t="shared" si="7"/>
        <v>1233597.55</v>
      </c>
      <c r="D15" s="26">
        <f t="shared" si="7"/>
        <v>1098361.66</v>
      </c>
      <c r="E15" s="26">
        <f t="shared" si="7"/>
        <v>964454.47</v>
      </c>
      <c r="F15" s="26">
        <f t="shared" si="7"/>
        <v>879183.6</v>
      </c>
      <c r="G15" s="26">
        <f t="shared" si="7"/>
        <v>771785.19</v>
      </c>
      <c r="H15" s="6" t="s">
        <v>3</v>
      </c>
    </row>
    <row r="16" ht="9.0" customHeight="1">
      <c r="A16" s="27"/>
      <c r="B16" s="28"/>
      <c r="C16" s="28"/>
      <c r="D16" s="28"/>
      <c r="E16" s="28"/>
      <c r="F16" s="28"/>
      <c r="G16" s="28"/>
      <c r="H16" s="6" t="s">
        <v>3</v>
      </c>
    </row>
    <row r="17" ht="32.25" customHeight="1">
      <c r="A17" s="29" t="s">
        <v>21</v>
      </c>
      <c r="B17" s="30"/>
      <c r="C17" s="30"/>
      <c r="D17" s="30"/>
      <c r="E17" s="30"/>
      <c r="F17" s="30"/>
      <c r="G17" s="31"/>
      <c r="H17" s="6" t="s">
        <v>3</v>
      </c>
      <c r="J17" s="17"/>
    </row>
    <row r="18" ht="32.25" customHeight="1">
      <c r="A18" s="18" t="s">
        <v>22</v>
      </c>
      <c r="B18" s="19">
        <f>C18+12185.44</f>
        <v>58216.63</v>
      </c>
      <c r="C18" s="19">
        <v>46031.19</v>
      </c>
      <c r="D18" s="19">
        <v>35283.96</v>
      </c>
      <c r="E18" s="19">
        <v>37858.01</v>
      </c>
      <c r="F18" s="19">
        <v>33102.38</v>
      </c>
      <c r="G18" s="19">
        <v>31702.41</v>
      </c>
      <c r="H18" s="6" t="s">
        <v>19</v>
      </c>
    </row>
    <row r="19" ht="26.25" customHeight="1">
      <c r="A19" s="18" t="s">
        <v>23</v>
      </c>
      <c r="B19" s="19">
        <f>C19+20000</f>
        <v>110261.93</v>
      </c>
      <c r="C19" s="19">
        <f>87097.06+3164.87</f>
        <v>90261.93</v>
      </c>
      <c r="D19" s="19">
        <v>83871.78</v>
      </c>
      <c r="E19" s="19">
        <v>42438.27</v>
      </c>
      <c r="F19" s="19">
        <v>51067.0</v>
      </c>
      <c r="G19" s="19">
        <v>44010.66</v>
      </c>
      <c r="H19" s="6" t="s">
        <v>24</v>
      </c>
    </row>
    <row r="20" ht="17.25" customHeight="1">
      <c r="A20" s="18" t="s">
        <v>25</v>
      </c>
      <c r="B20" s="19">
        <f>C20*N20</f>
        <v>340836.2619</v>
      </c>
      <c r="C20" s="19">
        <v>281286.54</v>
      </c>
      <c r="D20" s="19">
        <v>249527.99</v>
      </c>
      <c r="E20" s="19">
        <v>207728.01</v>
      </c>
      <c r="F20" s="19">
        <v>202988.62</v>
      </c>
      <c r="G20" s="19">
        <v>161500.28</v>
      </c>
      <c r="H20" s="6" t="s">
        <v>7</v>
      </c>
      <c r="J20" s="6">
        <f t="shared" ref="J20:M20" si="8">C20/D20</f>
        <v>1.127274499</v>
      </c>
      <c r="K20" s="6">
        <f t="shared" si="8"/>
        <v>1.201224572</v>
      </c>
      <c r="L20" s="6">
        <f t="shared" si="8"/>
        <v>1.023348058</v>
      </c>
      <c r="M20" s="6">
        <f t="shared" si="8"/>
        <v>1.256893301</v>
      </c>
      <c r="N20" s="6">
        <f>((J20+K20+L20+M20)/4+K20)/2+0.035</f>
        <v>1.21170484</v>
      </c>
      <c r="O20" s="6" t="str">
        <f>H20/J20</f>
        <v>#VALUE!</v>
      </c>
    </row>
    <row r="21" ht="16.5" customHeight="1">
      <c r="A21" s="18" t="s">
        <v>26</v>
      </c>
      <c r="B21" s="19">
        <f>C21+J21</f>
        <v>864568.21</v>
      </c>
      <c r="C21" s="19">
        <v>733729.09</v>
      </c>
      <c r="D21" s="19">
        <v>645289.97</v>
      </c>
      <c r="E21" s="19">
        <v>586646.58</v>
      </c>
      <c r="F21" s="19">
        <v>512395.29</v>
      </c>
      <c r="G21" s="19">
        <v>464232.08</v>
      </c>
      <c r="H21" s="6" t="s">
        <v>19</v>
      </c>
      <c r="J21" s="32">
        <f>K21+35000+7400</f>
        <v>130839.12</v>
      </c>
      <c r="K21" s="17">
        <f t="shared" ref="K21:O21" si="9">C21-D21</f>
        <v>88439.12</v>
      </c>
      <c r="L21" s="17">
        <f t="shared" si="9"/>
        <v>58643.39</v>
      </c>
      <c r="M21" s="17">
        <f t="shared" si="9"/>
        <v>74251.29</v>
      </c>
      <c r="N21" s="17">
        <f t="shared" si="9"/>
        <v>48163.21</v>
      </c>
      <c r="O21" s="17" t="str">
        <f t="shared" si="9"/>
        <v>#VALUE!</v>
      </c>
    </row>
    <row r="22" ht="18.0" customHeight="1">
      <c r="A22" s="18" t="s">
        <v>27</v>
      </c>
      <c r="B22" s="19">
        <f>C22+460+89.28</f>
        <v>9426.86</v>
      </c>
      <c r="C22" s="19">
        <v>8877.58</v>
      </c>
      <c r="D22" s="19">
        <v>8410.29</v>
      </c>
      <c r="E22" s="19">
        <v>7931.43</v>
      </c>
      <c r="F22" s="19">
        <v>7903.51</v>
      </c>
      <c r="G22" s="19">
        <v>7805.21</v>
      </c>
      <c r="H22" s="6" t="s">
        <v>19</v>
      </c>
    </row>
    <row r="23" ht="19.5" customHeight="1">
      <c r="A23" s="13" t="s">
        <v>28</v>
      </c>
      <c r="B23" s="14">
        <f>C23+9000+154.98</f>
        <v>82566.2</v>
      </c>
      <c r="C23" s="14">
        <v>73411.22</v>
      </c>
      <c r="D23" s="14">
        <v>75977.67</v>
      </c>
      <c r="E23" s="14">
        <v>81852.17</v>
      </c>
      <c r="F23" s="14">
        <v>71726.8</v>
      </c>
      <c r="G23" s="14">
        <v>62534.55</v>
      </c>
      <c r="H23" s="6" t="s">
        <v>29</v>
      </c>
    </row>
    <row r="24" ht="18.75" customHeight="1">
      <c r="A24" s="33" t="s">
        <v>30</v>
      </c>
      <c r="B24" s="34">
        <f t="shared" ref="B24:G24" si="10">B18+B19+B20+B21+B22+B23</f>
        <v>1465876.092</v>
      </c>
      <c r="C24" s="34">
        <f t="shared" si="10"/>
        <v>1233597.55</v>
      </c>
      <c r="D24" s="34">
        <f t="shared" si="10"/>
        <v>1098361.66</v>
      </c>
      <c r="E24" s="34">
        <f t="shared" si="10"/>
        <v>964454.47</v>
      </c>
      <c r="F24" s="34">
        <f t="shared" si="10"/>
        <v>879183.6</v>
      </c>
      <c r="G24" s="34">
        <f t="shared" si="10"/>
        <v>771785.19</v>
      </c>
    </row>
    <row r="25" ht="15.75" customHeight="1"/>
    <row r="26" ht="15.75" customHeight="1"/>
    <row r="27" ht="15.75" customHeight="1">
      <c r="D27" s="17"/>
    </row>
    <row r="28" ht="15.75" customHeight="1"/>
    <row r="29" ht="15.75" customHeight="1">
      <c r="A29" s="35"/>
      <c r="D29" s="17"/>
      <c r="E29" s="17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4:G4"/>
    <mergeCell ref="A5:B5"/>
    <mergeCell ref="A17:G1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14.29"/>
    <col customWidth="1" min="3" max="3" width="11.43"/>
    <col customWidth="1" min="4" max="4" width="12.29"/>
    <col customWidth="1" min="5" max="5" width="14.71"/>
    <col customWidth="1" min="6" max="7" width="12.43"/>
    <col customWidth="1" min="8" max="26" width="8.71"/>
  </cols>
  <sheetData>
    <row r="2">
      <c r="A2" s="7" t="s">
        <v>31</v>
      </c>
      <c r="B2" s="8"/>
      <c r="C2" s="8"/>
      <c r="D2" s="8"/>
      <c r="E2" s="8"/>
      <c r="F2" s="8"/>
      <c r="G2" s="9"/>
    </row>
    <row r="4">
      <c r="A4" s="36"/>
      <c r="B4" s="36" t="s">
        <v>32</v>
      </c>
      <c r="C4" s="36" t="s">
        <v>33</v>
      </c>
      <c r="D4" s="36" t="s">
        <v>34</v>
      </c>
      <c r="E4" s="36" t="s">
        <v>35</v>
      </c>
      <c r="F4" s="36" t="s">
        <v>36</v>
      </c>
      <c r="G4" s="36" t="s">
        <v>37</v>
      </c>
    </row>
    <row r="5">
      <c r="A5" s="37" t="s">
        <v>38</v>
      </c>
      <c r="B5" s="38">
        <f t="shared" ref="B5:B6" si="1"> (0.6*C5 +0.3*D5+0.2*E5 +0.1*F5)</f>
        <v>109047.386</v>
      </c>
      <c r="C5" s="38">
        <v>98086.8</v>
      </c>
      <c r="D5" s="38">
        <v>91246.94</v>
      </c>
      <c r="E5" s="38">
        <v>77913.36</v>
      </c>
      <c r="F5" s="38">
        <v>72385.52</v>
      </c>
      <c r="G5" s="39">
        <v>73660.76</v>
      </c>
      <c r="I5" s="40" t="s">
        <v>39</v>
      </c>
    </row>
    <row r="6">
      <c r="A6" s="37" t="s">
        <v>40</v>
      </c>
      <c r="B6" s="38">
        <f t="shared" si="1"/>
        <v>24609.027</v>
      </c>
      <c r="C6" s="38">
        <v>21560.83</v>
      </c>
      <c r="D6" s="38">
        <v>21614.41</v>
      </c>
      <c r="E6" s="38">
        <v>18089.06</v>
      </c>
      <c r="F6" s="38">
        <v>15703.94</v>
      </c>
      <c r="G6" s="39">
        <v>14755.06</v>
      </c>
      <c r="I6" s="41" t="s">
        <v>41</v>
      </c>
      <c r="J6" s="42"/>
      <c r="K6" s="42"/>
      <c r="L6" s="42"/>
    </row>
    <row r="7">
      <c r="A7" s="37"/>
      <c r="B7" s="38"/>
      <c r="C7" s="38"/>
      <c r="D7" s="38"/>
      <c r="E7" s="38"/>
      <c r="F7" s="38"/>
      <c r="G7" s="39"/>
      <c r="I7" s="43" t="s">
        <v>42</v>
      </c>
      <c r="J7" s="44"/>
      <c r="K7" s="44"/>
      <c r="L7" s="44"/>
      <c r="M7" s="44"/>
      <c r="N7" s="44"/>
      <c r="O7" s="44"/>
      <c r="P7" s="44"/>
    </row>
    <row r="8">
      <c r="A8" s="37" t="s">
        <v>43</v>
      </c>
      <c r="B8" s="38">
        <f t="shared" ref="B8:B10" si="2"> (0.6*C8 +0.3*D8+0.2*E8 +0.1*F8)</f>
        <v>1137.392</v>
      </c>
      <c r="C8" s="38">
        <v>1033.0</v>
      </c>
      <c r="D8" s="38">
        <v>947.12</v>
      </c>
      <c r="E8" s="38">
        <v>776.91</v>
      </c>
      <c r="F8" s="38">
        <v>780.74</v>
      </c>
      <c r="G8" s="39">
        <v>757.65</v>
      </c>
    </row>
    <row r="9">
      <c r="A9" s="37" t="s">
        <v>44</v>
      </c>
      <c r="B9" s="38">
        <f t="shared" si="2"/>
        <v>73525.346</v>
      </c>
      <c r="C9" s="38">
        <v>68179.15</v>
      </c>
      <c r="D9" s="38">
        <v>62964.61</v>
      </c>
      <c r="E9" s="38">
        <v>46196.25</v>
      </c>
      <c r="F9" s="38">
        <v>44892.23</v>
      </c>
      <c r="G9" s="39">
        <v>48537.68</v>
      </c>
    </row>
    <row r="10">
      <c r="A10" s="37" t="s">
        <v>45</v>
      </c>
      <c r="B10" s="38">
        <f t="shared" si="2"/>
        <v>4377.598</v>
      </c>
      <c r="C10" s="38">
        <v>3990.04</v>
      </c>
      <c r="D10" s="38">
        <v>6117.23</v>
      </c>
      <c r="E10" s="38">
        <v>413.46</v>
      </c>
      <c r="F10" s="38">
        <v>657.13</v>
      </c>
      <c r="G10" s="39">
        <v>1477.53</v>
      </c>
    </row>
    <row r="11">
      <c r="A11" s="37" t="s">
        <v>46</v>
      </c>
      <c r="B11" s="38">
        <f> (0.4*C11 +0.3*D11+0.2*E11 +0.1*F11)</f>
        <v>38982.196</v>
      </c>
      <c r="C11" s="38">
        <v>40128.84</v>
      </c>
      <c r="D11" s="38">
        <v>41531.25</v>
      </c>
      <c r="E11" s="38">
        <v>36386.4</v>
      </c>
      <c r="F11" s="38">
        <v>31940.05</v>
      </c>
      <c r="G11" s="39">
        <v>32418.96</v>
      </c>
    </row>
    <row r="12">
      <c r="A12" s="37" t="s">
        <v>47</v>
      </c>
      <c r="B12" s="45">
        <f t="shared" ref="B12:G12" si="3">B9-B8</f>
        <v>72387.954</v>
      </c>
      <c r="C12" s="45">
        <f t="shared" si="3"/>
        <v>67146.15</v>
      </c>
      <c r="D12" s="45">
        <f t="shared" si="3"/>
        <v>62017.49</v>
      </c>
      <c r="E12" s="45">
        <f t="shared" si="3"/>
        <v>45419.34</v>
      </c>
      <c r="F12" s="45">
        <f t="shared" si="3"/>
        <v>44111.49</v>
      </c>
      <c r="G12" s="46">
        <f t="shared" si="3"/>
        <v>47780.03</v>
      </c>
    </row>
    <row r="13">
      <c r="A13" s="47" t="s">
        <v>48</v>
      </c>
      <c r="B13" s="48">
        <f t="shared" ref="B13:G13" si="4">B12-B11-B10</f>
        <v>29028.16</v>
      </c>
      <c r="C13" s="48">
        <f t="shared" si="4"/>
        <v>23027.27</v>
      </c>
      <c r="D13" s="48">
        <f t="shared" si="4"/>
        <v>14369.01</v>
      </c>
      <c r="E13" s="48">
        <f t="shared" si="4"/>
        <v>8619.48</v>
      </c>
      <c r="F13" s="48">
        <f t="shared" si="4"/>
        <v>11514.31</v>
      </c>
      <c r="G13" s="48">
        <f t="shared" si="4"/>
        <v>13883.54</v>
      </c>
    </row>
    <row r="14">
      <c r="M14" s="49"/>
    </row>
    <row r="15" ht="13.5" customHeight="1">
      <c r="A15" s="50" t="s">
        <v>49</v>
      </c>
      <c r="B15" s="51">
        <f t="shared" ref="B15:F15" si="5">C13/C5</f>
        <v>0.2347642088</v>
      </c>
      <c r="C15" s="52">
        <f t="shared" si="5"/>
        <v>0.1574738835</v>
      </c>
      <c r="D15" s="52">
        <f t="shared" si="5"/>
        <v>0.1106290372</v>
      </c>
      <c r="E15" s="52">
        <f t="shared" si="5"/>
        <v>0.1590692448</v>
      </c>
      <c r="F15" s="53">
        <f t="shared" si="5"/>
        <v>0.1884794564</v>
      </c>
      <c r="Q15" s="35"/>
      <c r="R15" s="35"/>
      <c r="S15" s="35"/>
      <c r="T15" s="35"/>
      <c r="U15" s="35"/>
      <c r="V15" s="35"/>
      <c r="W15" s="35"/>
      <c r="X15" s="35"/>
      <c r="Y15" s="35"/>
    </row>
    <row r="16">
      <c r="A16" s="49"/>
      <c r="B16" s="49"/>
      <c r="C16" s="49"/>
      <c r="D16" s="49"/>
      <c r="E16" s="49"/>
      <c r="F16" s="49"/>
      <c r="G16" s="49"/>
      <c r="H16" s="49"/>
      <c r="J16" s="54"/>
      <c r="K16" s="54"/>
      <c r="L16" s="54"/>
      <c r="M16" s="54"/>
      <c r="N16" s="54"/>
      <c r="O16" s="54"/>
      <c r="P16" s="54"/>
    </row>
    <row r="17">
      <c r="A17" s="55" t="s">
        <v>50</v>
      </c>
      <c r="B17" s="56"/>
      <c r="C17" s="56"/>
      <c r="D17" s="56"/>
      <c r="E17" s="56"/>
      <c r="F17" s="56"/>
      <c r="G17" s="56"/>
      <c r="H17" s="57"/>
    </row>
    <row r="18">
      <c r="A18" s="58" t="s">
        <v>51</v>
      </c>
      <c r="B18" s="49"/>
      <c r="C18" s="49"/>
      <c r="D18" s="49"/>
      <c r="E18" s="49"/>
      <c r="F18" s="49"/>
      <c r="G18" s="49"/>
      <c r="H18" s="49"/>
    </row>
    <row r="19">
      <c r="A19" s="49"/>
      <c r="B19" s="49"/>
      <c r="C19" s="49"/>
      <c r="D19" s="49"/>
      <c r="E19" s="49"/>
      <c r="F19" s="49"/>
      <c r="G19" s="49"/>
      <c r="H19" s="49"/>
    </row>
    <row r="20">
      <c r="A20" s="49"/>
      <c r="B20" s="49"/>
      <c r="C20" s="49"/>
      <c r="D20" s="49"/>
      <c r="E20" s="49"/>
      <c r="F20" s="49"/>
      <c r="G20" s="49"/>
      <c r="H20" s="4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G2"/>
    <mergeCell ref="A17:H1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29"/>
    <col customWidth="1" min="2" max="2" width="13.14"/>
    <col customWidth="1" min="3" max="3" width="13.43"/>
    <col customWidth="1" min="4" max="4" width="12.43"/>
    <col customWidth="1" min="5" max="6" width="12.57"/>
    <col customWidth="1" min="7" max="7" width="14.57"/>
    <col customWidth="1" min="8" max="8" width="67.57"/>
    <col customWidth="1" min="9" max="9" width="11.14"/>
    <col customWidth="1" min="10" max="26" width="8.71"/>
  </cols>
  <sheetData>
    <row r="1">
      <c r="A1" s="36" t="s">
        <v>52</v>
      </c>
      <c r="B1" s="36">
        <v>44277.0</v>
      </c>
      <c r="C1" s="36">
        <v>44276.0</v>
      </c>
      <c r="D1" s="36">
        <v>44275.0</v>
      </c>
      <c r="E1" s="36">
        <v>44274.0</v>
      </c>
      <c r="F1" s="36">
        <v>44273.0</v>
      </c>
      <c r="G1" s="36">
        <v>44272.0</v>
      </c>
      <c r="H1" s="3" t="s">
        <v>1</v>
      </c>
    </row>
    <row r="2">
      <c r="A2" s="37" t="s">
        <v>2</v>
      </c>
      <c r="B2" s="38">
        <v>12.0</v>
      </c>
      <c r="C2" s="38">
        <v>12.0</v>
      </c>
      <c r="D2" s="38">
        <v>12.0</v>
      </c>
      <c r="E2" s="38">
        <v>12.0</v>
      </c>
      <c r="F2" s="38">
        <v>12.0</v>
      </c>
      <c r="G2" s="39">
        <v>12.0</v>
      </c>
      <c r="H2" s="6" t="s">
        <v>3</v>
      </c>
    </row>
    <row r="3">
      <c r="A3" s="37" t="s">
        <v>53</v>
      </c>
      <c r="B3" s="38">
        <f>C3+0.3*C3</f>
        <v>152976.408</v>
      </c>
      <c r="C3" s="38">
        <f>D3+0.5*D3</f>
        <v>117674.16</v>
      </c>
      <c r="D3" s="38">
        <v>78449.44</v>
      </c>
      <c r="E3" s="38">
        <v>38418.79</v>
      </c>
      <c r="F3" s="38">
        <v>13303.65</v>
      </c>
      <c r="G3" s="39">
        <v>39222.81</v>
      </c>
      <c r="H3" s="6" t="s">
        <v>54</v>
      </c>
    </row>
    <row r="4">
      <c r="A4" s="37" t="s">
        <v>55</v>
      </c>
      <c r="B4" s="38">
        <f t="shared" ref="B4:C4" si="1">C4*0.6+D4*0.3+E4*0.2+F4*0.1</f>
        <v>-41713.9126</v>
      </c>
      <c r="C4" s="38">
        <f t="shared" si="1"/>
        <v>-36516.251</v>
      </c>
      <c r="D4" s="38">
        <v>-37107.4</v>
      </c>
      <c r="E4" s="38">
        <v>-23875.31</v>
      </c>
      <c r="F4" s="38">
        <v>-38968.8</v>
      </c>
      <c r="G4" s="39">
        <v>7045.42</v>
      </c>
      <c r="H4" s="6" t="s">
        <v>7</v>
      </c>
    </row>
    <row r="5">
      <c r="A5" s="37" t="s">
        <v>56</v>
      </c>
      <c r="B5" s="38">
        <f>C5*0.45+D5*0.3+E5*0.2+F5*0.05</f>
        <v>-4083.618</v>
      </c>
      <c r="C5" s="38">
        <v>-2991.0</v>
      </c>
      <c r="D5" s="38">
        <v>-2644.55</v>
      </c>
      <c r="E5" s="38">
        <v>-18251.09</v>
      </c>
      <c r="F5" s="38">
        <v>34118.3</v>
      </c>
      <c r="G5" s="39">
        <v>-30378.79</v>
      </c>
      <c r="H5" s="6" t="s">
        <v>7</v>
      </c>
    </row>
    <row r="6">
      <c r="A6" s="37" t="s">
        <v>57</v>
      </c>
      <c r="B6" s="38">
        <f>C6*0.4+D6*0.3+E6*0.2+F6*0.1</f>
        <v>33.2756</v>
      </c>
      <c r="C6" s="38">
        <f>D6*0.6+E6*0.3+F6*0.2+G6*0.1</f>
        <v>43.659</v>
      </c>
      <c r="D6" s="38">
        <v>161.97</v>
      </c>
      <c r="E6" s="38">
        <v>-165.48</v>
      </c>
      <c r="F6" s="38">
        <v>3.17</v>
      </c>
      <c r="G6" s="39">
        <v>-45.13</v>
      </c>
      <c r="H6" s="6" t="s">
        <v>7</v>
      </c>
    </row>
    <row r="7">
      <c r="A7" s="37" t="s">
        <v>58</v>
      </c>
      <c r="B7" s="38">
        <f t="shared" ref="B7:F7" si="2">B3+B4+B5+B6</f>
        <v>107212.153</v>
      </c>
      <c r="C7" s="38">
        <f t="shared" si="2"/>
        <v>78210.568</v>
      </c>
      <c r="D7" s="38">
        <f t="shared" si="2"/>
        <v>38859.46</v>
      </c>
      <c r="E7" s="38">
        <f t="shared" si="2"/>
        <v>-3873.09</v>
      </c>
      <c r="F7" s="38">
        <f t="shared" si="2"/>
        <v>8456.32</v>
      </c>
      <c r="G7" s="39"/>
      <c r="H7" s="6" t="s">
        <v>3</v>
      </c>
    </row>
    <row r="8">
      <c r="A8" s="37" t="s">
        <v>59</v>
      </c>
      <c r="B8" s="38">
        <f>C8*0.5+D8*0.3+E8*0.2+F8*0.1</f>
        <v>87743.477</v>
      </c>
      <c r="C8" s="38">
        <f>D8*0.4+E8*0.3+F8*0.2+G8*0.1</f>
        <v>78498.816</v>
      </c>
      <c r="D8" s="38">
        <v>80296.29</v>
      </c>
      <c r="E8" s="38">
        <v>84169.38</v>
      </c>
      <c r="F8" s="38">
        <v>75713.06</v>
      </c>
      <c r="G8" s="39">
        <v>59868.74</v>
      </c>
      <c r="H8" s="6" t="s">
        <v>7</v>
      </c>
    </row>
    <row r="9">
      <c r="A9" s="59" t="s">
        <v>60</v>
      </c>
      <c r="B9" s="59">
        <f t="shared" ref="B9:G9" si="3">B7+B8</f>
        <v>194955.63</v>
      </c>
      <c r="C9" s="59">
        <f t="shared" si="3"/>
        <v>156709.384</v>
      </c>
      <c r="D9" s="59">
        <f t="shared" si="3"/>
        <v>119155.75</v>
      </c>
      <c r="E9" s="59">
        <f t="shared" si="3"/>
        <v>80296.29</v>
      </c>
      <c r="F9" s="59">
        <f t="shared" si="3"/>
        <v>84169.38</v>
      </c>
      <c r="G9" s="59">
        <f t="shared" si="3"/>
        <v>59868.74</v>
      </c>
    </row>
    <row r="10">
      <c r="A10" s="60" t="s">
        <v>61</v>
      </c>
      <c r="B10" s="6" t="s">
        <v>62</v>
      </c>
      <c r="C10" s="61">
        <v>0.0</v>
      </c>
      <c r="D10" s="61">
        <v>886.38</v>
      </c>
      <c r="E10" s="61">
        <v>1168.83</v>
      </c>
      <c r="F10" s="61">
        <v>1716.11</v>
      </c>
      <c r="G10" s="61">
        <v>3423.09</v>
      </c>
    </row>
    <row r="11">
      <c r="A11" s="62"/>
      <c r="C11" s="63"/>
      <c r="D11" s="63"/>
      <c r="E11" s="63"/>
      <c r="F11" s="63"/>
      <c r="G11" s="63"/>
    </row>
    <row r="12">
      <c r="A12" s="36" t="s">
        <v>63</v>
      </c>
      <c r="B12" s="36">
        <v>44277.0</v>
      </c>
      <c r="C12" s="36">
        <v>44276.0</v>
      </c>
      <c r="D12" s="36">
        <v>44275.0</v>
      </c>
      <c r="E12" s="36">
        <v>44274.0</v>
      </c>
      <c r="F12" s="36">
        <v>44273.0</v>
      </c>
      <c r="G12" s="36">
        <v>44272.0</v>
      </c>
    </row>
    <row r="13">
      <c r="A13" s="37" t="s">
        <v>47</v>
      </c>
      <c r="B13" s="64">
        <f>'Income statement'!B12</f>
        <v>72387.954</v>
      </c>
      <c r="C13" s="64">
        <f>'Income statement'!C12</f>
        <v>67146.15</v>
      </c>
      <c r="D13" s="64">
        <f>'Income statement'!D12</f>
        <v>62017.49</v>
      </c>
      <c r="E13" s="64">
        <f>'Income statement'!E12</f>
        <v>45419.34</v>
      </c>
      <c r="F13" s="64">
        <f>'Income statement'!F12</f>
        <v>44111.49</v>
      </c>
      <c r="G13" s="64">
        <f>'Income statement'!G12</f>
        <v>47780.03</v>
      </c>
    </row>
    <row r="14">
      <c r="A14" s="65" t="s">
        <v>45</v>
      </c>
      <c r="B14" s="64">
        <f>'Income statement'!B10</f>
        <v>4377.598</v>
      </c>
      <c r="C14" s="64">
        <f>'Income statement'!C10</f>
        <v>3990.04</v>
      </c>
      <c r="D14" s="64">
        <f>'Income statement'!D10</f>
        <v>6117.23</v>
      </c>
      <c r="E14" s="64">
        <f>'Income statement'!E10</f>
        <v>413.46</v>
      </c>
      <c r="F14" s="64">
        <f>'Income statement'!F10</f>
        <v>657.13</v>
      </c>
      <c r="G14" s="64">
        <f>'Income statement'!G10</f>
        <v>1477.53</v>
      </c>
    </row>
    <row r="15">
      <c r="A15" s="65" t="s">
        <v>43</v>
      </c>
      <c r="B15" s="64">
        <f>'Income statement'!B9</f>
        <v>73525.346</v>
      </c>
      <c r="C15" s="64">
        <f>'Income statement'!C9</f>
        <v>68179.15</v>
      </c>
      <c r="D15" s="64">
        <f>'Income statement'!D9</f>
        <v>62964.61</v>
      </c>
      <c r="E15" s="64">
        <f>'Income statement'!E9</f>
        <v>46196.25</v>
      </c>
      <c r="F15" s="64">
        <f>'Income statement'!F9</f>
        <v>44892.23</v>
      </c>
      <c r="G15" s="64">
        <f>'Income statement'!G9</f>
        <v>48537.68</v>
      </c>
    </row>
    <row r="16">
      <c r="A16" s="65" t="s">
        <v>64</v>
      </c>
      <c r="B16" s="38">
        <v>831.0</v>
      </c>
      <c r="C16" s="38">
        <v>73.32</v>
      </c>
      <c r="D16" s="38">
        <v>64.47</v>
      </c>
      <c r="E16" s="38">
        <v>56.87</v>
      </c>
      <c r="F16" s="38">
        <f>50</f>
        <v>50</v>
      </c>
      <c r="G16" s="64">
        <v>46.0</v>
      </c>
    </row>
    <row r="17">
      <c r="A17" s="65" t="s">
        <v>65</v>
      </c>
      <c r="B17" s="66">
        <f t="shared" ref="B17:G17" si="4">C27-D27+B15</f>
        <v>75216.086</v>
      </c>
      <c r="C17" s="66">
        <f t="shared" si="4"/>
        <v>68579.75</v>
      </c>
      <c r="D17" s="66">
        <f t="shared" si="4"/>
        <v>63712.85</v>
      </c>
      <c r="E17" s="66">
        <f t="shared" si="4"/>
        <v>46391.66</v>
      </c>
      <c r="F17" s="66">
        <f t="shared" si="4"/>
        <v>45019.28</v>
      </c>
      <c r="G17" s="66">
        <f t="shared" si="4"/>
        <v>49162.18</v>
      </c>
    </row>
    <row r="18">
      <c r="A18" s="59" t="s">
        <v>66</v>
      </c>
      <c r="B18" s="47">
        <f t="shared" ref="B18:G18" si="5">B13-B14+B15-B16-B17</f>
        <v>65488.616</v>
      </c>
      <c r="C18" s="47">
        <f t="shared" si="5"/>
        <v>62682.19</v>
      </c>
      <c r="D18" s="47">
        <f t="shared" si="5"/>
        <v>55087.55</v>
      </c>
      <c r="E18" s="47">
        <f t="shared" si="5"/>
        <v>44753.6</v>
      </c>
      <c r="F18" s="47">
        <f t="shared" si="5"/>
        <v>43277.31</v>
      </c>
      <c r="G18" s="67">
        <f t="shared" si="5"/>
        <v>45632</v>
      </c>
    </row>
    <row r="19">
      <c r="C19" s="68"/>
    </row>
    <row r="21" ht="15.75" customHeight="1">
      <c r="G21" s="6" t="s">
        <v>67</v>
      </c>
    </row>
    <row r="22" ht="15.75" customHeight="1"/>
    <row r="23" ht="15.75" customHeight="1"/>
    <row r="24" ht="15.75" customHeight="1"/>
    <row r="25" ht="15.75" customHeight="1"/>
    <row r="26" ht="15.75" customHeight="1">
      <c r="C26" s="6" t="s">
        <v>32</v>
      </c>
      <c r="D26" s="6" t="s">
        <v>33</v>
      </c>
      <c r="E26" s="6" t="s">
        <v>34</v>
      </c>
      <c r="F26" s="6" t="s">
        <v>35</v>
      </c>
      <c r="G26" s="6" t="s">
        <v>36</v>
      </c>
      <c r="H26" s="6" t="s">
        <v>37</v>
      </c>
      <c r="I26" s="6" t="s">
        <v>68</v>
      </c>
    </row>
    <row r="27" ht="15.75" customHeight="1">
      <c r="A27" s="69" t="s">
        <v>69</v>
      </c>
      <c r="B27" s="60" t="s">
        <v>70</v>
      </c>
      <c r="C27" s="6">
        <v>12500.0</v>
      </c>
      <c r="D27" s="61">
        <v>10809.26</v>
      </c>
      <c r="E27" s="61">
        <v>10408.66</v>
      </c>
      <c r="F27" s="61">
        <v>9660.42</v>
      </c>
      <c r="G27" s="61">
        <v>9465.01</v>
      </c>
      <c r="H27" s="61">
        <v>9337.96</v>
      </c>
      <c r="I27" s="61">
        <v>8713.46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19.29"/>
    <col customWidth="1" min="3" max="3" width="25.43"/>
    <col customWidth="1" min="4" max="4" width="13.86"/>
    <col customWidth="1" min="5" max="5" width="11.57"/>
    <col customWidth="1" min="6" max="6" width="8.71"/>
    <col customWidth="1" min="7" max="7" width="11.0"/>
    <col customWidth="1" min="8" max="8" width="8.71"/>
    <col customWidth="1" min="9" max="9" width="27.57"/>
    <col customWidth="1" min="10" max="27" width="8.71"/>
  </cols>
  <sheetData>
    <row r="2">
      <c r="A2" s="70" t="s">
        <v>71</v>
      </c>
      <c r="B2" s="8"/>
      <c r="C2" s="8"/>
      <c r="D2" s="8"/>
      <c r="E2" s="8"/>
      <c r="F2" s="8"/>
      <c r="G2" s="9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</row>
    <row r="3" ht="14.25" customHeight="1">
      <c r="A3" s="36"/>
      <c r="B3" s="36" t="s">
        <v>32</v>
      </c>
      <c r="C3" s="36" t="s">
        <v>33</v>
      </c>
      <c r="D3" s="36" t="s">
        <v>34</v>
      </c>
      <c r="E3" s="36" t="s">
        <v>35</v>
      </c>
      <c r="F3" s="36" t="s">
        <v>36</v>
      </c>
      <c r="G3" s="36" t="s">
        <v>37</v>
      </c>
      <c r="K3" s="6" t="s">
        <v>72</v>
      </c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</row>
    <row r="4">
      <c r="A4" s="37" t="s">
        <v>73</v>
      </c>
      <c r="B4" s="38">
        <f>'Balance Sheet'!B11/('Balance Sheet'!B11+'Balance Sheet'!B13)</f>
        <v>0.6743711801</v>
      </c>
      <c r="C4" s="38">
        <f>'Balance Sheet'!C11/('Balance Sheet'!C11+'Balance Sheet'!C13)</f>
        <v>0.6218362963</v>
      </c>
      <c r="D4" s="38">
        <f>'Balance Sheet'!D11/('Balance Sheet'!D11+'Balance Sheet'!D13)</f>
        <v>0.4169716799</v>
      </c>
      <c r="E4" s="38">
        <f>'Balance Sheet'!E11/('Balance Sheet'!E11+'Balance Sheet'!E13)</f>
        <v>0.3959443421</v>
      </c>
      <c r="F4" s="38">
        <f>'Balance Sheet'!F11/('Balance Sheet'!F11+'Balance Sheet'!F13)</f>
        <v>0.3651006682</v>
      </c>
      <c r="G4" s="39">
        <f>'Balance Sheet'!G11/('Balance Sheet'!G11+'Balance Sheet'!G13)</f>
        <v>0.4038158719</v>
      </c>
      <c r="I4" s="71" t="s">
        <v>74</v>
      </c>
      <c r="J4" s="52">
        <f t="shared" ref="J4:N4" si="1">(B6-C6)/C6</f>
        <v>0.1191751475</v>
      </c>
      <c r="K4" s="52">
        <f t="shared" si="1"/>
        <v>0.07108335495</v>
      </c>
      <c r="L4" s="52">
        <f t="shared" si="1"/>
        <v>0.00408999538</v>
      </c>
      <c r="M4" s="52">
        <f t="shared" si="1"/>
        <v>0.7504788903</v>
      </c>
      <c r="N4" s="53">
        <f t="shared" si="1"/>
        <v>-0.5066432533</v>
      </c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</row>
    <row r="5" ht="15.0" customHeight="1">
      <c r="A5" s="37" t="s">
        <v>75</v>
      </c>
      <c r="B5" s="38">
        <f t="shared" ref="B5:G5" si="2">1-B4</f>
        <v>0.3256288199</v>
      </c>
      <c r="C5" s="38">
        <f t="shared" si="2"/>
        <v>0.3781637037</v>
      </c>
      <c r="D5" s="38">
        <f t="shared" si="2"/>
        <v>0.5830283201</v>
      </c>
      <c r="E5" s="38">
        <f t="shared" si="2"/>
        <v>0.6040556579</v>
      </c>
      <c r="F5" s="38">
        <f t="shared" si="2"/>
        <v>0.6348993318</v>
      </c>
      <c r="G5" s="39">
        <f t="shared" si="2"/>
        <v>0.5961841281</v>
      </c>
      <c r="I5" s="6" t="s">
        <v>76</v>
      </c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</row>
    <row r="6">
      <c r="A6" s="37" t="s">
        <v>77</v>
      </c>
      <c r="B6" s="38">
        <f>0.6*C6+0.3*D6+0.2*E6+0.1*F6</f>
        <v>0.2229457582</v>
      </c>
      <c r="C6" s="38">
        <f>('CAPM UNIVERSE'!G38+'CAPM UNIVERSE'!H96*('CAPM UNIVERSE'!H2-'CAPM UNIVERSE'!G38))/100</f>
        <v>0.1992054225</v>
      </c>
      <c r="D6" s="38">
        <f>('CAPM UNIVERSE'!G38 + 'CAPM UNIVERSE'!I96*('CAPM UNIVERSE'!H2-'CAPM UNIVERSE'!G38))/100</f>
        <v>0.1859849858</v>
      </c>
      <c r="E6" s="38">
        <f>('CAPM UNIVERSE'!G38+'CAPM UNIVERSE'!J96*('CAPM UNIVERSE'!H2-'CAPM UNIVERSE'!G38))/100</f>
        <v>0.1852274065</v>
      </c>
      <c r="F6" s="38">
        <f>('CAPM UNIVERSE'!G38+'CAPM UNIVERSE'!K96*('CAPM UNIVERSE'!H2-'CAPM UNIVERSE'!G38))/100</f>
        <v>0.1058152758</v>
      </c>
      <c r="G6" s="39">
        <f>('CAPM UNIVERSE'!G38+'CAPM UNIVERSE'!L96*('CAPM UNIVERSE'!H2-'CAPM UNIVERSE'!G38))/100</f>
        <v>0.2144802448</v>
      </c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</row>
    <row r="7">
      <c r="A7" s="37" t="s">
        <v>78</v>
      </c>
      <c r="B7" s="38">
        <f>'Cash Flow'!B14/'Cash Flow'!B13</f>
        <v>0.06047412253</v>
      </c>
      <c r="C7" s="38">
        <f>'Cash Flow'!C14/'Cash Flow'!C13</f>
        <v>0.05942321339</v>
      </c>
      <c r="D7" s="38">
        <f>'Cash Flow'!D14/'Cash Flow'!D13</f>
        <v>0.09863717477</v>
      </c>
      <c r="E7" s="38">
        <f>'Cash Flow'!E14/'Cash Flow'!E13</f>
        <v>0.009103170588</v>
      </c>
      <c r="F7" s="38">
        <f>'Cash Flow'!F14/'Cash Flow'!F13</f>
        <v>0.0148970257</v>
      </c>
      <c r="G7" s="39">
        <f>'Cash Flow'!G14/'Cash Flow'!G13</f>
        <v>0.03092358879</v>
      </c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</row>
    <row r="8">
      <c r="A8" s="37" t="s">
        <v>79</v>
      </c>
      <c r="B8" s="38">
        <f>('Income statement'!B11/'Balance Sheet'!B13)*(1-DCF!B7)</f>
        <v>0.4441097432</v>
      </c>
      <c r="C8" s="38">
        <f>('Income statement'!C11/'Balance Sheet'!C13)*(1-DCF!C7)</f>
        <v>0.4119159657</v>
      </c>
      <c r="D8" s="38">
        <f>('Income statement'!D11/'Balance Sheet'!D13)*(1-DCF!D7)</f>
        <v>0.229806442</v>
      </c>
      <c r="E8" s="38">
        <f>('Income statement'!E11/'Balance Sheet'!E13)*(1-DCF!E7)</f>
        <v>0.218093243</v>
      </c>
      <c r="F8" s="38">
        <f>('Income statement'!F11/'Balance Sheet'!F13)*(1-DCF!F7)</f>
        <v>0.172068663</v>
      </c>
      <c r="G8" s="39">
        <f>('Income statement'!G11/'Balance Sheet'!G13)*(1-DCF!G7)</f>
        <v>0.2129118265</v>
      </c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</row>
    <row r="9">
      <c r="A9" s="37" t="s">
        <v>80</v>
      </c>
      <c r="B9" s="72">
        <f>'Cash Flow'!B13-'Cash Flow'!B14+'Cash Flow'!B15-'Cash Flow'!B17-'Cash Flow'!B16</f>
        <v>65488.616</v>
      </c>
      <c r="C9" s="72">
        <f>'Cash Flow'!C13-'Cash Flow'!C14+'Cash Flow'!C15-'Cash Flow'!C17-'Cash Flow'!C16</f>
        <v>62682.19</v>
      </c>
      <c r="D9" s="72">
        <f>'Cash Flow'!D13-'Cash Flow'!D14+'Cash Flow'!D15-'Cash Flow'!D17-'Cash Flow'!D16</f>
        <v>55087.55</v>
      </c>
      <c r="E9" s="72">
        <f>'Cash Flow'!E13-'Cash Flow'!E14+'Cash Flow'!E15-'Cash Flow'!E17-'Cash Flow'!E16</f>
        <v>44753.6</v>
      </c>
      <c r="F9" s="72">
        <f>'Cash Flow'!F13-'Cash Flow'!F14+'Cash Flow'!F15-'Cash Flow'!F17-'Cash Flow'!F16</f>
        <v>43277.31</v>
      </c>
      <c r="G9" s="73">
        <f>'Cash Flow'!G13-'Cash Flow'!G14+'Cash Flow'!G15-'Cash Flow'!G17-'Cash Flow'!G16</f>
        <v>45632</v>
      </c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</row>
    <row r="10"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</row>
    <row r="11"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</row>
    <row r="12">
      <c r="A12" s="37" t="s">
        <v>71</v>
      </c>
      <c r="B12" s="52">
        <f t="shared" ref="B12:G12" si="3">(B6*B4)+(B8*B5)</f>
        <v>0.2949631256</v>
      </c>
      <c r="C12" s="52">
        <f t="shared" si="3"/>
        <v>0.2796448294</v>
      </c>
      <c r="D12" s="52">
        <f t="shared" si="3"/>
        <v>0.2115341358</v>
      </c>
      <c r="E12" s="52">
        <f t="shared" si="3"/>
        <v>0.205080201</v>
      </c>
      <c r="F12" s="52">
        <f t="shared" si="3"/>
        <v>0.147879507</v>
      </c>
      <c r="G12" s="53">
        <f t="shared" si="3"/>
        <v>0.2135451787</v>
      </c>
      <c r="I12" s="71" t="s">
        <v>81</v>
      </c>
      <c r="J12" s="52"/>
      <c r="K12" s="52">
        <f t="shared" ref="K12:N12" si="4">(C12-D12)/D12</f>
        <v>0.3219844083</v>
      </c>
      <c r="L12" s="52">
        <f t="shared" si="4"/>
        <v>0.03147029676</v>
      </c>
      <c r="M12" s="52">
        <f t="shared" si="4"/>
        <v>0.3868060905</v>
      </c>
      <c r="N12" s="53">
        <f t="shared" si="4"/>
        <v>-0.3075024783</v>
      </c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</row>
    <row r="13">
      <c r="I13" s="6" t="s">
        <v>82</v>
      </c>
    </row>
    <row r="15">
      <c r="A15" s="35"/>
      <c r="B15" s="35"/>
      <c r="C15" s="35"/>
      <c r="D15" s="35"/>
      <c r="E15" s="35"/>
      <c r="F15" s="35"/>
    </row>
    <row r="16">
      <c r="A16" s="35"/>
      <c r="B16" s="35"/>
      <c r="C16" s="35"/>
      <c r="D16" s="35"/>
      <c r="E16" s="35"/>
      <c r="F16" s="35"/>
    </row>
    <row r="17" ht="22.5" customHeight="1">
      <c r="A17" s="70" t="s">
        <v>83</v>
      </c>
      <c r="B17" s="8"/>
      <c r="C17" s="8"/>
      <c r="D17" s="8"/>
      <c r="E17" s="8"/>
      <c r="F17" s="9"/>
      <c r="I17" s="71" t="s">
        <v>84</v>
      </c>
      <c r="J17" s="53">
        <f>(B9*(1+(B22/100)))/(B12-(B22/100))</f>
        <v>461240.4662</v>
      </c>
    </row>
    <row r="18">
      <c r="A18" s="36"/>
      <c r="B18" s="36" t="s">
        <v>33</v>
      </c>
      <c r="C18" s="36" t="s">
        <v>34</v>
      </c>
      <c r="D18" s="36" t="s">
        <v>35</v>
      </c>
      <c r="E18" s="36" t="s">
        <v>36</v>
      </c>
      <c r="F18" s="36" t="s">
        <v>37</v>
      </c>
    </row>
    <row r="19">
      <c r="A19" s="37" t="s">
        <v>85</v>
      </c>
      <c r="B19" s="38">
        <f>'Income statement'!C13/'Balance Sheet'!C11</f>
        <v>0.1528283736</v>
      </c>
      <c r="C19" s="38">
        <f>'Income statement'!D13/'Balance Sheet'!D11</f>
        <v>0.1233381676</v>
      </c>
      <c r="D19" s="38">
        <f>'Income statement'!E13/'Balance Sheet'!E11</f>
        <v>0.07954237673</v>
      </c>
      <c r="E19" s="38">
        <f>'Income statement'!F13/'Balance Sheet'!F11</f>
        <v>0.109500152</v>
      </c>
      <c r="F19" s="39">
        <f>'Income statement'!G13/'Balance Sheet'!G11</f>
        <v>0.1389120517</v>
      </c>
      <c r="I19" s="74" t="s">
        <v>86</v>
      </c>
      <c r="J19" s="74"/>
      <c r="K19" s="74"/>
      <c r="L19" s="74"/>
      <c r="M19" s="74"/>
      <c r="N19" s="74"/>
    </row>
    <row r="20">
      <c r="A20" s="37" t="s">
        <v>87</v>
      </c>
      <c r="B20" s="38">
        <f>('Income statement'!C13-'Cash Flow'!C10)/'Income statement'!C13</f>
        <v>1</v>
      </c>
      <c r="C20" s="38">
        <f>('Income statement'!D13-'Cash Flow'!D10)/'Income statement'!D13</f>
        <v>0.9383130779</v>
      </c>
      <c r="D20" s="38">
        <f>('Income statement'!E13-'Cash Flow'!E10)/'Income statement'!E13</f>
        <v>0.8643966921</v>
      </c>
      <c r="E20" s="38">
        <f>('Income statement'!F13-'Cash Flow'!F10)/'Income statement'!F13</f>
        <v>0.8509585029</v>
      </c>
      <c r="F20" s="39">
        <f>('Income statement'!G13-'Cash Flow'!G10)/'Income statement'!G13</f>
        <v>0.7534425658</v>
      </c>
      <c r="I20" s="74" t="s">
        <v>88</v>
      </c>
      <c r="J20" s="74"/>
      <c r="K20" s="74"/>
      <c r="L20" s="74"/>
      <c r="M20" s="74"/>
    </row>
    <row r="21" ht="15.75" customHeight="1">
      <c r="A21" s="37" t="s">
        <v>89</v>
      </c>
      <c r="B21" s="38">
        <f t="shared" ref="B21:F21" si="5">B20*B19*100</f>
        <v>15.28283736</v>
      </c>
      <c r="C21" s="38">
        <f t="shared" si="5"/>
        <v>11.57298157</v>
      </c>
      <c r="D21" s="38">
        <f t="shared" si="5"/>
        <v>6.875616733</v>
      </c>
      <c r="E21" s="38">
        <f t="shared" si="5"/>
        <v>9.318008543</v>
      </c>
      <c r="F21" s="39">
        <f t="shared" si="5"/>
        <v>10.46622526</v>
      </c>
    </row>
    <row r="22" ht="15.75" customHeight="1">
      <c r="A22" s="59" t="s">
        <v>90</v>
      </c>
      <c r="B22" s="75">
        <f>0.6*B21+0.25*C21+0.05*D21+0.05*E21+0.05*F21</f>
        <v>13.39594033</v>
      </c>
      <c r="C22" s="76"/>
      <c r="D22" s="76"/>
      <c r="E22" s="76"/>
      <c r="F22" s="76"/>
    </row>
    <row r="23" ht="15.75" customHeight="1"/>
    <row r="24" ht="15.75" customHeight="1"/>
    <row r="25" ht="15.75" customHeight="1">
      <c r="C25" s="77"/>
    </row>
    <row r="26" ht="15.75" customHeight="1">
      <c r="C26" s="74" t="s">
        <v>91</v>
      </c>
      <c r="D26" s="78">
        <f>AVERAGE(B9,J17)</f>
        <v>263364.5411</v>
      </c>
    </row>
    <row r="27" ht="15.75" customHeight="1">
      <c r="C27" s="74" t="s">
        <v>92</v>
      </c>
      <c r="D27" s="79">
        <f t="array" ref="D27">NPV(B12,D26)</f>
        <v>203376.093</v>
      </c>
      <c r="E27" s="77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G2"/>
    <mergeCell ref="A17:F17"/>
    <mergeCell ref="B22:F2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71"/>
    <col customWidth="1" min="3" max="3" width="7.14"/>
    <col customWidth="1" min="4" max="4" width="8.71"/>
    <col customWidth="1" min="5" max="5" width="8.57"/>
    <col customWidth="1" min="6" max="6" width="9.86"/>
    <col customWidth="1" min="7" max="7" width="8.71"/>
    <col customWidth="1" min="8" max="8" width="12.86"/>
    <col customWidth="1" min="9" max="9" width="10.57"/>
    <col customWidth="1" min="10" max="10" width="8.71"/>
    <col customWidth="1" min="11" max="11" width="9.71"/>
    <col customWidth="1" min="12" max="16" width="8.71"/>
    <col customWidth="1" min="17" max="17" width="10.43"/>
    <col customWidth="1" min="18" max="18" width="9.86"/>
    <col customWidth="1" min="19" max="26" width="8.71"/>
  </cols>
  <sheetData>
    <row r="2">
      <c r="E2" s="80" t="s">
        <v>93</v>
      </c>
      <c r="F2" s="81"/>
      <c r="G2" s="82"/>
      <c r="H2" s="53">
        <v>15.0</v>
      </c>
    </row>
    <row r="4">
      <c r="D4" s="83" t="s">
        <v>94</v>
      </c>
      <c r="E4" s="84"/>
      <c r="F4" s="84"/>
      <c r="G4" s="85"/>
    </row>
    <row r="5">
      <c r="D5" s="86" t="s">
        <v>95</v>
      </c>
      <c r="E5" s="36" t="s">
        <v>96</v>
      </c>
      <c r="F5" s="36" t="s">
        <v>97</v>
      </c>
      <c r="G5" s="36" t="s">
        <v>98</v>
      </c>
      <c r="H5" s="36" t="s">
        <v>99</v>
      </c>
      <c r="I5" s="36" t="s">
        <v>100</v>
      </c>
      <c r="J5" s="87" t="s">
        <v>101</v>
      </c>
      <c r="K5" s="56"/>
      <c r="L5" s="56"/>
      <c r="M5" s="56"/>
      <c r="N5" s="56"/>
      <c r="O5" s="56"/>
      <c r="P5" s="56"/>
      <c r="Q5" s="56"/>
      <c r="R5" s="56"/>
      <c r="S5" s="56"/>
      <c r="T5" s="57"/>
    </row>
    <row r="6">
      <c r="D6" s="88">
        <v>44378.0</v>
      </c>
      <c r="E6" s="38">
        <v>6.138</v>
      </c>
      <c r="F6" s="38">
        <v>6.051</v>
      </c>
      <c r="G6" s="38">
        <v>6.277</v>
      </c>
      <c r="H6" s="39">
        <v>6.035</v>
      </c>
      <c r="I6" s="89">
        <v>0.0144</v>
      </c>
    </row>
    <row r="7">
      <c r="D7" s="90">
        <v>44348.0</v>
      </c>
      <c r="E7" s="38">
        <v>6.051</v>
      </c>
      <c r="F7" s="38">
        <v>6.032</v>
      </c>
      <c r="G7" s="38">
        <v>6.089</v>
      </c>
      <c r="H7" s="39">
        <v>5.984</v>
      </c>
      <c r="I7" s="89">
        <v>0.0048</v>
      </c>
    </row>
    <row r="8">
      <c r="D8" s="90">
        <v>44317.0</v>
      </c>
      <c r="E8" s="38">
        <v>6.022</v>
      </c>
      <c r="F8" s="38">
        <v>6.029</v>
      </c>
      <c r="G8" s="38">
        <v>6.048</v>
      </c>
      <c r="H8" s="39">
        <v>5.958</v>
      </c>
      <c r="I8" s="89">
        <v>-0.0013</v>
      </c>
    </row>
    <row r="9">
      <c r="D9" s="90">
        <v>44287.0</v>
      </c>
      <c r="E9" s="38">
        <v>6.03</v>
      </c>
      <c r="F9" s="38">
        <v>6.202</v>
      </c>
      <c r="G9" s="38">
        <v>6.202</v>
      </c>
      <c r="H9" s="39">
        <v>5.99</v>
      </c>
      <c r="I9" s="89">
        <v>-0.0238</v>
      </c>
    </row>
    <row r="10">
      <c r="D10" s="90">
        <v>44256.0</v>
      </c>
      <c r="E10" s="38">
        <v>6.177</v>
      </c>
      <c r="F10" s="38">
        <v>6.236</v>
      </c>
      <c r="G10" s="38">
        <v>6.274</v>
      </c>
      <c r="H10" s="39">
        <v>6.114</v>
      </c>
      <c r="I10" s="89">
        <v>-0.0083</v>
      </c>
      <c r="K10" s="91">
        <f>('CAPM UNIVERSE'!G38+'CAPM UNIVERSE'!H96*('CAPM UNIVERSE'!H2-'CAPM UNIVERSE'!G38))/100</f>
        <v>0.1992054225</v>
      </c>
    </row>
    <row r="11">
      <c r="D11" s="90">
        <v>44228.0</v>
      </c>
      <c r="E11" s="38">
        <v>6.229</v>
      </c>
      <c r="F11" s="38">
        <v>5.917</v>
      </c>
      <c r="G11" s="38">
        <v>6.242</v>
      </c>
      <c r="H11" s="39">
        <v>5.888</v>
      </c>
      <c r="I11" s="89">
        <v>0.0471</v>
      </c>
    </row>
    <row r="12">
      <c r="D12" s="90">
        <v>44197.0</v>
      </c>
      <c r="E12" s="38">
        <v>5.949</v>
      </c>
      <c r="F12" s="38">
        <v>5.905</v>
      </c>
      <c r="G12" s="38">
        <v>5.988</v>
      </c>
      <c r="H12" s="39">
        <v>5.839</v>
      </c>
      <c r="I12" s="89">
        <v>0.0093</v>
      </c>
    </row>
    <row r="13">
      <c r="D13" s="90">
        <v>44166.0</v>
      </c>
      <c r="E13" s="38">
        <v>5.894</v>
      </c>
      <c r="F13" s="38">
        <v>5.919</v>
      </c>
      <c r="G13" s="38">
        <v>5.981</v>
      </c>
      <c r="H13" s="39">
        <v>5.887</v>
      </c>
      <c r="I13" s="89">
        <v>-0.0029</v>
      </c>
    </row>
    <row r="14">
      <c r="D14" s="90">
        <v>44136.0</v>
      </c>
      <c r="E14" s="38">
        <v>5.911</v>
      </c>
      <c r="F14" s="38">
        <v>5.89</v>
      </c>
      <c r="G14" s="38">
        <v>5.936</v>
      </c>
      <c r="H14" s="39">
        <v>5.837</v>
      </c>
      <c r="I14" s="89">
        <v>0.0051</v>
      </c>
    </row>
    <row r="15">
      <c r="D15" s="90">
        <v>44105.0</v>
      </c>
      <c r="E15" s="38">
        <v>5.881</v>
      </c>
      <c r="F15" s="38">
        <v>5.965</v>
      </c>
      <c r="G15" s="38">
        <v>6.042</v>
      </c>
      <c r="H15" s="39">
        <v>5.791</v>
      </c>
      <c r="I15" s="89">
        <v>-0.0223</v>
      </c>
    </row>
    <row r="16">
      <c r="D16" s="90">
        <v>44075.0</v>
      </c>
      <c r="E16" s="38">
        <v>6.015</v>
      </c>
      <c r="F16" s="38">
        <v>5.949</v>
      </c>
      <c r="G16" s="38">
        <v>6.109</v>
      </c>
      <c r="H16" s="39">
        <v>5.878</v>
      </c>
      <c r="I16" s="89">
        <v>-0.0104</v>
      </c>
    </row>
    <row r="17">
      <c r="D17" s="90">
        <v>44044.0</v>
      </c>
      <c r="E17" s="38">
        <v>6.078</v>
      </c>
      <c r="F17" s="38">
        <v>5.846</v>
      </c>
      <c r="G17" s="38">
        <v>6.231</v>
      </c>
      <c r="H17" s="39">
        <v>5.808</v>
      </c>
      <c r="I17" s="89">
        <v>0.0413</v>
      </c>
    </row>
    <row r="18">
      <c r="D18" s="90">
        <v>44013.0</v>
      </c>
      <c r="E18" s="38">
        <v>5.837</v>
      </c>
      <c r="F18" s="38">
        <v>5.907</v>
      </c>
      <c r="G18" s="38">
        <v>5.907</v>
      </c>
      <c r="H18" s="39">
        <v>5.747</v>
      </c>
      <c r="I18" s="89">
        <v>-0.0087</v>
      </c>
    </row>
    <row r="19">
      <c r="D19" s="90">
        <v>43983.0</v>
      </c>
      <c r="E19" s="38">
        <v>5.888</v>
      </c>
      <c r="F19" s="38">
        <v>6.055</v>
      </c>
      <c r="G19" s="38">
        <v>6.089</v>
      </c>
      <c r="H19" s="39">
        <v>5.755</v>
      </c>
      <c r="I19" s="89">
        <v>-0.0208</v>
      </c>
    </row>
    <row r="20">
      <c r="D20" s="90">
        <v>43952.0</v>
      </c>
      <c r="E20" s="38">
        <v>6.013</v>
      </c>
      <c r="F20" s="38">
        <v>6.138</v>
      </c>
      <c r="G20" s="38">
        <v>6.25</v>
      </c>
      <c r="H20" s="39">
        <v>5.879</v>
      </c>
      <c r="I20" s="89">
        <v>-0.0159</v>
      </c>
    </row>
    <row r="21" ht="15.75" customHeight="1">
      <c r="D21" s="90">
        <v>43922.0</v>
      </c>
      <c r="E21" s="38">
        <v>6.11</v>
      </c>
      <c r="F21" s="38">
        <v>6.287</v>
      </c>
      <c r="G21" s="38">
        <v>6.504</v>
      </c>
      <c r="H21" s="39">
        <v>6.015</v>
      </c>
      <c r="I21" s="89">
        <v>-0.0046</v>
      </c>
    </row>
    <row r="22" ht="15.75" customHeight="1">
      <c r="D22" s="90">
        <v>43891.0</v>
      </c>
      <c r="E22" s="38">
        <v>6.138</v>
      </c>
      <c r="F22" s="38">
        <v>6.343</v>
      </c>
      <c r="G22" s="38">
        <v>6.449</v>
      </c>
      <c r="H22" s="39">
        <v>5.995</v>
      </c>
      <c r="I22" s="89">
        <v>-0.0366</v>
      </c>
    </row>
    <row r="23" ht="15.75" customHeight="1">
      <c r="D23" s="90">
        <v>43862.0</v>
      </c>
      <c r="E23" s="38">
        <v>6.371</v>
      </c>
      <c r="F23" s="38">
        <v>6.509</v>
      </c>
      <c r="G23" s="38">
        <v>6.52</v>
      </c>
      <c r="H23" s="39">
        <v>6.326</v>
      </c>
      <c r="I23" s="89">
        <v>-0.0346</v>
      </c>
    </row>
    <row r="24" ht="15.75" customHeight="1">
      <c r="D24" s="90">
        <v>43831.0</v>
      </c>
      <c r="E24" s="38">
        <v>6.599</v>
      </c>
      <c r="F24" s="38">
        <v>6.548</v>
      </c>
      <c r="G24" s="38">
        <v>6.692</v>
      </c>
      <c r="H24" s="39">
        <v>6.485</v>
      </c>
      <c r="I24" s="89">
        <v>0.0069</v>
      </c>
    </row>
    <row r="25" ht="15.75" customHeight="1">
      <c r="D25" s="90">
        <v>43800.0</v>
      </c>
      <c r="E25" s="38">
        <v>6.554</v>
      </c>
      <c r="F25" s="38">
        <v>6.463</v>
      </c>
      <c r="G25" s="38">
        <v>6.837</v>
      </c>
      <c r="H25" s="39">
        <v>6.448</v>
      </c>
      <c r="I25" s="89">
        <v>0.0146</v>
      </c>
    </row>
    <row r="26" ht="15.75" customHeight="1">
      <c r="D26" s="90">
        <v>43770.0</v>
      </c>
      <c r="E26" s="38">
        <v>6.46</v>
      </c>
      <c r="F26" s="38">
        <v>6.431</v>
      </c>
      <c r="G26" s="38">
        <v>6.574</v>
      </c>
      <c r="H26" s="39">
        <v>6.415</v>
      </c>
      <c r="I26" s="89">
        <v>-0.0275</v>
      </c>
    </row>
    <row r="27" ht="15.75" customHeight="1">
      <c r="D27" s="90">
        <v>43739.0</v>
      </c>
      <c r="E27" s="38">
        <v>6.643</v>
      </c>
      <c r="F27" s="38">
        <v>6.68</v>
      </c>
      <c r="G27" s="38">
        <v>6.739</v>
      </c>
      <c r="H27" s="39">
        <v>6.582</v>
      </c>
      <c r="I27" s="89">
        <v>-0.0078</v>
      </c>
    </row>
    <row r="28" ht="15.75" customHeight="1">
      <c r="D28" s="90">
        <v>43709.0</v>
      </c>
      <c r="E28" s="38">
        <v>6.695</v>
      </c>
      <c r="F28" s="38">
        <v>6.498</v>
      </c>
      <c r="G28" s="38">
        <v>6.874</v>
      </c>
      <c r="H28" s="39">
        <v>6.488</v>
      </c>
      <c r="I28" s="89">
        <v>0.0212</v>
      </c>
    </row>
    <row r="29" ht="15.75" customHeight="1">
      <c r="D29" s="90">
        <v>43678.0</v>
      </c>
      <c r="E29" s="38">
        <v>6.556</v>
      </c>
      <c r="F29" s="38">
        <v>6.394</v>
      </c>
      <c r="G29" s="38">
        <v>6.639</v>
      </c>
      <c r="H29" s="39">
        <v>6.296</v>
      </c>
      <c r="I29" s="89">
        <v>0.0294</v>
      </c>
    </row>
    <row r="30" ht="15.75" customHeight="1">
      <c r="D30" s="90">
        <v>43647.0</v>
      </c>
      <c r="E30" s="38">
        <v>6.369</v>
      </c>
      <c r="F30" s="38">
        <v>6.906</v>
      </c>
      <c r="G30" s="38">
        <v>6.93</v>
      </c>
      <c r="H30" s="39">
        <v>6.266</v>
      </c>
      <c r="I30" s="89">
        <v>-0.0741</v>
      </c>
    </row>
    <row r="31" ht="15.75" customHeight="1">
      <c r="D31" s="90">
        <v>43617.0</v>
      </c>
      <c r="E31" s="38">
        <v>6.879</v>
      </c>
      <c r="F31" s="38">
        <v>6.949</v>
      </c>
      <c r="G31" s="38">
        <v>7.097</v>
      </c>
      <c r="H31" s="39">
        <v>6.734</v>
      </c>
      <c r="I31" s="89">
        <v>-0.0218</v>
      </c>
    </row>
    <row r="32" ht="15.75" customHeight="1">
      <c r="D32" s="90">
        <v>43586.0</v>
      </c>
      <c r="E32" s="38">
        <v>7.032</v>
      </c>
      <c r="F32" s="38">
        <v>7.411</v>
      </c>
      <c r="G32" s="38">
        <v>7.426</v>
      </c>
      <c r="H32" s="39">
        <v>7.03</v>
      </c>
      <c r="I32" s="89">
        <v>-0.0515</v>
      </c>
    </row>
    <row r="33" ht="15.75" customHeight="1">
      <c r="D33" s="90">
        <v>43556.0</v>
      </c>
      <c r="E33" s="38">
        <v>7.414</v>
      </c>
      <c r="F33" s="38">
        <v>7.356</v>
      </c>
      <c r="G33" s="38">
        <v>7.497</v>
      </c>
      <c r="H33" s="39">
        <v>7.229</v>
      </c>
      <c r="I33" s="89">
        <v>0.0093</v>
      </c>
    </row>
    <row r="34" ht="15.75" customHeight="1">
      <c r="D34" s="90">
        <v>43525.0</v>
      </c>
      <c r="E34" s="38">
        <v>7.346</v>
      </c>
      <c r="F34" s="38">
        <v>7.588</v>
      </c>
      <c r="G34" s="38">
        <v>7.59</v>
      </c>
      <c r="H34" s="39">
        <v>7.301</v>
      </c>
      <c r="I34" s="89">
        <v>-0.0323</v>
      </c>
    </row>
    <row r="35" ht="15.75" customHeight="1">
      <c r="D35" s="90">
        <v>43497.0</v>
      </c>
      <c r="E35" s="38">
        <v>7.591</v>
      </c>
      <c r="F35" s="38">
        <v>7.47</v>
      </c>
      <c r="G35" s="38">
        <v>7.699</v>
      </c>
      <c r="H35" s="39">
        <v>7.425</v>
      </c>
      <c r="I35" s="89">
        <v>0.0144</v>
      </c>
    </row>
    <row r="36" ht="15.75" customHeight="1">
      <c r="D36" s="92">
        <v>43466.0</v>
      </c>
      <c r="E36" s="45">
        <v>7.483</v>
      </c>
      <c r="F36" s="45">
        <v>7.401</v>
      </c>
      <c r="G36" s="45">
        <v>7.65</v>
      </c>
      <c r="H36" s="46">
        <v>7.35</v>
      </c>
      <c r="I36" s="89">
        <v>0.0153</v>
      </c>
    </row>
    <row r="37" ht="15.75" customHeight="1"/>
    <row r="38" ht="15.75" customHeight="1">
      <c r="F38" s="93" t="s">
        <v>102</v>
      </c>
      <c r="G38" s="94">
        <v>6.398</v>
      </c>
    </row>
    <row r="39" ht="15.75" customHeight="1">
      <c r="F39" s="95" t="s">
        <v>103</v>
      </c>
      <c r="G39" s="96">
        <v>-16.0</v>
      </c>
    </row>
    <row r="40" ht="15.75" customHeight="1">
      <c r="B40" s="97" t="s">
        <v>104</v>
      </c>
      <c r="C40" s="57"/>
      <c r="K40" s="83" t="s">
        <v>105</v>
      </c>
      <c r="L40" s="85"/>
    </row>
    <row r="41" ht="15.75" customHeight="1">
      <c r="B41" s="86" t="s">
        <v>95</v>
      </c>
      <c r="C41" s="36" t="s">
        <v>106</v>
      </c>
      <c r="D41" s="36" t="s">
        <v>107</v>
      </c>
      <c r="E41" s="36" t="s">
        <v>108</v>
      </c>
      <c r="F41" s="36" t="s">
        <v>109</v>
      </c>
      <c r="G41" s="36" t="s">
        <v>110</v>
      </c>
      <c r="H41" s="36" t="s">
        <v>111</v>
      </c>
      <c r="I41" s="36" t="s">
        <v>112</v>
      </c>
      <c r="K41" s="86" t="s">
        <v>95</v>
      </c>
      <c r="L41" s="36" t="s">
        <v>106</v>
      </c>
      <c r="M41" s="36" t="s">
        <v>107</v>
      </c>
      <c r="N41" s="36" t="s">
        <v>108</v>
      </c>
      <c r="O41" s="36" t="s">
        <v>109</v>
      </c>
      <c r="P41" s="36" t="s">
        <v>110</v>
      </c>
      <c r="Q41" s="36" t="s">
        <v>111</v>
      </c>
      <c r="R41" s="36" t="s">
        <v>113</v>
      </c>
    </row>
    <row r="42" ht="15.75" customHeight="1">
      <c r="B42" s="98">
        <v>44401.0</v>
      </c>
      <c r="C42" s="38">
        <v>655.95</v>
      </c>
      <c r="D42" s="38">
        <v>677.85</v>
      </c>
      <c r="E42" s="38">
        <v>650.75</v>
      </c>
      <c r="F42" s="38">
        <v>676.65</v>
      </c>
      <c r="G42" s="38">
        <v>676.65</v>
      </c>
      <c r="H42" s="38">
        <v>1.9292912E7</v>
      </c>
      <c r="I42" s="39"/>
      <c r="K42" s="98">
        <v>44401.0</v>
      </c>
      <c r="L42" s="38">
        <v>15856.8</v>
      </c>
      <c r="M42" s="38">
        <v>15899.8</v>
      </c>
      <c r="N42" s="38">
        <v>15768.4</v>
      </c>
      <c r="O42" s="38">
        <v>15856.05</v>
      </c>
      <c r="P42" s="38">
        <v>15856.05</v>
      </c>
      <c r="Q42" s="38" t="s">
        <v>114</v>
      </c>
      <c r="R42" s="39"/>
    </row>
    <row r="43" ht="15.75" customHeight="1">
      <c r="B43" s="98">
        <v>44378.0</v>
      </c>
      <c r="C43" s="38">
        <v>633.95</v>
      </c>
      <c r="D43" s="38">
        <v>677.85</v>
      </c>
      <c r="E43" s="38">
        <v>630.05</v>
      </c>
      <c r="F43" s="38">
        <v>676.65</v>
      </c>
      <c r="G43" s="38">
        <v>676.65</v>
      </c>
      <c r="H43" s="38">
        <v>1.74315689E8</v>
      </c>
      <c r="I43" s="39">
        <f t="shared" ref="I43:I93" si="1">(G42-G43)/G43</f>
        <v>0</v>
      </c>
      <c r="K43" s="98">
        <v>44378.0</v>
      </c>
      <c r="L43" s="38">
        <v>15755.05</v>
      </c>
      <c r="M43" s="38">
        <v>15962.25</v>
      </c>
      <c r="N43" s="38">
        <v>15578.55</v>
      </c>
      <c r="O43" s="38">
        <v>15856.05</v>
      </c>
      <c r="P43" s="38">
        <v>15856.05</v>
      </c>
      <c r="Q43" s="38">
        <v>4058500.0</v>
      </c>
      <c r="R43" s="39">
        <f t="shared" ref="R43:R93" si="2">(P42-P43)/P43</f>
        <v>0</v>
      </c>
    </row>
    <row r="44" ht="15.75" customHeight="1">
      <c r="B44" s="98">
        <v>44348.0</v>
      </c>
      <c r="C44" s="38">
        <v>664.55</v>
      </c>
      <c r="D44" s="38">
        <v>664.9</v>
      </c>
      <c r="E44" s="38">
        <v>616.25</v>
      </c>
      <c r="F44" s="38">
        <v>630.9</v>
      </c>
      <c r="G44" s="38">
        <v>630.9</v>
      </c>
      <c r="H44" s="38">
        <v>2.71263271E8</v>
      </c>
      <c r="I44" s="39">
        <f t="shared" si="1"/>
        <v>0.07251545411</v>
      </c>
      <c r="K44" s="98">
        <v>44348.0</v>
      </c>
      <c r="L44" s="38">
        <v>15629.65</v>
      </c>
      <c r="M44" s="38">
        <v>15915.65</v>
      </c>
      <c r="N44" s="38">
        <v>15450.9</v>
      </c>
      <c r="O44" s="38">
        <v>15721.5</v>
      </c>
      <c r="P44" s="38">
        <v>15721.5</v>
      </c>
      <c r="Q44" s="38">
        <v>8079100.0</v>
      </c>
      <c r="R44" s="39">
        <f t="shared" si="2"/>
        <v>0.008558343669</v>
      </c>
    </row>
    <row r="45" ht="15.75" customHeight="1">
      <c r="B45" s="98">
        <v>44317.0</v>
      </c>
      <c r="C45" s="38">
        <v>592.55</v>
      </c>
      <c r="D45" s="38">
        <v>665.0</v>
      </c>
      <c r="E45" s="38">
        <v>584.7</v>
      </c>
      <c r="F45" s="38">
        <v>662.75</v>
      </c>
      <c r="G45" s="38">
        <v>662.75</v>
      </c>
      <c r="H45" s="38">
        <v>3.3211699E8</v>
      </c>
      <c r="I45" s="39">
        <f t="shared" si="1"/>
        <v>-0.04805733685</v>
      </c>
      <c r="K45" s="98">
        <v>44317.0</v>
      </c>
      <c r="L45" s="38">
        <v>14481.05</v>
      </c>
      <c r="M45" s="38">
        <v>15606.35</v>
      </c>
      <c r="N45" s="38">
        <v>14416.25</v>
      </c>
      <c r="O45" s="38">
        <v>15582.8</v>
      </c>
      <c r="P45" s="38">
        <v>15582.8</v>
      </c>
      <c r="Q45" s="38">
        <v>9859900.0</v>
      </c>
      <c r="R45" s="39">
        <f t="shared" si="2"/>
        <v>0.008900839387</v>
      </c>
    </row>
    <row r="46" ht="15.75" customHeight="1">
      <c r="B46" s="98">
        <v>44287.0</v>
      </c>
      <c r="C46" s="38">
        <v>587.55</v>
      </c>
      <c r="D46" s="38">
        <v>628.45</v>
      </c>
      <c r="E46" s="38">
        <v>531.15</v>
      </c>
      <c r="F46" s="38">
        <v>600.5</v>
      </c>
      <c r="G46" s="38">
        <v>600.5</v>
      </c>
      <c r="H46" s="38">
        <v>5.4232272E8</v>
      </c>
      <c r="I46" s="39">
        <f t="shared" si="1"/>
        <v>0.1036636137</v>
      </c>
      <c r="K46" s="98">
        <v>44287.0</v>
      </c>
      <c r="L46" s="38">
        <v>14798.4</v>
      </c>
      <c r="M46" s="38">
        <v>15044.35</v>
      </c>
      <c r="N46" s="38">
        <v>14151.4</v>
      </c>
      <c r="O46" s="38">
        <v>14631.1</v>
      </c>
      <c r="P46" s="38">
        <v>14631.1</v>
      </c>
      <c r="Q46" s="38">
        <v>9344700.0</v>
      </c>
      <c r="R46" s="39">
        <f t="shared" si="2"/>
        <v>0.06504637382</v>
      </c>
    </row>
    <row r="47" ht="15.75" customHeight="1">
      <c r="B47" s="98">
        <v>44256.0</v>
      </c>
      <c r="C47" s="38">
        <v>607.55</v>
      </c>
      <c r="D47" s="38">
        <v>638.0</v>
      </c>
      <c r="E47" s="38">
        <v>557.1</v>
      </c>
      <c r="F47" s="38">
        <v>582.1</v>
      </c>
      <c r="G47" s="38">
        <v>582.1</v>
      </c>
      <c r="H47" s="38">
        <v>4.84732989E8</v>
      </c>
      <c r="I47" s="39">
        <f t="shared" si="1"/>
        <v>0.03160968906</v>
      </c>
      <c r="K47" s="98">
        <v>44256.0</v>
      </c>
      <c r="L47" s="38">
        <v>14702.5</v>
      </c>
      <c r="M47" s="38">
        <v>15336.3</v>
      </c>
      <c r="N47" s="38">
        <v>14264.4</v>
      </c>
      <c r="O47" s="38">
        <v>14690.7</v>
      </c>
      <c r="P47" s="38">
        <v>14690.7</v>
      </c>
      <c r="Q47" s="38">
        <v>9886800.0</v>
      </c>
      <c r="R47" s="39">
        <f t="shared" si="2"/>
        <v>-0.004056988435</v>
      </c>
    </row>
    <row r="48" ht="15.75" customHeight="1">
      <c r="B48" s="98">
        <v>44228.0</v>
      </c>
      <c r="C48" s="38">
        <v>552.0</v>
      </c>
      <c r="D48" s="38">
        <v>679.4</v>
      </c>
      <c r="E48" s="38">
        <v>551.0</v>
      </c>
      <c r="F48" s="38">
        <v>597.75</v>
      </c>
      <c r="G48" s="38">
        <v>597.75</v>
      </c>
      <c r="H48" s="38">
        <v>5.95364253E8</v>
      </c>
      <c r="I48" s="39">
        <f t="shared" si="1"/>
        <v>-0.02618151401</v>
      </c>
      <c r="K48" s="98">
        <v>44228.0</v>
      </c>
      <c r="L48" s="38">
        <v>13758.6</v>
      </c>
      <c r="M48" s="38">
        <v>15431.75</v>
      </c>
      <c r="N48" s="38">
        <v>13661.75</v>
      </c>
      <c r="O48" s="38">
        <v>14529.15</v>
      </c>
      <c r="P48" s="38">
        <v>14529.15</v>
      </c>
      <c r="Q48" s="38">
        <v>1.43139E7</v>
      </c>
      <c r="R48" s="39">
        <f t="shared" si="2"/>
        <v>0.01111902623</v>
      </c>
    </row>
    <row r="49" ht="15.75" customHeight="1">
      <c r="B49" s="98">
        <v>44197.0</v>
      </c>
      <c r="C49" s="38">
        <v>535.55</v>
      </c>
      <c r="D49" s="38">
        <v>561.0</v>
      </c>
      <c r="E49" s="38">
        <v>512.0</v>
      </c>
      <c r="F49" s="38">
        <v>537.0</v>
      </c>
      <c r="G49" s="38">
        <v>537.0</v>
      </c>
      <c r="H49" s="38">
        <v>4.26883599E8</v>
      </c>
      <c r="I49" s="39">
        <f t="shared" si="1"/>
        <v>0.1131284916</v>
      </c>
      <c r="K49" s="98">
        <v>44197.0</v>
      </c>
      <c r="L49" s="38">
        <v>14104.35</v>
      </c>
      <c r="M49" s="38">
        <v>14753.55</v>
      </c>
      <c r="N49" s="38">
        <v>13596.75</v>
      </c>
      <c r="O49" s="38">
        <v>13634.6</v>
      </c>
      <c r="P49" s="38">
        <v>13634.6</v>
      </c>
      <c r="Q49" s="38">
        <v>1.27618E7</v>
      </c>
      <c r="R49" s="39">
        <f t="shared" si="2"/>
        <v>0.06560881874</v>
      </c>
    </row>
    <row r="50" ht="15.75" customHeight="1">
      <c r="B50" s="98">
        <v>44166.0</v>
      </c>
      <c r="C50" s="38">
        <v>479.7</v>
      </c>
      <c r="D50" s="38">
        <v>538.5</v>
      </c>
      <c r="E50" s="38">
        <v>472.2</v>
      </c>
      <c r="F50" s="38">
        <v>535.05</v>
      </c>
      <c r="G50" s="38">
        <v>535.05</v>
      </c>
      <c r="H50" s="38">
        <v>5.31995383E8</v>
      </c>
      <c r="I50" s="39">
        <f t="shared" si="1"/>
        <v>0.003644519204</v>
      </c>
      <c r="K50" s="98">
        <v>44166.0</v>
      </c>
      <c r="L50" s="38">
        <v>13062.2</v>
      </c>
      <c r="M50" s="38">
        <v>14024.85</v>
      </c>
      <c r="N50" s="38">
        <v>12962.8</v>
      </c>
      <c r="O50" s="38">
        <v>13981.75</v>
      </c>
      <c r="P50" s="38">
        <v>13981.75</v>
      </c>
      <c r="Q50" s="38">
        <v>1.20776E7</v>
      </c>
      <c r="R50" s="39">
        <f t="shared" si="2"/>
        <v>-0.02482879468</v>
      </c>
    </row>
    <row r="51" ht="15.75" customHeight="1">
      <c r="B51" s="98">
        <v>44136.0</v>
      </c>
      <c r="C51" s="38">
        <v>417.0</v>
      </c>
      <c r="D51" s="38">
        <v>499.0</v>
      </c>
      <c r="E51" s="38">
        <v>407.0</v>
      </c>
      <c r="F51" s="38">
        <v>473.35</v>
      </c>
      <c r="G51" s="38">
        <v>473.35</v>
      </c>
      <c r="H51" s="38">
        <v>7.40748991E8</v>
      </c>
      <c r="I51" s="39">
        <f t="shared" si="1"/>
        <v>0.130347523</v>
      </c>
      <c r="K51" s="98">
        <v>44136.0</v>
      </c>
      <c r="L51" s="38">
        <v>11697.35</v>
      </c>
      <c r="M51" s="38">
        <v>13145.85</v>
      </c>
      <c r="N51" s="38">
        <v>11557.4</v>
      </c>
      <c r="O51" s="38">
        <v>12968.95</v>
      </c>
      <c r="P51" s="38">
        <v>12968.95</v>
      </c>
      <c r="Q51" s="38">
        <v>1.30046E7</v>
      </c>
      <c r="R51" s="39">
        <f t="shared" si="2"/>
        <v>0.07809421734</v>
      </c>
    </row>
    <row r="52" ht="15.75" customHeight="1">
      <c r="B52" s="98">
        <v>44105.0</v>
      </c>
      <c r="C52" s="38">
        <v>358.25</v>
      </c>
      <c r="D52" s="38">
        <v>428.5</v>
      </c>
      <c r="E52" s="38">
        <v>358.25</v>
      </c>
      <c r="F52" s="38">
        <v>392.6</v>
      </c>
      <c r="G52" s="38">
        <v>392.6</v>
      </c>
      <c r="H52" s="38">
        <v>5.89905493E8</v>
      </c>
      <c r="I52" s="39">
        <f t="shared" si="1"/>
        <v>0.2056800815</v>
      </c>
      <c r="K52" s="98">
        <v>44105.0</v>
      </c>
      <c r="L52" s="38">
        <v>11364.45</v>
      </c>
      <c r="M52" s="38">
        <v>12025.45</v>
      </c>
      <c r="N52" s="38">
        <v>11347.05</v>
      </c>
      <c r="O52" s="38">
        <v>11642.4</v>
      </c>
      <c r="P52" s="38">
        <v>11642.4</v>
      </c>
      <c r="Q52" s="38">
        <v>1.16025E7</v>
      </c>
      <c r="R52" s="39">
        <f t="shared" si="2"/>
        <v>0.1139412836</v>
      </c>
    </row>
    <row r="53" ht="15.75" customHeight="1">
      <c r="B53" s="98">
        <v>44075.0</v>
      </c>
      <c r="C53" s="38">
        <v>394.7</v>
      </c>
      <c r="D53" s="38">
        <v>399.65</v>
      </c>
      <c r="E53" s="38">
        <v>333.75</v>
      </c>
      <c r="F53" s="38">
        <v>354.75</v>
      </c>
      <c r="G53" s="38">
        <v>354.75</v>
      </c>
      <c r="H53" s="38">
        <v>6.13523589E8</v>
      </c>
      <c r="I53" s="39">
        <f t="shared" si="1"/>
        <v>0.1066948555</v>
      </c>
      <c r="K53" s="98">
        <v>44075.0</v>
      </c>
      <c r="L53" s="38">
        <v>11464.3</v>
      </c>
      <c r="M53" s="38">
        <v>11618.1</v>
      </c>
      <c r="N53" s="38">
        <v>10790.2</v>
      </c>
      <c r="O53" s="38">
        <v>11247.55</v>
      </c>
      <c r="P53" s="38">
        <v>11247.55</v>
      </c>
      <c r="Q53" s="38">
        <v>1.29284E7</v>
      </c>
      <c r="R53" s="39">
        <f t="shared" si="2"/>
        <v>0.03510542296</v>
      </c>
    </row>
    <row r="54" ht="15.75" customHeight="1">
      <c r="B54" s="98">
        <v>44044.0</v>
      </c>
      <c r="C54" s="38">
        <v>346.8</v>
      </c>
      <c r="D54" s="38">
        <v>422.0</v>
      </c>
      <c r="E54" s="38">
        <v>340.5</v>
      </c>
      <c r="F54" s="38">
        <v>394.6</v>
      </c>
      <c r="G54" s="38">
        <v>394.6</v>
      </c>
      <c r="H54" s="38">
        <v>8.3104588E8</v>
      </c>
      <c r="I54" s="39">
        <f t="shared" si="1"/>
        <v>-0.1009883426</v>
      </c>
      <c r="K54" s="98">
        <v>44044.0</v>
      </c>
      <c r="L54" s="38">
        <v>11057.55</v>
      </c>
      <c r="M54" s="38">
        <v>11794.25</v>
      </c>
      <c r="N54" s="38">
        <v>10882.25</v>
      </c>
      <c r="O54" s="38">
        <v>11387.5</v>
      </c>
      <c r="P54" s="38">
        <v>11387.5</v>
      </c>
      <c r="Q54" s="38">
        <v>1.40355E7</v>
      </c>
      <c r="R54" s="39">
        <f t="shared" si="2"/>
        <v>-0.01228979144</v>
      </c>
    </row>
    <row r="55" ht="15.75" customHeight="1">
      <c r="B55" s="98">
        <v>44013.0</v>
      </c>
      <c r="C55" s="38">
        <v>354.25</v>
      </c>
      <c r="D55" s="38">
        <v>395.65</v>
      </c>
      <c r="E55" s="38">
        <v>340.4</v>
      </c>
      <c r="F55" s="38">
        <v>346.8</v>
      </c>
      <c r="G55" s="38">
        <v>346.8</v>
      </c>
      <c r="H55" s="38">
        <v>1.011022868E9</v>
      </c>
      <c r="I55" s="39">
        <f t="shared" si="1"/>
        <v>0.1378316032</v>
      </c>
      <c r="K55" s="98">
        <v>44013.0</v>
      </c>
      <c r="L55" s="38">
        <v>10323.8</v>
      </c>
      <c r="M55" s="38">
        <v>11341.4</v>
      </c>
      <c r="N55" s="38">
        <v>10299.6</v>
      </c>
      <c r="O55" s="38">
        <v>11073.45</v>
      </c>
      <c r="P55" s="38">
        <v>11073.45</v>
      </c>
      <c r="Q55" s="38">
        <v>1.46402E7</v>
      </c>
      <c r="R55" s="39">
        <f t="shared" si="2"/>
        <v>0.02836062835</v>
      </c>
    </row>
    <row r="56" ht="15.75" customHeight="1">
      <c r="B56" s="98">
        <v>43983.0</v>
      </c>
      <c r="C56" s="38">
        <v>339.0</v>
      </c>
      <c r="D56" s="38">
        <v>380.0</v>
      </c>
      <c r="E56" s="38">
        <v>324.1</v>
      </c>
      <c r="F56" s="38">
        <v>351.45</v>
      </c>
      <c r="G56" s="38">
        <v>351.45</v>
      </c>
      <c r="H56" s="38">
        <v>1.009599311E9</v>
      </c>
      <c r="I56" s="39">
        <f t="shared" si="1"/>
        <v>-0.01323090055</v>
      </c>
      <c r="K56" s="98">
        <v>43983.0</v>
      </c>
      <c r="L56" s="38">
        <v>9726.85</v>
      </c>
      <c r="M56" s="38">
        <v>10553.15</v>
      </c>
      <c r="N56" s="38">
        <v>9544.35</v>
      </c>
      <c r="O56" s="38">
        <v>10302.1</v>
      </c>
      <c r="P56" s="38">
        <v>10302.1</v>
      </c>
      <c r="Q56" s="38">
        <v>1.67788E7</v>
      </c>
      <c r="R56" s="39">
        <f t="shared" si="2"/>
        <v>0.07487308413</v>
      </c>
    </row>
    <row r="57" ht="15.75" customHeight="1">
      <c r="B57" s="98">
        <v>43952.0</v>
      </c>
      <c r="C57" s="38">
        <v>380.15</v>
      </c>
      <c r="D57" s="38">
        <v>380.15</v>
      </c>
      <c r="E57" s="38">
        <v>285.55</v>
      </c>
      <c r="F57" s="38">
        <v>331.95</v>
      </c>
      <c r="G57" s="38">
        <v>331.95</v>
      </c>
      <c r="H57" s="38">
        <v>1.051248074E9</v>
      </c>
      <c r="I57" s="39">
        <f t="shared" si="1"/>
        <v>0.05874378671</v>
      </c>
      <c r="K57" s="98">
        <v>43952.0</v>
      </c>
      <c r="L57" s="38">
        <v>9533.5</v>
      </c>
      <c r="M57" s="38">
        <v>9598.85</v>
      </c>
      <c r="N57" s="38">
        <v>8806.75</v>
      </c>
      <c r="O57" s="38">
        <v>9580.3</v>
      </c>
      <c r="P57" s="38">
        <v>9580.3</v>
      </c>
      <c r="Q57" s="38">
        <v>1.36759E7</v>
      </c>
      <c r="R57" s="39">
        <f t="shared" si="2"/>
        <v>0.07534210828</v>
      </c>
    </row>
    <row r="58" ht="15.75" customHeight="1">
      <c r="B58" s="98">
        <v>43922.0</v>
      </c>
      <c r="C58" s="38">
        <v>319.0</v>
      </c>
      <c r="D58" s="38">
        <v>392.95</v>
      </c>
      <c r="E58" s="38">
        <v>281.5</v>
      </c>
      <c r="F58" s="38">
        <v>380.15</v>
      </c>
      <c r="G58" s="38">
        <v>380.15</v>
      </c>
      <c r="H58" s="38">
        <v>8.76618715E8</v>
      </c>
      <c r="I58" s="39">
        <f t="shared" si="1"/>
        <v>-0.1267920558</v>
      </c>
      <c r="K58" s="98">
        <v>43922.0</v>
      </c>
      <c r="L58" s="38">
        <v>8584.1</v>
      </c>
      <c r="M58" s="38">
        <v>9889.05</v>
      </c>
      <c r="N58" s="38">
        <v>8055.8</v>
      </c>
      <c r="O58" s="38">
        <v>9859.9</v>
      </c>
      <c r="P58" s="38">
        <v>9859.9</v>
      </c>
      <c r="Q58" s="38">
        <v>1.27363E7</v>
      </c>
      <c r="R58" s="39">
        <f t="shared" si="2"/>
        <v>-0.02835728557</v>
      </c>
    </row>
    <row r="59" ht="15.75" customHeight="1">
      <c r="B59" s="98">
        <v>43891.0</v>
      </c>
      <c r="C59" s="38">
        <v>508.25</v>
      </c>
      <c r="D59" s="38">
        <v>520.55</v>
      </c>
      <c r="E59" s="38">
        <v>268.3</v>
      </c>
      <c r="F59" s="38">
        <v>323.75</v>
      </c>
      <c r="G59" s="38">
        <v>323.75</v>
      </c>
      <c r="H59" s="38">
        <v>1.021896831E9</v>
      </c>
      <c r="I59" s="39">
        <f t="shared" si="1"/>
        <v>0.1742084942</v>
      </c>
      <c r="K59" s="98">
        <v>43891.0</v>
      </c>
      <c r="L59" s="38">
        <v>11387.35</v>
      </c>
      <c r="M59" s="38">
        <v>11433.0</v>
      </c>
      <c r="N59" s="38">
        <v>7511.1</v>
      </c>
      <c r="O59" s="38">
        <v>8597.75</v>
      </c>
      <c r="P59" s="38">
        <v>8597.75</v>
      </c>
      <c r="Q59" s="38">
        <v>2.1303E7</v>
      </c>
      <c r="R59" s="39">
        <f t="shared" si="2"/>
        <v>0.1468000349</v>
      </c>
    </row>
    <row r="60" ht="15.75" customHeight="1">
      <c r="B60" s="98">
        <v>43862.0</v>
      </c>
      <c r="C60" s="38">
        <v>524.0</v>
      </c>
      <c r="D60" s="38">
        <v>550.7</v>
      </c>
      <c r="E60" s="38">
        <v>492.2</v>
      </c>
      <c r="F60" s="38">
        <v>497.25</v>
      </c>
      <c r="G60" s="38">
        <v>497.25</v>
      </c>
      <c r="H60" s="38">
        <v>3.08682231E8</v>
      </c>
      <c r="I60" s="39">
        <f t="shared" si="1"/>
        <v>-0.3489190548</v>
      </c>
      <c r="K60" s="98">
        <v>43862.0</v>
      </c>
      <c r="L60" s="38">
        <v>11627.45</v>
      </c>
      <c r="M60" s="38">
        <v>12246.7</v>
      </c>
      <c r="N60" s="38">
        <v>11175.05</v>
      </c>
      <c r="O60" s="38">
        <v>11201.75</v>
      </c>
      <c r="P60" s="38">
        <v>11201.75</v>
      </c>
      <c r="Q60" s="38">
        <v>1.01982E7</v>
      </c>
      <c r="R60" s="39">
        <f t="shared" si="2"/>
        <v>-0.2324636776</v>
      </c>
    </row>
    <row r="61" ht="15.75" customHeight="1">
      <c r="B61" s="98">
        <v>43831.0</v>
      </c>
      <c r="C61" s="38">
        <v>539.9</v>
      </c>
      <c r="D61" s="38">
        <v>547.4</v>
      </c>
      <c r="E61" s="38">
        <v>515.0</v>
      </c>
      <c r="F61" s="38">
        <v>525.65</v>
      </c>
      <c r="G61" s="38">
        <v>525.65</v>
      </c>
      <c r="H61" s="38">
        <v>3.61507539E8</v>
      </c>
      <c r="I61" s="39">
        <f t="shared" si="1"/>
        <v>-0.05402834586</v>
      </c>
      <c r="K61" s="98">
        <v>43831.0</v>
      </c>
      <c r="L61" s="38">
        <v>12202.15</v>
      </c>
      <c r="M61" s="38">
        <v>12430.5</v>
      </c>
      <c r="N61" s="38">
        <v>11929.6</v>
      </c>
      <c r="O61" s="38">
        <v>11962.1</v>
      </c>
      <c r="P61" s="38">
        <v>11962.1</v>
      </c>
      <c r="Q61" s="38">
        <v>1.09654E7</v>
      </c>
      <c r="R61" s="39">
        <f t="shared" si="2"/>
        <v>-0.06356325394</v>
      </c>
    </row>
    <row r="62" ht="15.75" customHeight="1">
      <c r="B62" s="98">
        <v>43800.0</v>
      </c>
      <c r="C62" s="38">
        <v>513.45</v>
      </c>
      <c r="D62" s="38">
        <v>552.2</v>
      </c>
      <c r="E62" s="38">
        <v>504.65</v>
      </c>
      <c r="F62" s="38">
        <v>538.9</v>
      </c>
      <c r="G62" s="38">
        <v>538.9</v>
      </c>
      <c r="H62" s="38">
        <v>3.20436566E8</v>
      </c>
      <c r="I62" s="39">
        <f t="shared" si="1"/>
        <v>-0.02458712192</v>
      </c>
      <c r="K62" s="98">
        <v>43800.0</v>
      </c>
      <c r="L62" s="38">
        <v>12137.05</v>
      </c>
      <c r="M62" s="38">
        <v>12293.9</v>
      </c>
      <c r="N62" s="38">
        <v>11832.3</v>
      </c>
      <c r="O62" s="38">
        <v>12168.45</v>
      </c>
      <c r="P62" s="38">
        <v>12168.45</v>
      </c>
      <c r="Q62" s="38">
        <v>1.25498E7</v>
      </c>
      <c r="R62" s="39">
        <f t="shared" si="2"/>
        <v>-0.01695778838</v>
      </c>
    </row>
    <row r="63" ht="15.75" customHeight="1">
      <c r="B63" s="98">
        <v>43770.0</v>
      </c>
      <c r="C63" s="38">
        <v>466.65</v>
      </c>
      <c r="D63" s="38">
        <v>520.0</v>
      </c>
      <c r="E63" s="38">
        <v>460.5</v>
      </c>
      <c r="F63" s="38">
        <v>512.6</v>
      </c>
      <c r="G63" s="38">
        <v>512.6</v>
      </c>
      <c r="H63" s="38">
        <v>7.75793243E8</v>
      </c>
      <c r="I63" s="39">
        <f t="shared" si="1"/>
        <v>0.05130706204</v>
      </c>
      <c r="K63" s="98">
        <v>43770.0</v>
      </c>
      <c r="L63" s="38">
        <v>11886.6</v>
      </c>
      <c r="M63" s="38">
        <v>12158.8</v>
      </c>
      <c r="N63" s="38">
        <v>11802.65</v>
      </c>
      <c r="O63" s="38">
        <v>12056.05</v>
      </c>
      <c r="P63" s="38">
        <v>12056.05</v>
      </c>
      <c r="Q63" s="38">
        <v>1.3178E7</v>
      </c>
      <c r="R63" s="39">
        <f t="shared" si="2"/>
        <v>0.009323119927</v>
      </c>
    </row>
    <row r="64" ht="15.75" customHeight="1">
      <c r="B64" s="98">
        <v>43739.0</v>
      </c>
      <c r="C64" s="38">
        <v>436.95</v>
      </c>
      <c r="D64" s="38">
        <v>482.0</v>
      </c>
      <c r="E64" s="38">
        <v>411.5</v>
      </c>
      <c r="F64" s="38">
        <v>463.05</v>
      </c>
      <c r="G64" s="38">
        <v>463.05</v>
      </c>
      <c r="H64" s="38">
        <v>4.47445335E8</v>
      </c>
      <c r="I64" s="39">
        <f t="shared" si="1"/>
        <v>0.1070078825</v>
      </c>
      <c r="K64" s="98">
        <v>43739.0</v>
      </c>
      <c r="L64" s="38">
        <v>11515.4</v>
      </c>
      <c r="M64" s="38">
        <v>11945.0</v>
      </c>
      <c r="N64" s="38">
        <v>11090.15</v>
      </c>
      <c r="O64" s="38">
        <v>11877.45</v>
      </c>
      <c r="P64" s="38">
        <v>11877.45</v>
      </c>
      <c r="Q64" s="38">
        <v>1.5461E7</v>
      </c>
      <c r="R64" s="39">
        <f t="shared" si="2"/>
        <v>0.01503689765</v>
      </c>
    </row>
    <row r="65" ht="15.75" customHeight="1">
      <c r="B65" s="98">
        <v>43709.0</v>
      </c>
      <c r="C65" s="38">
        <v>409.65</v>
      </c>
      <c r="D65" s="38">
        <v>458.65</v>
      </c>
      <c r="E65" s="38">
        <v>384.35</v>
      </c>
      <c r="F65" s="38">
        <v>433.7</v>
      </c>
      <c r="G65" s="38">
        <v>433.7</v>
      </c>
      <c r="H65" s="38">
        <v>5.01614791E8</v>
      </c>
      <c r="I65" s="39">
        <f t="shared" si="1"/>
        <v>0.06767350703</v>
      </c>
      <c r="K65" s="98">
        <v>43709.0</v>
      </c>
      <c r="L65" s="38">
        <v>10960.95</v>
      </c>
      <c r="M65" s="38">
        <v>11694.85</v>
      </c>
      <c r="N65" s="38">
        <v>10670.25</v>
      </c>
      <c r="O65" s="38">
        <v>11474.45</v>
      </c>
      <c r="P65" s="38">
        <v>11474.45</v>
      </c>
      <c r="Q65" s="38">
        <v>1.221E7</v>
      </c>
      <c r="R65" s="39">
        <f t="shared" si="2"/>
        <v>0.03512150909</v>
      </c>
    </row>
    <row r="66" ht="15.75" customHeight="1">
      <c r="B66" s="98">
        <v>43678.0</v>
      </c>
      <c r="C66" s="38">
        <v>423.25</v>
      </c>
      <c r="D66" s="38">
        <v>427.9</v>
      </c>
      <c r="E66" s="38">
        <v>385.8</v>
      </c>
      <c r="F66" s="38">
        <v>409.65</v>
      </c>
      <c r="G66" s="38">
        <v>409.65</v>
      </c>
      <c r="H66" s="38">
        <v>4.12162542E8</v>
      </c>
      <c r="I66" s="39">
        <f t="shared" si="1"/>
        <v>0.05870865373</v>
      </c>
      <c r="K66" s="98">
        <v>43678.0</v>
      </c>
      <c r="L66" s="38">
        <v>11060.2</v>
      </c>
      <c r="M66" s="38">
        <v>11181.45</v>
      </c>
      <c r="N66" s="38">
        <v>10637.15</v>
      </c>
      <c r="O66" s="38">
        <v>11023.25</v>
      </c>
      <c r="P66" s="38">
        <v>11023.25</v>
      </c>
      <c r="Q66" s="38">
        <v>1.11531E7</v>
      </c>
      <c r="R66" s="39">
        <f t="shared" si="2"/>
        <v>0.04093166716</v>
      </c>
    </row>
    <row r="67" ht="15.75" customHeight="1">
      <c r="B67" s="98">
        <v>43647.0</v>
      </c>
      <c r="C67" s="38">
        <v>439.5</v>
      </c>
      <c r="D67" s="38">
        <v>442.0</v>
      </c>
      <c r="E67" s="38">
        <v>401.7</v>
      </c>
      <c r="F67" s="38">
        <v>424.6</v>
      </c>
      <c r="G67" s="38">
        <v>422.54</v>
      </c>
      <c r="H67" s="38">
        <v>3.44304683E8</v>
      </c>
      <c r="I67" s="39">
        <f t="shared" si="1"/>
        <v>-0.0305059876</v>
      </c>
      <c r="K67" s="98">
        <v>43647.0</v>
      </c>
      <c r="L67" s="38">
        <v>11839.9</v>
      </c>
      <c r="M67" s="38">
        <v>11981.75</v>
      </c>
      <c r="N67" s="38">
        <v>10999.4</v>
      </c>
      <c r="O67" s="38">
        <v>11118.0</v>
      </c>
      <c r="P67" s="38">
        <v>11118.0</v>
      </c>
      <c r="Q67" s="38">
        <v>9988500.0</v>
      </c>
      <c r="R67" s="39">
        <f t="shared" si="2"/>
        <v>-0.008522216226</v>
      </c>
    </row>
    <row r="68" ht="15.75" customHeight="1">
      <c r="B68" s="98">
        <v>43617.0</v>
      </c>
      <c r="C68" s="38">
        <v>426.0</v>
      </c>
      <c r="D68" s="38">
        <v>443.9</v>
      </c>
      <c r="E68" s="38">
        <v>407.9</v>
      </c>
      <c r="F68" s="38">
        <v>437.1</v>
      </c>
      <c r="G68" s="38">
        <v>434.98</v>
      </c>
      <c r="H68" s="38">
        <v>2.67981614E8</v>
      </c>
      <c r="I68" s="39">
        <f t="shared" si="1"/>
        <v>-0.02859901605</v>
      </c>
      <c r="K68" s="98">
        <v>43617.0</v>
      </c>
      <c r="L68" s="38">
        <v>11953.75</v>
      </c>
      <c r="M68" s="38">
        <v>12103.05</v>
      </c>
      <c r="N68" s="38">
        <v>11625.1</v>
      </c>
      <c r="O68" s="38">
        <v>11788.85</v>
      </c>
      <c r="P68" s="38">
        <v>11788.85</v>
      </c>
      <c r="Q68" s="38">
        <v>6788000.0</v>
      </c>
      <c r="R68" s="39">
        <f t="shared" si="2"/>
        <v>-0.05690546576</v>
      </c>
    </row>
    <row r="69" ht="15.75" customHeight="1">
      <c r="B69" s="98">
        <v>43586.0</v>
      </c>
      <c r="C69" s="38">
        <v>407.5</v>
      </c>
      <c r="D69" s="38">
        <v>439.2</v>
      </c>
      <c r="E69" s="38">
        <v>375.25</v>
      </c>
      <c r="F69" s="38">
        <v>423.7</v>
      </c>
      <c r="G69" s="38">
        <v>421.64</v>
      </c>
      <c r="H69" s="38">
        <v>5.07747687E8</v>
      </c>
      <c r="I69" s="39">
        <f t="shared" si="1"/>
        <v>0.03163836448</v>
      </c>
      <c r="K69" s="98">
        <v>43586.0</v>
      </c>
      <c r="L69" s="38">
        <v>11725.55</v>
      </c>
      <c r="M69" s="38">
        <v>12041.15</v>
      </c>
      <c r="N69" s="38">
        <v>11108.3</v>
      </c>
      <c r="O69" s="38">
        <v>11922.8</v>
      </c>
      <c r="P69" s="38">
        <v>11922.8</v>
      </c>
      <c r="Q69" s="38">
        <v>8645600.0</v>
      </c>
      <c r="R69" s="39">
        <f t="shared" si="2"/>
        <v>-0.01123477707</v>
      </c>
    </row>
    <row r="70" ht="15.75" customHeight="1">
      <c r="B70" s="98">
        <v>43556.0</v>
      </c>
      <c r="C70" s="38">
        <v>401.45</v>
      </c>
      <c r="D70" s="38">
        <v>411.0</v>
      </c>
      <c r="E70" s="38">
        <v>385.0</v>
      </c>
      <c r="F70" s="38">
        <v>407.5</v>
      </c>
      <c r="G70" s="38">
        <v>405.52</v>
      </c>
      <c r="H70" s="38">
        <v>2.51261681E8</v>
      </c>
      <c r="I70" s="39">
        <f t="shared" si="1"/>
        <v>0.03975143026</v>
      </c>
      <c r="K70" s="98">
        <v>43556.0</v>
      </c>
      <c r="L70" s="38">
        <v>11665.2</v>
      </c>
      <c r="M70" s="38">
        <v>11856.15</v>
      </c>
      <c r="N70" s="38">
        <v>11549.1</v>
      </c>
      <c r="O70" s="38">
        <v>11748.15</v>
      </c>
      <c r="P70" s="38">
        <v>11748.15</v>
      </c>
      <c r="Q70" s="38">
        <v>6516900.0</v>
      </c>
      <c r="R70" s="39">
        <f t="shared" si="2"/>
        <v>0.01486617042</v>
      </c>
    </row>
    <row r="71" ht="15.75" customHeight="1">
      <c r="B71" s="98">
        <v>43525.0</v>
      </c>
      <c r="C71" s="38">
        <v>352.05</v>
      </c>
      <c r="D71" s="38">
        <v>402.4</v>
      </c>
      <c r="E71" s="38">
        <v>350.65</v>
      </c>
      <c r="F71" s="38">
        <v>400.5</v>
      </c>
      <c r="G71" s="38">
        <v>398.55</v>
      </c>
      <c r="H71" s="38">
        <v>3.58316549E8</v>
      </c>
      <c r="I71" s="39">
        <f t="shared" si="1"/>
        <v>0.01748839543</v>
      </c>
      <c r="K71" s="98">
        <v>43525.0</v>
      </c>
      <c r="L71" s="38">
        <v>10842.65</v>
      </c>
      <c r="M71" s="38">
        <v>11630.35</v>
      </c>
      <c r="N71" s="38">
        <v>10817.0</v>
      </c>
      <c r="O71" s="38">
        <v>11623.9</v>
      </c>
      <c r="P71" s="38">
        <v>11623.9</v>
      </c>
      <c r="Q71" s="38">
        <v>6857200.0</v>
      </c>
      <c r="R71" s="39">
        <f t="shared" si="2"/>
        <v>0.01068918349</v>
      </c>
    </row>
    <row r="72" ht="15.75" customHeight="1">
      <c r="B72" s="98">
        <v>43497.0</v>
      </c>
      <c r="C72" s="38">
        <v>364.5</v>
      </c>
      <c r="D72" s="38">
        <v>364.9</v>
      </c>
      <c r="E72" s="38">
        <v>336.15</v>
      </c>
      <c r="F72" s="38">
        <v>350.15</v>
      </c>
      <c r="G72" s="38">
        <v>348.45</v>
      </c>
      <c r="H72" s="38">
        <v>2.89573739E8</v>
      </c>
      <c r="I72" s="39">
        <f t="shared" si="1"/>
        <v>0.1437795954</v>
      </c>
      <c r="K72" s="98">
        <v>43497.0</v>
      </c>
      <c r="L72" s="38">
        <v>10851.35</v>
      </c>
      <c r="M72" s="38">
        <v>11118.1</v>
      </c>
      <c r="N72" s="38">
        <v>10585.65</v>
      </c>
      <c r="O72" s="38">
        <v>10792.5</v>
      </c>
      <c r="P72" s="38">
        <v>10792.5</v>
      </c>
      <c r="Q72" s="38">
        <v>7461400.0</v>
      </c>
      <c r="R72" s="39">
        <f t="shared" si="2"/>
        <v>0.07703497799</v>
      </c>
    </row>
    <row r="73" ht="15.75" customHeight="1">
      <c r="B73" s="98">
        <v>43466.0</v>
      </c>
      <c r="C73" s="38">
        <v>361.5</v>
      </c>
      <c r="D73" s="38">
        <v>383.55</v>
      </c>
      <c r="E73" s="38">
        <v>336.65</v>
      </c>
      <c r="F73" s="38">
        <v>364.45</v>
      </c>
      <c r="G73" s="38">
        <v>362.68</v>
      </c>
      <c r="H73" s="38">
        <v>4.67373555E8</v>
      </c>
      <c r="I73" s="39">
        <f t="shared" si="1"/>
        <v>-0.03923568986</v>
      </c>
      <c r="K73" s="98">
        <v>43466.0</v>
      </c>
      <c r="L73" s="38">
        <v>10868.85</v>
      </c>
      <c r="M73" s="38">
        <v>10987.45</v>
      </c>
      <c r="N73" s="38">
        <v>10583.65</v>
      </c>
      <c r="O73" s="38">
        <v>10830.95</v>
      </c>
      <c r="P73" s="38">
        <v>10830.95</v>
      </c>
      <c r="Q73" s="38">
        <v>7273800.0</v>
      </c>
      <c r="R73" s="39">
        <f t="shared" si="2"/>
        <v>-0.003550011772</v>
      </c>
    </row>
    <row r="74" ht="15.75" customHeight="1">
      <c r="B74" s="98">
        <v>43435.0</v>
      </c>
      <c r="C74" s="38">
        <v>358.9</v>
      </c>
      <c r="D74" s="38">
        <v>369.25</v>
      </c>
      <c r="E74" s="38">
        <v>336.0</v>
      </c>
      <c r="F74" s="38">
        <v>360.15</v>
      </c>
      <c r="G74" s="38">
        <v>358.4</v>
      </c>
      <c r="H74" s="38">
        <v>3.20932298E8</v>
      </c>
      <c r="I74" s="39">
        <f t="shared" si="1"/>
        <v>0.01194196429</v>
      </c>
      <c r="K74" s="98">
        <v>43435.0</v>
      </c>
      <c r="L74" s="38">
        <v>10930.7</v>
      </c>
      <c r="M74" s="38">
        <v>10985.15</v>
      </c>
      <c r="N74" s="38">
        <v>10333.85</v>
      </c>
      <c r="O74" s="38">
        <v>10862.55</v>
      </c>
      <c r="P74" s="38">
        <v>10862.55</v>
      </c>
      <c r="Q74" s="38">
        <v>6533100.0</v>
      </c>
      <c r="R74" s="39">
        <f t="shared" si="2"/>
        <v>-0.002909077519</v>
      </c>
    </row>
    <row r="75" ht="15.75" customHeight="1">
      <c r="B75" s="98">
        <v>43405.0</v>
      </c>
      <c r="C75" s="38">
        <v>357.0</v>
      </c>
      <c r="D75" s="38">
        <v>375.3</v>
      </c>
      <c r="E75" s="38">
        <v>347.65</v>
      </c>
      <c r="F75" s="38">
        <v>355.15</v>
      </c>
      <c r="G75" s="38">
        <v>353.42</v>
      </c>
      <c r="H75" s="38">
        <v>4.17163584E8</v>
      </c>
      <c r="I75" s="39">
        <f t="shared" si="1"/>
        <v>0.01409088337</v>
      </c>
      <c r="K75" s="98">
        <v>43405.0</v>
      </c>
      <c r="L75" s="38">
        <v>10441.7</v>
      </c>
      <c r="M75" s="38">
        <v>10922.45</v>
      </c>
      <c r="N75" s="38">
        <v>10341.9</v>
      </c>
      <c r="O75" s="38">
        <v>10876.75</v>
      </c>
      <c r="P75" s="38">
        <v>10876.75</v>
      </c>
      <c r="Q75" s="38">
        <v>5318400.0</v>
      </c>
      <c r="R75" s="39">
        <f t="shared" si="2"/>
        <v>-0.00130553704</v>
      </c>
    </row>
    <row r="76" ht="15.75" customHeight="1">
      <c r="B76" s="98">
        <v>43374.0</v>
      </c>
      <c r="C76" s="38">
        <v>306.3</v>
      </c>
      <c r="D76" s="38">
        <v>356.55</v>
      </c>
      <c r="E76" s="38">
        <v>294.8</v>
      </c>
      <c r="F76" s="38">
        <v>355.0</v>
      </c>
      <c r="G76" s="38">
        <v>353.27</v>
      </c>
      <c r="H76" s="38">
        <v>6.03713714E8</v>
      </c>
      <c r="I76" s="39">
        <f t="shared" si="1"/>
        <v>0.0004246044102</v>
      </c>
      <c r="K76" s="98">
        <v>43374.0</v>
      </c>
      <c r="L76" s="38">
        <v>10930.9</v>
      </c>
      <c r="M76" s="38">
        <v>11035.65</v>
      </c>
      <c r="N76" s="38">
        <v>10004.55</v>
      </c>
      <c r="O76" s="38">
        <v>10386.6</v>
      </c>
      <c r="P76" s="38">
        <v>10386.6</v>
      </c>
      <c r="Q76" s="38">
        <v>7030800.0</v>
      </c>
      <c r="R76" s="39">
        <f t="shared" si="2"/>
        <v>0.04719061098</v>
      </c>
    </row>
    <row r="77" ht="15.75" customHeight="1">
      <c r="B77" s="98">
        <v>43344.0</v>
      </c>
      <c r="C77" s="38">
        <v>343.6</v>
      </c>
      <c r="D77" s="38">
        <v>344.0</v>
      </c>
      <c r="E77" s="38">
        <v>300.05</v>
      </c>
      <c r="F77" s="38">
        <v>305.55</v>
      </c>
      <c r="G77" s="38">
        <v>304.06</v>
      </c>
      <c r="H77" s="38">
        <v>3.27737124E8</v>
      </c>
      <c r="I77" s="39">
        <f t="shared" si="1"/>
        <v>0.1618430573</v>
      </c>
      <c r="K77" s="98">
        <v>43344.0</v>
      </c>
      <c r="L77" s="38">
        <v>11751.8</v>
      </c>
      <c r="M77" s="38">
        <v>11751.8</v>
      </c>
      <c r="N77" s="38">
        <v>10850.3</v>
      </c>
      <c r="O77" s="38">
        <v>10930.45</v>
      </c>
      <c r="P77" s="38">
        <v>10930.45</v>
      </c>
      <c r="Q77" s="38">
        <v>5151800.0</v>
      </c>
      <c r="R77" s="39">
        <f t="shared" si="2"/>
        <v>-0.04975549954</v>
      </c>
    </row>
    <row r="78" ht="15.75" customHeight="1">
      <c r="B78" s="98">
        <v>43313.0</v>
      </c>
      <c r="C78" s="38">
        <v>274.0</v>
      </c>
      <c r="D78" s="38">
        <v>308.5</v>
      </c>
      <c r="E78" s="38">
        <v>256.5</v>
      </c>
      <c r="F78" s="38">
        <v>304.25</v>
      </c>
      <c r="G78" s="38">
        <v>298.09</v>
      </c>
      <c r="H78" s="38">
        <v>4.94208829E8</v>
      </c>
      <c r="I78" s="39">
        <f t="shared" si="1"/>
        <v>0.02002750847</v>
      </c>
      <c r="K78" s="98">
        <v>43313.0</v>
      </c>
      <c r="L78" s="38">
        <v>10732.35</v>
      </c>
      <c r="M78" s="38">
        <v>11366.0</v>
      </c>
      <c r="N78" s="38">
        <v>10604.65</v>
      </c>
      <c r="O78" s="38">
        <v>11356.5</v>
      </c>
      <c r="P78" s="38">
        <v>11356.5</v>
      </c>
      <c r="Q78" s="38">
        <v>4648500.0</v>
      </c>
      <c r="R78" s="39">
        <f t="shared" si="2"/>
        <v>-0.03751596002</v>
      </c>
    </row>
    <row r="79" ht="15.75" customHeight="1">
      <c r="B79" s="98">
        <v>43282.0</v>
      </c>
      <c r="C79" s="38">
        <v>295.0</v>
      </c>
      <c r="D79" s="38">
        <v>302.7</v>
      </c>
      <c r="E79" s="38">
        <v>269.6</v>
      </c>
      <c r="F79" s="38">
        <v>275.4</v>
      </c>
      <c r="G79" s="38">
        <v>269.83</v>
      </c>
      <c r="H79" s="38">
        <v>4.38940061E8</v>
      </c>
      <c r="I79" s="39">
        <f t="shared" si="1"/>
        <v>0.1047326094</v>
      </c>
      <c r="K79" s="98">
        <v>43282.0</v>
      </c>
      <c r="L79" s="38">
        <v>10738.45</v>
      </c>
      <c r="M79" s="38">
        <v>10893.25</v>
      </c>
      <c r="N79" s="38">
        <v>10550.9</v>
      </c>
      <c r="O79" s="38">
        <v>10714.3</v>
      </c>
      <c r="P79" s="38">
        <v>10714.3</v>
      </c>
      <c r="Q79" s="38">
        <v>4683800.0</v>
      </c>
      <c r="R79" s="39">
        <f t="shared" si="2"/>
        <v>0.05993858675</v>
      </c>
    </row>
    <row r="80" ht="15.75" customHeight="1">
      <c r="B80" s="98">
        <v>43252.0</v>
      </c>
      <c r="C80" s="38">
        <v>284.2</v>
      </c>
      <c r="D80" s="38">
        <v>317.5</v>
      </c>
      <c r="E80" s="38">
        <v>275.55</v>
      </c>
      <c r="F80" s="38">
        <v>285.8</v>
      </c>
      <c r="G80" s="38">
        <v>280.01</v>
      </c>
      <c r="H80" s="38">
        <v>4.37411078E8</v>
      </c>
      <c r="I80" s="39">
        <f t="shared" si="1"/>
        <v>-0.03635584443</v>
      </c>
      <c r="K80" s="98">
        <v>43252.0</v>
      </c>
      <c r="L80" s="38">
        <v>10783.85</v>
      </c>
      <c r="M80" s="38">
        <v>10929.2</v>
      </c>
      <c r="N80" s="38">
        <v>10417.8</v>
      </c>
      <c r="O80" s="38">
        <v>10736.15</v>
      </c>
      <c r="P80" s="38">
        <v>10736.15</v>
      </c>
      <c r="Q80" s="38">
        <v>5142500.0</v>
      </c>
      <c r="R80" s="39">
        <f t="shared" si="2"/>
        <v>-0.002035180209</v>
      </c>
    </row>
    <row r="81" ht="15.75" customHeight="1">
      <c r="B81" s="98">
        <v>43221.0</v>
      </c>
      <c r="C81" s="38">
        <v>273.0</v>
      </c>
      <c r="D81" s="38">
        <v>294.9</v>
      </c>
      <c r="E81" s="38">
        <v>258.8</v>
      </c>
      <c r="F81" s="38">
        <v>284.2</v>
      </c>
      <c r="G81" s="38">
        <v>278.45</v>
      </c>
      <c r="H81" s="38">
        <v>5.05069489E8</v>
      </c>
      <c r="I81" s="39">
        <f t="shared" si="1"/>
        <v>0.00560244209</v>
      </c>
      <c r="K81" s="98">
        <v>43221.0</v>
      </c>
      <c r="L81" s="38">
        <v>10151.65</v>
      </c>
      <c r="M81" s="38">
        <v>10759.0</v>
      </c>
      <c r="N81" s="38">
        <v>10111.3</v>
      </c>
      <c r="O81" s="38">
        <v>10739.35</v>
      </c>
      <c r="P81" s="38">
        <v>10739.35</v>
      </c>
      <c r="Q81" s="38">
        <v>4499400.0</v>
      </c>
      <c r="R81" s="39">
        <f t="shared" si="2"/>
        <v>-0.0002979696164</v>
      </c>
    </row>
    <row r="82" ht="15.75" customHeight="1">
      <c r="B82" s="98">
        <v>43191.0</v>
      </c>
      <c r="C82" s="38">
        <v>312.65</v>
      </c>
      <c r="D82" s="38">
        <v>314.0</v>
      </c>
      <c r="E82" s="38">
        <v>273.55</v>
      </c>
      <c r="F82" s="38">
        <v>278.35</v>
      </c>
      <c r="G82" s="38">
        <v>272.72</v>
      </c>
      <c r="H82" s="38">
        <v>3.69766992E8</v>
      </c>
      <c r="I82" s="39">
        <f t="shared" si="1"/>
        <v>0.02101056028</v>
      </c>
      <c r="K82" s="98">
        <v>43191.0</v>
      </c>
      <c r="L82" s="38">
        <v>10479.95</v>
      </c>
      <c r="M82" s="38">
        <v>10525.5</v>
      </c>
      <c r="N82" s="38">
        <v>9951.9</v>
      </c>
      <c r="O82" s="38">
        <v>10113.7</v>
      </c>
      <c r="P82" s="38">
        <v>10113.7</v>
      </c>
      <c r="Q82" s="38">
        <v>4389100.0</v>
      </c>
      <c r="R82" s="39">
        <f t="shared" si="2"/>
        <v>0.06186163323</v>
      </c>
    </row>
    <row r="83" ht="15.75" customHeight="1">
      <c r="B83" s="98">
        <v>43160.0</v>
      </c>
      <c r="C83" s="38">
        <v>347.55</v>
      </c>
      <c r="D83" s="38">
        <v>355.9</v>
      </c>
      <c r="E83" s="38">
        <v>311.1</v>
      </c>
      <c r="F83" s="38">
        <v>313.25</v>
      </c>
      <c r="G83" s="38">
        <v>306.91</v>
      </c>
      <c r="H83" s="38">
        <v>2.91549305E8</v>
      </c>
      <c r="I83" s="39">
        <f t="shared" si="1"/>
        <v>-0.1114007364</v>
      </c>
      <c r="K83" s="98">
        <v>43160.0</v>
      </c>
      <c r="L83" s="38">
        <v>11044.55</v>
      </c>
      <c r="M83" s="38">
        <v>11117.35</v>
      </c>
      <c r="N83" s="38">
        <v>10276.3</v>
      </c>
      <c r="O83" s="38">
        <v>10492.85</v>
      </c>
      <c r="P83" s="38">
        <v>10492.85</v>
      </c>
      <c r="Q83" s="38">
        <v>4389900.0</v>
      </c>
      <c r="R83" s="39">
        <f t="shared" si="2"/>
        <v>-0.03613412943</v>
      </c>
    </row>
    <row r="84" ht="15.75" customHeight="1">
      <c r="B84" s="98">
        <v>43132.0</v>
      </c>
      <c r="C84" s="38">
        <v>314.0</v>
      </c>
      <c r="D84" s="38">
        <v>365.7</v>
      </c>
      <c r="E84" s="38">
        <v>307.5</v>
      </c>
      <c r="F84" s="38">
        <v>352.95</v>
      </c>
      <c r="G84" s="38">
        <v>345.81</v>
      </c>
      <c r="H84" s="38">
        <v>3.64937739E8</v>
      </c>
      <c r="I84" s="39">
        <f t="shared" si="1"/>
        <v>-0.1124895174</v>
      </c>
      <c r="K84" s="98">
        <v>43132.0</v>
      </c>
      <c r="L84" s="38">
        <v>10477.55</v>
      </c>
      <c r="M84" s="38">
        <v>11171.55</v>
      </c>
      <c r="N84" s="38">
        <v>10404.65</v>
      </c>
      <c r="O84" s="38">
        <v>11027.7</v>
      </c>
      <c r="P84" s="38">
        <v>11027.7</v>
      </c>
      <c r="Q84" s="38">
        <v>4560600.0</v>
      </c>
      <c r="R84" s="39">
        <f t="shared" si="2"/>
        <v>-0.04850059396</v>
      </c>
    </row>
    <row r="85" ht="15.75" customHeight="1">
      <c r="B85" s="98">
        <v>43101.0</v>
      </c>
      <c r="C85" s="38">
        <v>309.7</v>
      </c>
      <c r="D85" s="38">
        <v>319.2</v>
      </c>
      <c r="E85" s="38">
        <v>287.0</v>
      </c>
      <c r="F85" s="38">
        <v>314.0</v>
      </c>
      <c r="G85" s="38">
        <v>307.64</v>
      </c>
      <c r="H85" s="38">
        <v>2.23570224E8</v>
      </c>
      <c r="I85" s="39">
        <f t="shared" si="1"/>
        <v>0.1240735925</v>
      </c>
      <c r="K85" s="98">
        <v>43101.0</v>
      </c>
      <c r="L85" s="38">
        <v>10263.7</v>
      </c>
      <c r="M85" s="38">
        <v>10552.4</v>
      </c>
      <c r="N85" s="38">
        <v>10033.35</v>
      </c>
      <c r="O85" s="38">
        <v>10530.7</v>
      </c>
      <c r="P85" s="38">
        <v>10530.7</v>
      </c>
      <c r="Q85" s="38">
        <v>3504400.0</v>
      </c>
      <c r="R85" s="39">
        <f t="shared" si="2"/>
        <v>0.04719534314</v>
      </c>
    </row>
    <row r="86" ht="15.75" customHeight="1">
      <c r="B86" s="98">
        <v>43070.0</v>
      </c>
      <c r="C86" s="38">
        <v>303.0</v>
      </c>
      <c r="D86" s="38">
        <v>332.35</v>
      </c>
      <c r="E86" s="38">
        <v>302.4</v>
      </c>
      <c r="F86" s="38">
        <v>307.55</v>
      </c>
      <c r="G86" s="38">
        <v>301.32</v>
      </c>
      <c r="H86" s="38">
        <v>3.38858264E8</v>
      </c>
      <c r="I86" s="39">
        <f t="shared" si="1"/>
        <v>0.0209743794</v>
      </c>
      <c r="K86" s="98">
        <v>43070.0</v>
      </c>
      <c r="L86" s="38">
        <v>10390.35</v>
      </c>
      <c r="M86" s="38">
        <v>10490.45</v>
      </c>
      <c r="N86" s="38">
        <v>10094.0</v>
      </c>
      <c r="O86" s="38">
        <v>10226.55</v>
      </c>
      <c r="P86" s="38">
        <v>10226.55</v>
      </c>
      <c r="Q86" s="38">
        <v>4650900.0</v>
      </c>
      <c r="R86" s="39">
        <f t="shared" si="2"/>
        <v>0.02974121282</v>
      </c>
    </row>
    <row r="87" ht="15.75" customHeight="1">
      <c r="B87" s="98">
        <v>43040.0</v>
      </c>
      <c r="C87" s="38">
        <v>276.6</v>
      </c>
      <c r="D87" s="38">
        <v>314.65</v>
      </c>
      <c r="E87" s="38">
        <v>255.0</v>
      </c>
      <c r="F87" s="38">
        <v>300.1</v>
      </c>
      <c r="G87" s="38">
        <v>294.03</v>
      </c>
      <c r="H87" s="38">
        <v>4.84037908E8</v>
      </c>
      <c r="I87" s="39">
        <f t="shared" si="1"/>
        <v>0.02479338843</v>
      </c>
      <c r="K87" s="98">
        <v>43040.0</v>
      </c>
      <c r="L87" s="38">
        <v>9893.3</v>
      </c>
      <c r="M87" s="38">
        <v>10384.5</v>
      </c>
      <c r="N87" s="38">
        <v>9831.05</v>
      </c>
      <c r="O87" s="38">
        <v>10335.3</v>
      </c>
      <c r="P87" s="38">
        <v>10335.3</v>
      </c>
      <c r="Q87" s="38">
        <v>4500300.0</v>
      </c>
      <c r="R87" s="39">
        <f t="shared" si="2"/>
        <v>-0.01052219094</v>
      </c>
    </row>
    <row r="88" ht="15.75" customHeight="1">
      <c r="B88" s="98">
        <v>43009.0</v>
      </c>
      <c r="C88" s="38">
        <v>299.7</v>
      </c>
      <c r="D88" s="38">
        <v>300.0</v>
      </c>
      <c r="E88" s="38">
        <v>269.15</v>
      </c>
      <c r="F88" s="38">
        <v>276.6</v>
      </c>
      <c r="G88" s="38">
        <v>271.0</v>
      </c>
      <c r="H88" s="38">
        <v>2.65346113E8</v>
      </c>
      <c r="I88" s="39">
        <f t="shared" si="1"/>
        <v>0.08498154982</v>
      </c>
      <c r="K88" s="98">
        <v>43009.0</v>
      </c>
      <c r="L88" s="38">
        <v>9937.65</v>
      </c>
      <c r="M88" s="38">
        <v>10178.95</v>
      </c>
      <c r="N88" s="38">
        <v>9687.55</v>
      </c>
      <c r="O88" s="38">
        <v>9788.6</v>
      </c>
      <c r="P88" s="38">
        <v>9788.6</v>
      </c>
      <c r="Q88" s="38">
        <v>4165300.0</v>
      </c>
      <c r="R88" s="39">
        <f t="shared" si="2"/>
        <v>0.05585068345</v>
      </c>
    </row>
    <row r="89" ht="15.75" customHeight="1">
      <c r="B89" s="98">
        <v>42979.0</v>
      </c>
      <c r="C89" s="38">
        <v>303.9</v>
      </c>
      <c r="D89" s="38">
        <v>305.2</v>
      </c>
      <c r="E89" s="38">
        <v>261.55</v>
      </c>
      <c r="F89" s="38">
        <v>298.05</v>
      </c>
      <c r="G89" s="38">
        <v>292.02</v>
      </c>
      <c r="H89" s="38">
        <v>2.30083469E8</v>
      </c>
      <c r="I89" s="39">
        <f t="shared" si="1"/>
        <v>-0.07198137114</v>
      </c>
      <c r="K89" s="98">
        <v>42979.0</v>
      </c>
      <c r="L89" s="38">
        <v>10101.05</v>
      </c>
      <c r="M89" s="38">
        <v>10137.85</v>
      </c>
      <c r="N89" s="38">
        <v>9685.55</v>
      </c>
      <c r="O89" s="38">
        <v>9917.9</v>
      </c>
      <c r="P89" s="38">
        <v>9917.9</v>
      </c>
      <c r="Q89" s="38">
        <v>4168000.0</v>
      </c>
      <c r="R89" s="39">
        <f t="shared" si="2"/>
        <v>-0.01303703405</v>
      </c>
    </row>
    <row r="90" ht="15.75" customHeight="1">
      <c r="B90" s="98">
        <v>42948.0</v>
      </c>
      <c r="C90" s="38">
        <v>291.4</v>
      </c>
      <c r="D90" s="38">
        <v>314.45</v>
      </c>
      <c r="E90" s="38">
        <v>288.5</v>
      </c>
      <c r="F90" s="38">
        <v>302.6</v>
      </c>
      <c r="G90" s="38">
        <v>296.47</v>
      </c>
      <c r="H90" s="38" t="s">
        <v>115</v>
      </c>
      <c r="I90" s="39">
        <f t="shared" si="1"/>
        <v>-0.01500995042</v>
      </c>
      <c r="K90" s="98">
        <v>42948.0</v>
      </c>
      <c r="L90" s="38">
        <v>9587.95</v>
      </c>
      <c r="M90" s="38">
        <v>10114.85</v>
      </c>
      <c r="N90" s="38">
        <v>9543.55</v>
      </c>
      <c r="O90" s="38">
        <v>10077.1</v>
      </c>
      <c r="P90" s="38">
        <v>10077.1</v>
      </c>
      <c r="Q90" s="38">
        <v>3732400.0</v>
      </c>
      <c r="R90" s="39">
        <f t="shared" si="2"/>
        <v>-0.01579819591</v>
      </c>
    </row>
    <row r="91" ht="15.75" customHeight="1">
      <c r="B91" s="98">
        <v>42917.0</v>
      </c>
      <c r="C91" s="38">
        <v>295.91</v>
      </c>
      <c r="D91" s="38">
        <v>297.27</v>
      </c>
      <c r="E91" s="38">
        <v>283.45</v>
      </c>
      <c r="F91" s="38">
        <v>290.15</v>
      </c>
      <c r="G91" s="38">
        <v>282.06</v>
      </c>
      <c r="H91" s="38">
        <v>3.16970249E8</v>
      </c>
      <c r="I91" s="39">
        <f t="shared" si="1"/>
        <v>0.0510884209</v>
      </c>
      <c r="K91" s="98">
        <v>42917.0</v>
      </c>
      <c r="L91" s="38">
        <v>9603.55</v>
      </c>
      <c r="M91" s="38">
        <v>9709.3</v>
      </c>
      <c r="N91" s="38">
        <v>9448.75</v>
      </c>
      <c r="O91" s="38">
        <v>9520.9</v>
      </c>
      <c r="P91" s="38">
        <v>9520.9</v>
      </c>
      <c r="Q91" s="38">
        <v>3558000.0</v>
      </c>
      <c r="R91" s="39">
        <f t="shared" si="2"/>
        <v>0.05841884696</v>
      </c>
    </row>
    <row r="92" ht="15.75" customHeight="1">
      <c r="B92" s="98">
        <v>42887.0</v>
      </c>
      <c r="C92" s="38">
        <v>253.18</v>
      </c>
      <c r="D92" s="38">
        <v>297.64</v>
      </c>
      <c r="E92" s="38">
        <v>246.59</v>
      </c>
      <c r="F92" s="38">
        <v>296.77</v>
      </c>
      <c r="G92" s="38">
        <v>288.5</v>
      </c>
      <c r="H92" s="38">
        <v>6.86787964E8</v>
      </c>
      <c r="I92" s="39">
        <f t="shared" si="1"/>
        <v>-0.02232235702</v>
      </c>
      <c r="K92" s="98">
        <v>42887.0</v>
      </c>
      <c r="L92" s="38">
        <v>9339.85</v>
      </c>
      <c r="M92" s="38">
        <v>9649.6</v>
      </c>
      <c r="N92" s="38">
        <v>9269.9</v>
      </c>
      <c r="O92" s="38">
        <v>9621.25</v>
      </c>
      <c r="P92" s="38">
        <v>9621.25</v>
      </c>
      <c r="Q92" s="38">
        <v>4541800.0</v>
      </c>
      <c r="R92" s="39">
        <f t="shared" si="2"/>
        <v>-0.01043003768</v>
      </c>
    </row>
    <row r="93" ht="15.75" customHeight="1">
      <c r="B93" s="99">
        <v>42856.0</v>
      </c>
      <c r="C93" s="45">
        <v>253.45</v>
      </c>
      <c r="D93" s="45">
        <v>265.09</v>
      </c>
      <c r="E93" s="45">
        <v>241.09</v>
      </c>
      <c r="F93" s="45">
        <v>253.18</v>
      </c>
      <c r="G93" s="45">
        <v>246.12</v>
      </c>
      <c r="H93" s="45">
        <v>2.94766478E8</v>
      </c>
      <c r="I93" s="46">
        <f t="shared" si="1"/>
        <v>0.1721924265</v>
      </c>
      <c r="K93" s="99">
        <v>42856.0</v>
      </c>
      <c r="L93" s="45">
        <v>9220.6</v>
      </c>
      <c r="M93" s="45">
        <v>9367.15</v>
      </c>
      <c r="N93" s="45">
        <v>9075.15</v>
      </c>
      <c r="O93" s="45">
        <v>9304.05</v>
      </c>
      <c r="P93" s="45">
        <v>9304.05</v>
      </c>
      <c r="Q93" s="45">
        <v>2931300.0</v>
      </c>
      <c r="R93" s="46">
        <f t="shared" si="2"/>
        <v>0.03409268007</v>
      </c>
    </row>
    <row r="94" ht="15.75" customHeight="1"/>
    <row r="95" ht="15.75" customHeight="1">
      <c r="G95" s="100"/>
      <c r="H95" s="36" t="s">
        <v>33</v>
      </c>
      <c r="I95" s="36" t="s">
        <v>34</v>
      </c>
      <c r="J95" s="36" t="s">
        <v>35</v>
      </c>
      <c r="K95" s="36" t="s">
        <v>36</v>
      </c>
      <c r="L95" s="36" t="s">
        <v>37</v>
      </c>
    </row>
    <row r="96" ht="15.75" customHeight="1">
      <c r="G96" s="101" t="s">
        <v>116</v>
      </c>
      <c r="H96" s="102">
        <f>SLOPE(I43:I49,R43:R49)</f>
        <v>1.572023048</v>
      </c>
      <c r="I96" s="45">
        <f>SLOPE(I50:I61,R50:R61)</f>
        <v>1.418332781</v>
      </c>
      <c r="J96" s="45">
        <f>SLOPE(I62:I73,R62:R73)</f>
        <v>1.409525768</v>
      </c>
      <c r="K96" s="45">
        <f>SLOPE(I74:I84,R74:R84)</f>
        <v>0.4863435921</v>
      </c>
      <c r="L96" s="46">
        <f>SLOPE(I85:I93,R85:R93)</f>
        <v>1.749595964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E2:G2"/>
    <mergeCell ref="D4:G4"/>
    <mergeCell ref="J5:T5"/>
    <mergeCell ref="B40:C40"/>
    <mergeCell ref="K40:L4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2021-07-23T06:50:22Z</dcterms:created>
</cp:coreProperties>
</file>