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threadedComments/threadedComment2.xml" ContentType="application/vnd.ms-excel.threaded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Khushi Dudani\Desktop\Class Notes\360 Huntington Fund\TSMC\Prsentation &amp; Model\"/>
    </mc:Choice>
  </mc:AlternateContent>
  <xr:revisionPtr revIDLastSave="0" documentId="13_ncr:1_{EA70914B-C172-44B6-83FB-10D82825DC4E}" xr6:coauthVersionLast="47" xr6:coauthVersionMax="47" xr10:uidLastSave="{00000000-0000-0000-0000-000000000000}"/>
  <bookViews>
    <workbookView xWindow="-108" yWindow="-108" windowWidth="23256" windowHeight="12576" xr2:uid="{00000000-000D-0000-FFFF-FFFF00000000}"/>
  </bookViews>
  <sheets>
    <sheet name="Summary" sheetId="1" r:id="rId1"/>
    <sheet name="Quarterly Forecast" sheetId="4" r:id="rId2"/>
    <sheet name="Sheet1" sheetId="15" state="hidden" r:id="rId3"/>
    <sheet name="IS" sheetId="3" r:id="rId4"/>
    <sheet name="BS" sheetId="6" r:id="rId5"/>
    <sheet name="CF" sheetId="7" r:id="rId6"/>
    <sheet name="FCFF" sheetId="5" r:id="rId7"/>
    <sheet name="DDM" sheetId="8" r:id="rId8"/>
    <sheet name="HistPE" sheetId="9" r:id="rId9"/>
    <sheet name="Ratios" sheetId="2" state="hidden" r:id="rId10"/>
    <sheet name="HistPS" sheetId="10" state="hidden" r:id="rId11"/>
    <sheet name="HistPB" sheetId="11" state="hidden" r:id="rId12"/>
    <sheet name="HistPTBV" sheetId="12" state="hidden" r:id="rId13"/>
    <sheet name="HistPFCF" sheetId="13" state="hidden" r:id="rId14"/>
    <sheet name="HistPCFO" sheetId="14" state="hidden" r:id="rId15"/>
  </sheets>
  <definedNames>
    <definedName name="BPS__TTM">Summary!$K$8</definedName>
    <definedName name="CFOPS__TTM">Summary!$K$10</definedName>
    <definedName name="Comp1Ticker">HistPE!$G$2</definedName>
    <definedName name="Comp2Ticker">HistPE!$I$2</definedName>
    <definedName name="Comp3Ticker">HistPE!$K$2</definedName>
    <definedName name="Corporation">Summary!$D$3</definedName>
    <definedName name="Dividends__TTM">Summary!$K$6</definedName>
    <definedName name="Effective_Tax_Rate">FCFF!$C$18</definedName>
    <definedName name="EPS__TTM">Summary!$K$5</definedName>
    <definedName name="FCFPS__TTM">Summary!$K$11</definedName>
    <definedName name="FORECAST">IS!$H$7</definedName>
    <definedName name="Forecast_Net_Income">IS!$H$19</definedName>
    <definedName name="Forecast_Total_Div">IS!$H$20</definedName>
    <definedName name="fsales">IS!$H$8</definedName>
    <definedName name="Historical1">IS!$C$7</definedName>
    <definedName name="Historical2">IS!$D$7</definedName>
    <definedName name="Historical3">IS!$E$7</definedName>
    <definedName name="Historical4">IS!$F$7</definedName>
    <definedName name="Historical5">IS!$G$7</definedName>
    <definedName name="lrev">IS!$G$8</definedName>
    <definedName name="lsales">IS!$G$8</definedName>
    <definedName name="Payout_Ratio">IS!$H$31</definedName>
    <definedName name="Return_on_Assets">Ratios!$B$3</definedName>
    <definedName name="Return_on_Equity">Ratios!$B$2</definedName>
    <definedName name="Shareholders_Equity">BS!$J$59</definedName>
    <definedName name="SPS__TTM">Summary!$K$7</definedName>
    <definedName name="Sustainable_Growth_Rate">IS!$H$32</definedName>
    <definedName name="TBVPS__TTM">Summary!$K$9</definedName>
    <definedName name="Ticker">Summary!$G$3</definedName>
    <definedName name="Total_Assets">BS!$J$26</definedName>
    <definedName name="Z_2A773DA8_B294_455D_A799_E7B8C956ECA9_.wvu.Cols" localSheetId="7">DDM!$N:$XFD</definedName>
    <definedName name="Z_2A773DA8_B294_455D_A799_E7B8C956ECA9_.wvu.Cols" localSheetId="6">FCFF!$M:$XFD</definedName>
    <definedName name="Z_2A773DA8_B294_455D_A799_E7B8C956ECA9_.wvu.Cols" localSheetId="12">#REF!</definedName>
    <definedName name="Z_2A773DA8_B294_455D_A799_E7B8C956ECA9_.wvu.Cols" localSheetId="3">IS!$T:$XFD</definedName>
    <definedName name="Z_2A773DA8_B294_455D_A799_E7B8C956ECA9_.wvu.PrintArea" localSheetId="4">BS!$D$3:$K$85</definedName>
    <definedName name="Z_2A773DA8_B294_455D_A799_E7B8C956ECA9_.wvu.Rows" localSheetId="4">BS!$103:$1048576</definedName>
    <definedName name="Z_2A773DA8_B294_455D_A799_E7B8C956ECA9_.wvu.Rows" localSheetId="11">HistPB!$59:$1048576</definedName>
    <definedName name="Z_2A773DA8_B294_455D_A799_E7B8C956ECA9_.wvu.Rows" localSheetId="8">#REF!</definedName>
    <definedName name="Z_2A773DA8_B294_455D_A799_E7B8C956ECA9_.wvu.Rows" localSheetId="10">HistPS!$59:$1048576</definedName>
    <definedName name="Z_2A773DA8_B294_455D_A799_E7B8C956ECA9_.wvu.Rows" localSheetId="12">HistPTBV!$59:$1048576</definedName>
    <definedName name="Z_2A773DA8_B294_455D_A799_E7B8C956ECA9_.wvu.Rows" localSheetId="3">IS!$56:$1048576</definedName>
    <definedName name="Z_2A773DA8_B294_455D_A799_E7B8C956ECA9_.wvu.Rows" localSheetId="1">'Quarterly Forecast'!$78:$1048576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1" i="4" l="1"/>
  <c r="D71" i="4"/>
  <c r="E71" i="4"/>
  <c r="F71" i="4"/>
  <c r="G71" i="4"/>
  <c r="H71" i="4"/>
  <c r="I71" i="4"/>
  <c r="J71" i="4"/>
  <c r="K71" i="4"/>
  <c r="L71" i="4"/>
  <c r="M71" i="4"/>
  <c r="N71" i="4"/>
  <c r="O71" i="4"/>
  <c r="P71" i="4"/>
  <c r="Q71" i="4"/>
  <c r="R71" i="4"/>
  <c r="S71" i="4"/>
  <c r="T71" i="4"/>
  <c r="U71" i="4"/>
  <c r="V71" i="4"/>
  <c r="W71" i="4"/>
  <c r="X71" i="4"/>
  <c r="Y71" i="4"/>
  <c r="Z71" i="4"/>
  <c r="L28" i="4"/>
  <c r="M28" i="4"/>
  <c r="N28" i="4"/>
  <c r="O28" i="4"/>
  <c r="P28" i="4"/>
  <c r="Q28" i="4"/>
  <c r="F27" i="3" s="1"/>
  <c r="R28" i="4"/>
  <c r="S28" i="4"/>
  <c r="G27" i="3" s="1"/>
  <c r="T28" i="4"/>
  <c r="U28" i="4"/>
  <c r="V28" i="4"/>
  <c r="W28" i="4"/>
  <c r="X28" i="4"/>
  <c r="Y28" i="4"/>
  <c r="Z28" i="4"/>
  <c r="H27" i="3" s="1"/>
  <c r="C28" i="4"/>
  <c r="D28" i="4"/>
  <c r="E28" i="4"/>
  <c r="F28" i="4"/>
  <c r="G28" i="4"/>
  <c r="H28" i="4"/>
  <c r="I28" i="4"/>
  <c r="D27" i="3" s="1"/>
  <c r="J28" i="4"/>
  <c r="K28" i="4"/>
  <c r="C27" i="3"/>
  <c r="E27" i="3"/>
  <c r="E33" i="9"/>
  <c r="O17" i="9"/>
  <c r="O26" i="9" s="1"/>
  <c r="O18" i="9"/>
  <c r="P25" i="9"/>
  <c r="O24" i="9"/>
  <c r="P23" i="9"/>
  <c r="O20" i="9"/>
  <c r="P27" i="9"/>
  <c r="O25" i="9"/>
  <c r="P24" i="9"/>
  <c r="O23" i="9"/>
  <c r="O11" i="9"/>
  <c r="J10" i="6"/>
  <c r="J49" i="6"/>
  <c r="P26" i="9" l="1"/>
  <c r="P28" i="9" s="1"/>
  <c r="O27" i="9"/>
  <c r="O28" i="9" s="1"/>
  <c r="I92" i="6"/>
  <c r="J14" i="6"/>
  <c r="J11" i="6"/>
  <c r="J22" i="6"/>
  <c r="J33" i="6"/>
  <c r="J43" i="6"/>
  <c r="J47" i="6"/>
  <c r="J54" i="6"/>
  <c r="J58" i="6"/>
  <c r="F11" i="4" l="1"/>
  <c r="F10" i="4"/>
  <c r="F12" i="4"/>
  <c r="I4" i="4"/>
  <c r="H51" i="7"/>
  <c r="H48" i="7"/>
  <c r="H40" i="7"/>
  <c r="E37" i="7" l="1"/>
  <c r="G37" i="7"/>
  <c r="C37" i="7"/>
  <c r="F37" i="7"/>
  <c r="D37" i="7"/>
  <c r="G24" i="9" l="1"/>
  <c r="I40" i="6" l="1"/>
  <c r="F20" i="5"/>
  <c r="G25" i="6"/>
  <c r="H25" i="6"/>
  <c r="E25" i="6"/>
  <c r="F25" i="6"/>
  <c r="I25" i="6"/>
  <c r="G40" i="6" l="1"/>
  <c r="F40" i="6"/>
  <c r="E40" i="6"/>
  <c r="I15" i="6"/>
  <c r="I80" i="6" s="1"/>
  <c r="H40" i="6"/>
  <c r="H15" i="6"/>
  <c r="G15" i="6"/>
  <c r="F15" i="6"/>
  <c r="E15" i="6"/>
  <c r="R41" i="4"/>
  <c r="N13" i="4"/>
  <c r="N37" i="4" s="1"/>
  <c r="D15" i="3"/>
  <c r="J13" i="4"/>
  <c r="J37" i="4" s="1"/>
  <c r="Y13" i="4"/>
  <c r="Y16" i="4" s="1"/>
  <c r="X13" i="4"/>
  <c r="X16" i="4" s="1"/>
  <c r="W13" i="4"/>
  <c r="W16" i="4" s="1"/>
  <c r="U13" i="4"/>
  <c r="U37" i="4" s="1"/>
  <c r="T13" i="4"/>
  <c r="T16" i="4" s="1"/>
  <c r="T40" i="4" s="1"/>
  <c r="S13" i="4"/>
  <c r="S16" i="4" s="1"/>
  <c r="S19" i="4" s="1"/>
  <c r="R13" i="4"/>
  <c r="Q13" i="4"/>
  <c r="Q37" i="4" s="1"/>
  <c r="P13" i="4"/>
  <c r="P37" i="4" s="1"/>
  <c r="O13" i="4"/>
  <c r="O16" i="4" s="1"/>
  <c r="O19" i="4" s="1"/>
  <c r="M13" i="4"/>
  <c r="L13" i="4"/>
  <c r="K13" i="4"/>
  <c r="K37" i="4" s="1"/>
  <c r="I13" i="4"/>
  <c r="H13" i="4"/>
  <c r="H16" i="4" s="1"/>
  <c r="G13" i="4"/>
  <c r="X29" i="4"/>
  <c r="F13" i="4"/>
  <c r="F37" i="4" s="1"/>
  <c r="E13" i="4"/>
  <c r="E37" i="4" s="1"/>
  <c r="D13" i="4"/>
  <c r="D16" i="4" s="1"/>
  <c r="D19" i="4" s="1"/>
  <c r="C13" i="4"/>
  <c r="H47" i="14"/>
  <c r="I30" i="14"/>
  <c r="G30" i="14"/>
  <c r="K20" i="14"/>
  <c r="I20" i="14"/>
  <c r="G20" i="14"/>
  <c r="E20" i="14"/>
  <c r="K11" i="14"/>
  <c r="I11" i="14"/>
  <c r="G11" i="14"/>
  <c r="E11" i="14"/>
  <c r="L9" i="14"/>
  <c r="L27" i="14" s="1"/>
  <c r="K9" i="14"/>
  <c r="K27" i="14" s="1"/>
  <c r="J9" i="14"/>
  <c r="J27" i="14" s="1"/>
  <c r="I9" i="14"/>
  <c r="I27" i="14" s="1"/>
  <c r="H9" i="14"/>
  <c r="H27" i="14" s="1"/>
  <c r="G9" i="14"/>
  <c r="G27" i="14" s="1"/>
  <c r="F9" i="14"/>
  <c r="F27" i="14" s="1"/>
  <c r="E9" i="14"/>
  <c r="E27" i="14" s="1"/>
  <c r="L8" i="14"/>
  <c r="L26" i="14" s="1"/>
  <c r="K8" i="14"/>
  <c r="K26" i="14" s="1"/>
  <c r="J8" i="14"/>
  <c r="J26" i="14" s="1"/>
  <c r="I8" i="14"/>
  <c r="I26" i="14" s="1"/>
  <c r="H8" i="14"/>
  <c r="H26" i="14" s="1"/>
  <c r="G8" i="14"/>
  <c r="G26" i="14" s="1"/>
  <c r="F8" i="14"/>
  <c r="F26" i="14" s="1"/>
  <c r="E8" i="14"/>
  <c r="E26" i="14" s="1"/>
  <c r="L7" i="14"/>
  <c r="L25" i="14" s="1"/>
  <c r="K7" i="14"/>
  <c r="K25" i="14" s="1"/>
  <c r="J7" i="14"/>
  <c r="J25" i="14" s="1"/>
  <c r="I7" i="14"/>
  <c r="I25" i="14" s="1"/>
  <c r="H7" i="14"/>
  <c r="H25" i="14" s="1"/>
  <c r="G7" i="14"/>
  <c r="G25" i="14" s="1"/>
  <c r="F7" i="14"/>
  <c r="F25" i="14" s="1"/>
  <c r="E7" i="14"/>
  <c r="E25" i="14" s="1"/>
  <c r="L6" i="14"/>
  <c r="L24" i="14" s="1"/>
  <c r="K6" i="14"/>
  <c r="K24" i="14" s="1"/>
  <c r="J6" i="14"/>
  <c r="J24" i="14" s="1"/>
  <c r="I6" i="14"/>
  <c r="I24" i="14" s="1"/>
  <c r="H6" i="14"/>
  <c r="H24" i="14" s="1"/>
  <c r="G6" i="14"/>
  <c r="G24" i="14" s="1"/>
  <c r="F6" i="14"/>
  <c r="F24" i="14" s="1"/>
  <c r="E6" i="14"/>
  <c r="E24" i="14" s="1"/>
  <c r="L5" i="14"/>
  <c r="L23" i="14" s="1"/>
  <c r="K5" i="14"/>
  <c r="K23" i="14" s="1"/>
  <c r="K28" i="14" s="1"/>
  <c r="J5" i="14"/>
  <c r="J23" i="14" s="1"/>
  <c r="I5" i="14"/>
  <c r="I23" i="14" s="1"/>
  <c r="H5" i="14"/>
  <c r="H23" i="14" s="1"/>
  <c r="G5" i="14"/>
  <c r="G23" i="14" s="1"/>
  <c r="F5" i="14"/>
  <c r="F23" i="14" s="1"/>
  <c r="E5" i="14"/>
  <c r="E23" i="14" s="1"/>
  <c r="D5" i="14"/>
  <c r="D23" i="14" s="1"/>
  <c r="K2" i="14"/>
  <c r="I2" i="14"/>
  <c r="G2" i="14"/>
  <c r="E2" i="14"/>
  <c r="H47" i="13"/>
  <c r="I30" i="13"/>
  <c r="G30" i="13"/>
  <c r="K20" i="13"/>
  <c r="I20" i="13"/>
  <c r="G20" i="13"/>
  <c r="E20" i="13"/>
  <c r="K11" i="13"/>
  <c r="I11" i="13"/>
  <c r="G11" i="13"/>
  <c r="E11" i="13"/>
  <c r="L9" i="13"/>
  <c r="L27" i="13" s="1"/>
  <c r="K9" i="13"/>
  <c r="K27" i="13" s="1"/>
  <c r="J9" i="13"/>
  <c r="J27" i="13" s="1"/>
  <c r="I9" i="13"/>
  <c r="I27" i="13" s="1"/>
  <c r="H9" i="13"/>
  <c r="H27" i="13" s="1"/>
  <c r="G9" i="13"/>
  <c r="G27" i="13" s="1"/>
  <c r="F9" i="13"/>
  <c r="F27" i="13" s="1"/>
  <c r="E9" i="13"/>
  <c r="E27" i="13" s="1"/>
  <c r="L8" i="13"/>
  <c r="L26" i="13" s="1"/>
  <c r="K8" i="13"/>
  <c r="K26" i="13" s="1"/>
  <c r="J8" i="13"/>
  <c r="J26" i="13" s="1"/>
  <c r="I8" i="13"/>
  <c r="I26" i="13" s="1"/>
  <c r="H8" i="13"/>
  <c r="H26" i="13" s="1"/>
  <c r="G8" i="13"/>
  <c r="G26" i="13" s="1"/>
  <c r="F8" i="13"/>
  <c r="F26" i="13" s="1"/>
  <c r="E8" i="13"/>
  <c r="E26" i="13" s="1"/>
  <c r="L7" i="13"/>
  <c r="L25" i="13" s="1"/>
  <c r="K7" i="13"/>
  <c r="K25" i="13" s="1"/>
  <c r="J7" i="13"/>
  <c r="J25" i="13" s="1"/>
  <c r="I7" i="13"/>
  <c r="I25" i="13" s="1"/>
  <c r="H7" i="13"/>
  <c r="H25" i="13" s="1"/>
  <c r="G7" i="13"/>
  <c r="G25" i="13" s="1"/>
  <c r="F7" i="13"/>
  <c r="F25" i="13" s="1"/>
  <c r="E7" i="13"/>
  <c r="E25" i="13" s="1"/>
  <c r="L6" i="13"/>
  <c r="L24" i="13" s="1"/>
  <c r="K6" i="13"/>
  <c r="K24" i="13" s="1"/>
  <c r="J6" i="13"/>
  <c r="J24" i="13" s="1"/>
  <c r="I6" i="13"/>
  <c r="I24" i="13" s="1"/>
  <c r="H6" i="13"/>
  <c r="H24" i="13" s="1"/>
  <c r="G6" i="13"/>
  <c r="G24" i="13" s="1"/>
  <c r="F6" i="13"/>
  <c r="F24" i="13" s="1"/>
  <c r="E6" i="13"/>
  <c r="E24" i="13" s="1"/>
  <c r="L5" i="13"/>
  <c r="L23" i="13" s="1"/>
  <c r="K5" i="13"/>
  <c r="K23" i="13" s="1"/>
  <c r="J5" i="13"/>
  <c r="J23" i="13" s="1"/>
  <c r="I5" i="13"/>
  <c r="I23" i="13" s="1"/>
  <c r="H5" i="13"/>
  <c r="H23" i="13" s="1"/>
  <c r="G5" i="13"/>
  <c r="G23" i="13" s="1"/>
  <c r="F5" i="13"/>
  <c r="F23" i="13" s="1"/>
  <c r="E5" i="13"/>
  <c r="E23" i="13" s="1"/>
  <c r="D5" i="13"/>
  <c r="D33" i="13" s="1"/>
  <c r="K2" i="13"/>
  <c r="I2" i="13"/>
  <c r="G2" i="13"/>
  <c r="E2" i="13"/>
  <c r="H30" i="12"/>
  <c r="F30" i="12"/>
  <c r="I26" i="12"/>
  <c r="J20" i="12"/>
  <c r="H20" i="12"/>
  <c r="F20" i="12"/>
  <c r="D20" i="12"/>
  <c r="J11" i="12"/>
  <c r="H11" i="12"/>
  <c r="F11" i="12"/>
  <c r="D11" i="12"/>
  <c r="K9" i="12"/>
  <c r="K27" i="12" s="1"/>
  <c r="J9" i="12"/>
  <c r="J27" i="12" s="1"/>
  <c r="I9" i="12"/>
  <c r="I27" i="12" s="1"/>
  <c r="H9" i="12"/>
  <c r="H27" i="12" s="1"/>
  <c r="G9" i="12"/>
  <c r="G27" i="12" s="1"/>
  <c r="F9" i="12"/>
  <c r="F27" i="12" s="1"/>
  <c r="E9" i="12"/>
  <c r="E27" i="12" s="1"/>
  <c r="D9" i="12"/>
  <c r="D27" i="12" s="1"/>
  <c r="K8" i="12"/>
  <c r="K26" i="12" s="1"/>
  <c r="J8" i="12"/>
  <c r="J26" i="12" s="1"/>
  <c r="I8" i="12"/>
  <c r="H8" i="12"/>
  <c r="H26" i="12" s="1"/>
  <c r="G8" i="12"/>
  <c r="G26" i="12" s="1"/>
  <c r="F8" i="12"/>
  <c r="F26" i="12" s="1"/>
  <c r="E8" i="12"/>
  <c r="E26" i="12" s="1"/>
  <c r="D8" i="12"/>
  <c r="D26" i="12" s="1"/>
  <c r="K7" i="12"/>
  <c r="K25" i="12" s="1"/>
  <c r="J7" i="12"/>
  <c r="J25" i="12" s="1"/>
  <c r="I7" i="12"/>
  <c r="I25" i="12" s="1"/>
  <c r="H7" i="12"/>
  <c r="H25" i="12" s="1"/>
  <c r="G7" i="12"/>
  <c r="G25" i="12" s="1"/>
  <c r="F7" i="12"/>
  <c r="F25" i="12" s="1"/>
  <c r="E7" i="12"/>
  <c r="E25" i="12" s="1"/>
  <c r="D7" i="12"/>
  <c r="D25" i="12" s="1"/>
  <c r="K6" i="12"/>
  <c r="K24" i="12" s="1"/>
  <c r="J6" i="12"/>
  <c r="J24" i="12" s="1"/>
  <c r="I6" i="12"/>
  <c r="I24" i="12" s="1"/>
  <c r="H6" i="12"/>
  <c r="H24" i="12" s="1"/>
  <c r="G6" i="12"/>
  <c r="G24" i="12" s="1"/>
  <c r="F6" i="12"/>
  <c r="F24" i="12" s="1"/>
  <c r="E6" i="12"/>
  <c r="E24" i="12" s="1"/>
  <c r="D6" i="12"/>
  <c r="D24" i="12" s="1"/>
  <c r="C6" i="12"/>
  <c r="C34" i="12" s="1"/>
  <c r="K5" i="12"/>
  <c r="K23" i="12" s="1"/>
  <c r="J5" i="12"/>
  <c r="J23" i="12" s="1"/>
  <c r="I5" i="12"/>
  <c r="I23" i="12" s="1"/>
  <c r="H5" i="12"/>
  <c r="H23" i="12" s="1"/>
  <c r="G5" i="12"/>
  <c r="G23" i="12" s="1"/>
  <c r="F5" i="12"/>
  <c r="F23" i="12" s="1"/>
  <c r="E5" i="12"/>
  <c r="E23" i="12" s="1"/>
  <c r="D5" i="12"/>
  <c r="D23" i="12" s="1"/>
  <c r="C5" i="12"/>
  <c r="C23" i="12" s="1"/>
  <c r="J2" i="12"/>
  <c r="H2" i="12"/>
  <c r="F2" i="12"/>
  <c r="D2" i="12"/>
  <c r="I30" i="11"/>
  <c r="G30" i="11"/>
  <c r="K20" i="11"/>
  <c r="I20" i="11"/>
  <c r="G20" i="11"/>
  <c r="E20" i="11"/>
  <c r="K11" i="11"/>
  <c r="I11" i="11"/>
  <c r="G11" i="11"/>
  <c r="E11" i="11"/>
  <c r="L9" i="11"/>
  <c r="L27" i="11" s="1"/>
  <c r="K9" i="11"/>
  <c r="K27" i="11" s="1"/>
  <c r="J9" i="11"/>
  <c r="J27" i="11" s="1"/>
  <c r="I9" i="11"/>
  <c r="I27" i="11" s="1"/>
  <c r="H9" i="11"/>
  <c r="H27" i="11" s="1"/>
  <c r="G9" i="11"/>
  <c r="G27" i="11" s="1"/>
  <c r="F9" i="11"/>
  <c r="F27" i="11" s="1"/>
  <c r="E9" i="11"/>
  <c r="E27" i="11" s="1"/>
  <c r="L8" i="11"/>
  <c r="L26" i="11" s="1"/>
  <c r="K8" i="11"/>
  <c r="K26" i="11" s="1"/>
  <c r="J8" i="11"/>
  <c r="J26" i="11" s="1"/>
  <c r="I8" i="11"/>
  <c r="I26" i="11" s="1"/>
  <c r="H8" i="11"/>
  <c r="H26" i="11" s="1"/>
  <c r="G8" i="11"/>
  <c r="G26" i="11" s="1"/>
  <c r="F8" i="11"/>
  <c r="F26" i="11" s="1"/>
  <c r="E8" i="11"/>
  <c r="E26" i="11" s="1"/>
  <c r="L7" i="11"/>
  <c r="L25" i="11" s="1"/>
  <c r="K7" i="11"/>
  <c r="K25" i="11" s="1"/>
  <c r="J7" i="11"/>
  <c r="J25" i="11" s="1"/>
  <c r="I7" i="11"/>
  <c r="I25" i="11" s="1"/>
  <c r="H7" i="11"/>
  <c r="H25" i="11" s="1"/>
  <c r="G7" i="11"/>
  <c r="G25" i="11" s="1"/>
  <c r="F7" i="11"/>
  <c r="F25" i="11" s="1"/>
  <c r="E7" i="11"/>
  <c r="E25" i="11" s="1"/>
  <c r="L6" i="11"/>
  <c r="L24" i="11" s="1"/>
  <c r="K6" i="11"/>
  <c r="K24" i="11" s="1"/>
  <c r="J6" i="11"/>
  <c r="J24" i="11" s="1"/>
  <c r="I6" i="11"/>
  <c r="I24" i="11" s="1"/>
  <c r="H6" i="11"/>
  <c r="H24" i="11" s="1"/>
  <c r="G6" i="11"/>
  <c r="G24" i="11" s="1"/>
  <c r="F6" i="11"/>
  <c r="F24" i="11" s="1"/>
  <c r="E6" i="11"/>
  <c r="E24" i="11" s="1"/>
  <c r="L5" i="11"/>
  <c r="L23" i="11" s="1"/>
  <c r="K5" i="11"/>
  <c r="K23" i="11" s="1"/>
  <c r="J5" i="11"/>
  <c r="J23" i="11" s="1"/>
  <c r="I5" i="11"/>
  <c r="I23" i="11" s="1"/>
  <c r="H5" i="11"/>
  <c r="H23" i="11" s="1"/>
  <c r="G5" i="11"/>
  <c r="G23" i="11" s="1"/>
  <c r="F5" i="11"/>
  <c r="F23" i="11" s="1"/>
  <c r="E5" i="11"/>
  <c r="E23" i="11" s="1"/>
  <c r="D5" i="11"/>
  <c r="K2" i="11"/>
  <c r="I2" i="11"/>
  <c r="G2" i="11"/>
  <c r="E2" i="11"/>
  <c r="I30" i="10"/>
  <c r="G30" i="10"/>
  <c r="K20" i="10"/>
  <c r="I20" i="10"/>
  <c r="G20" i="10"/>
  <c r="E20" i="10"/>
  <c r="K11" i="10"/>
  <c r="I11" i="10"/>
  <c r="G11" i="10"/>
  <c r="E11" i="10"/>
  <c r="L9" i="10"/>
  <c r="L27" i="10" s="1"/>
  <c r="K9" i="10"/>
  <c r="K27" i="10" s="1"/>
  <c r="J9" i="10"/>
  <c r="J27" i="10" s="1"/>
  <c r="I9" i="10"/>
  <c r="I27" i="10" s="1"/>
  <c r="H9" i="10"/>
  <c r="H27" i="10" s="1"/>
  <c r="G9" i="10"/>
  <c r="G27" i="10" s="1"/>
  <c r="F9" i="10"/>
  <c r="F27" i="10" s="1"/>
  <c r="E9" i="10"/>
  <c r="E27" i="10" s="1"/>
  <c r="L8" i="10"/>
  <c r="L26" i="10" s="1"/>
  <c r="K8" i="10"/>
  <c r="K26" i="10" s="1"/>
  <c r="J8" i="10"/>
  <c r="J26" i="10" s="1"/>
  <c r="I8" i="10"/>
  <c r="I26" i="10" s="1"/>
  <c r="H8" i="10"/>
  <c r="H26" i="10" s="1"/>
  <c r="G8" i="10"/>
  <c r="G26" i="10" s="1"/>
  <c r="F8" i="10"/>
  <c r="F26" i="10" s="1"/>
  <c r="E8" i="10"/>
  <c r="E26" i="10" s="1"/>
  <c r="L7" i="10"/>
  <c r="L25" i="10" s="1"/>
  <c r="K7" i="10"/>
  <c r="K25" i="10" s="1"/>
  <c r="J7" i="10"/>
  <c r="J25" i="10" s="1"/>
  <c r="I7" i="10"/>
  <c r="I25" i="10" s="1"/>
  <c r="H7" i="10"/>
  <c r="H25" i="10" s="1"/>
  <c r="G7" i="10"/>
  <c r="G25" i="10" s="1"/>
  <c r="F7" i="10"/>
  <c r="F25" i="10" s="1"/>
  <c r="E7" i="10"/>
  <c r="E25" i="10" s="1"/>
  <c r="L6" i="10"/>
  <c r="L24" i="10" s="1"/>
  <c r="K6" i="10"/>
  <c r="K24" i="10" s="1"/>
  <c r="J6" i="10"/>
  <c r="J24" i="10" s="1"/>
  <c r="I6" i="10"/>
  <c r="I24" i="10" s="1"/>
  <c r="H6" i="10"/>
  <c r="H24" i="10" s="1"/>
  <c r="G6" i="10"/>
  <c r="G24" i="10" s="1"/>
  <c r="F6" i="10"/>
  <c r="F24" i="10" s="1"/>
  <c r="E6" i="10"/>
  <c r="E24" i="10" s="1"/>
  <c r="L5" i="10"/>
  <c r="L23" i="10" s="1"/>
  <c r="K5" i="10"/>
  <c r="K23" i="10" s="1"/>
  <c r="J5" i="10"/>
  <c r="J23" i="10" s="1"/>
  <c r="I5" i="10"/>
  <c r="I23" i="10" s="1"/>
  <c r="H5" i="10"/>
  <c r="H23" i="10" s="1"/>
  <c r="G5" i="10"/>
  <c r="G23" i="10" s="1"/>
  <c r="F5" i="10"/>
  <c r="F23" i="10" s="1"/>
  <c r="E5" i="10"/>
  <c r="E23" i="10" s="1"/>
  <c r="D5" i="10"/>
  <c r="K2" i="10"/>
  <c r="I2" i="10"/>
  <c r="G2" i="10"/>
  <c r="E2" i="10"/>
  <c r="I30" i="9"/>
  <c r="G30" i="9"/>
  <c r="L27" i="9"/>
  <c r="K27" i="9"/>
  <c r="J27" i="9"/>
  <c r="I27" i="9"/>
  <c r="H27" i="9"/>
  <c r="G27" i="9"/>
  <c r="L26" i="9"/>
  <c r="K26" i="9"/>
  <c r="J26" i="9"/>
  <c r="I26" i="9"/>
  <c r="H26" i="9"/>
  <c r="G26" i="9"/>
  <c r="L25" i="9"/>
  <c r="K25" i="9"/>
  <c r="J25" i="9"/>
  <c r="I25" i="9"/>
  <c r="H25" i="9"/>
  <c r="G25" i="9"/>
  <c r="L24" i="9"/>
  <c r="K24" i="9"/>
  <c r="J24" i="9"/>
  <c r="I24" i="9"/>
  <c r="H24" i="9"/>
  <c r="L23" i="9"/>
  <c r="K23" i="9"/>
  <c r="J23" i="9"/>
  <c r="I23" i="9"/>
  <c r="H23" i="9"/>
  <c r="G23" i="9"/>
  <c r="K20" i="9"/>
  <c r="I20" i="9"/>
  <c r="G20" i="9"/>
  <c r="E20" i="9"/>
  <c r="K11" i="9"/>
  <c r="I11" i="9"/>
  <c r="G11" i="9"/>
  <c r="D5" i="9"/>
  <c r="D23" i="9" s="1"/>
  <c r="E2" i="9"/>
  <c r="E11" i="9" s="1"/>
  <c r="G80" i="7"/>
  <c r="F80" i="7"/>
  <c r="E80" i="7"/>
  <c r="D80" i="7"/>
  <c r="C80" i="7"/>
  <c r="G62" i="7"/>
  <c r="F62" i="7"/>
  <c r="E62" i="7"/>
  <c r="D62" i="7"/>
  <c r="C62" i="7"/>
  <c r="G54" i="7"/>
  <c r="F54" i="7"/>
  <c r="E54" i="7"/>
  <c r="D54" i="7"/>
  <c r="C54" i="7"/>
  <c r="H5" i="7"/>
  <c r="G5" i="7"/>
  <c r="F5" i="7"/>
  <c r="E5" i="7"/>
  <c r="D5" i="7"/>
  <c r="C5" i="7"/>
  <c r="B2" i="7"/>
  <c r="I59" i="6"/>
  <c r="I72" i="6" s="1"/>
  <c r="H59" i="6"/>
  <c r="G59" i="6"/>
  <c r="G72" i="6" s="1"/>
  <c r="F59" i="6"/>
  <c r="F71" i="6" s="1"/>
  <c r="K71" i="6" s="1"/>
  <c r="E59" i="6"/>
  <c r="I50" i="6"/>
  <c r="H50" i="6"/>
  <c r="G50" i="6"/>
  <c r="F50" i="6"/>
  <c r="E50" i="6"/>
  <c r="E51" i="6" s="1"/>
  <c r="G9" i="6"/>
  <c r="F9" i="6"/>
  <c r="D3" i="6"/>
  <c r="X36" i="5"/>
  <c r="X35" i="5"/>
  <c r="X34" i="5" s="1"/>
  <c r="X33" i="5" s="1"/>
  <c r="W33" i="5"/>
  <c r="N33" i="5"/>
  <c r="AA32" i="5"/>
  <c r="Z32" i="5"/>
  <c r="Y32" i="5" s="1"/>
  <c r="R32" i="5"/>
  <c r="Q32" i="5"/>
  <c r="P32" i="5"/>
  <c r="P31" i="5"/>
  <c r="Y31" i="5" s="1"/>
  <c r="W23" i="5"/>
  <c r="Y20" i="5"/>
  <c r="P20" i="5"/>
  <c r="C17" i="5"/>
  <c r="C13" i="5"/>
  <c r="D4" i="8" s="1"/>
  <c r="W11" i="5"/>
  <c r="F11" i="5"/>
  <c r="Y9" i="5"/>
  <c r="P9" i="5"/>
  <c r="F7" i="5"/>
  <c r="G7" i="5" s="1"/>
  <c r="C7" i="5"/>
  <c r="F24" i="5" s="1"/>
  <c r="C2" i="5"/>
  <c r="I74" i="4"/>
  <c r="O74" i="4" s="1"/>
  <c r="D74" i="4"/>
  <c r="E74" i="4" s="1"/>
  <c r="F74" i="4" s="1"/>
  <c r="G74" i="4" s="1"/>
  <c r="H74" i="4" s="1"/>
  <c r="H60" i="4" s="1"/>
  <c r="C66" i="4"/>
  <c r="I64" i="4"/>
  <c r="C64" i="4"/>
  <c r="C63" i="4"/>
  <c r="O61" i="4"/>
  <c r="I61" i="4"/>
  <c r="C61" i="4"/>
  <c r="I60" i="4"/>
  <c r="C60" i="4"/>
  <c r="O58" i="4"/>
  <c r="C58" i="4"/>
  <c r="O57" i="4"/>
  <c r="C57" i="4"/>
  <c r="Y45" i="4"/>
  <c r="X45" i="4"/>
  <c r="W45" i="4"/>
  <c r="AB21" i="4" s="1"/>
  <c r="V45" i="4"/>
  <c r="U45" i="4"/>
  <c r="T45" i="4"/>
  <c r="S45" i="4"/>
  <c r="R45" i="4"/>
  <c r="Q45" i="4"/>
  <c r="P45" i="4"/>
  <c r="O45" i="4"/>
  <c r="N45" i="4"/>
  <c r="M45" i="4"/>
  <c r="L45" i="4"/>
  <c r="K45" i="4"/>
  <c r="J45" i="4"/>
  <c r="I45" i="4"/>
  <c r="H45" i="4"/>
  <c r="G45" i="4"/>
  <c r="F45" i="4"/>
  <c r="E45" i="4"/>
  <c r="D45" i="4"/>
  <c r="C45" i="4"/>
  <c r="Y44" i="4"/>
  <c r="X44" i="4"/>
  <c r="W44" i="4"/>
  <c r="AB20" i="4" s="1"/>
  <c r="V44" i="4"/>
  <c r="U44" i="4"/>
  <c r="T44" i="4"/>
  <c r="S44" i="4"/>
  <c r="R44" i="4"/>
  <c r="Q44" i="4"/>
  <c r="P44" i="4"/>
  <c r="O44" i="4"/>
  <c r="N44" i="4"/>
  <c r="M44" i="4"/>
  <c r="L44" i="4"/>
  <c r="K44" i="4"/>
  <c r="J44" i="4"/>
  <c r="I44" i="4"/>
  <c r="H44" i="4"/>
  <c r="G44" i="4"/>
  <c r="F44" i="4"/>
  <c r="E44" i="4"/>
  <c r="D44" i="4"/>
  <c r="C44" i="4"/>
  <c r="Y42" i="4"/>
  <c r="X42" i="4"/>
  <c r="W42" i="4"/>
  <c r="AB18" i="4" s="1"/>
  <c r="V42" i="4"/>
  <c r="U42" i="4"/>
  <c r="T42" i="4"/>
  <c r="S42" i="4"/>
  <c r="Q42" i="4"/>
  <c r="P42" i="4"/>
  <c r="O42" i="4"/>
  <c r="N42" i="4"/>
  <c r="M42" i="4"/>
  <c r="L42" i="4"/>
  <c r="K42" i="4"/>
  <c r="J42" i="4"/>
  <c r="I42" i="4"/>
  <c r="H42" i="4"/>
  <c r="G42" i="4"/>
  <c r="F42" i="4"/>
  <c r="E42" i="4"/>
  <c r="D42" i="4"/>
  <c r="C42" i="4"/>
  <c r="Y41" i="4"/>
  <c r="X41" i="4"/>
  <c r="W41" i="4"/>
  <c r="AB17" i="4" s="1"/>
  <c r="V41" i="4"/>
  <c r="U41" i="4"/>
  <c r="T41" i="4"/>
  <c r="S41" i="4"/>
  <c r="Q41" i="4"/>
  <c r="P41" i="4"/>
  <c r="O41" i="4"/>
  <c r="N41" i="4"/>
  <c r="M41" i="4"/>
  <c r="L41" i="4"/>
  <c r="K41" i="4"/>
  <c r="J41" i="4"/>
  <c r="I41" i="4"/>
  <c r="H41" i="4"/>
  <c r="G41" i="4"/>
  <c r="F41" i="4"/>
  <c r="E41" i="4"/>
  <c r="D41" i="4"/>
  <c r="C41" i="4"/>
  <c r="Y39" i="4"/>
  <c r="X39" i="4"/>
  <c r="W39" i="4"/>
  <c r="AB15" i="4" s="1"/>
  <c r="V39" i="4"/>
  <c r="U39" i="4"/>
  <c r="T39" i="4"/>
  <c r="S39" i="4"/>
  <c r="R39" i="4"/>
  <c r="Q39" i="4"/>
  <c r="P39" i="4"/>
  <c r="O39" i="4"/>
  <c r="N39" i="4"/>
  <c r="M39" i="4"/>
  <c r="L39" i="4"/>
  <c r="K39" i="4"/>
  <c r="J39" i="4"/>
  <c r="I39" i="4"/>
  <c r="H39" i="4"/>
  <c r="G39" i="4"/>
  <c r="F39" i="4"/>
  <c r="E39" i="4"/>
  <c r="D39" i="4"/>
  <c r="C39" i="4"/>
  <c r="Y38" i="4"/>
  <c r="X38" i="4"/>
  <c r="W38" i="4"/>
  <c r="AB14" i="4" s="1"/>
  <c r="V38" i="4"/>
  <c r="U38" i="4"/>
  <c r="T38" i="4"/>
  <c r="S38" i="4"/>
  <c r="R38" i="4"/>
  <c r="Q38" i="4"/>
  <c r="P38" i="4"/>
  <c r="O38" i="4"/>
  <c r="N38" i="4"/>
  <c r="M38" i="4"/>
  <c r="L38" i="4"/>
  <c r="K38" i="4"/>
  <c r="J38" i="4"/>
  <c r="I38" i="4"/>
  <c r="H38" i="4"/>
  <c r="G38" i="4"/>
  <c r="F38" i="4"/>
  <c r="E38" i="4"/>
  <c r="D38" i="4"/>
  <c r="C38" i="4"/>
  <c r="Y36" i="4"/>
  <c r="X36" i="4"/>
  <c r="W36" i="4"/>
  <c r="AB11" i="4" s="1"/>
  <c r="V36" i="4"/>
  <c r="U36" i="4"/>
  <c r="T36" i="4"/>
  <c r="S36" i="4"/>
  <c r="R36" i="4"/>
  <c r="Q36" i="4"/>
  <c r="P36" i="4"/>
  <c r="O36" i="4"/>
  <c r="N36" i="4"/>
  <c r="M36" i="4"/>
  <c r="L36" i="4"/>
  <c r="K36" i="4"/>
  <c r="J36" i="4"/>
  <c r="I36" i="4"/>
  <c r="H36" i="4"/>
  <c r="G36" i="4"/>
  <c r="E36" i="4"/>
  <c r="D36" i="4"/>
  <c r="C36" i="4"/>
  <c r="Y35" i="4"/>
  <c r="X35" i="4"/>
  <c r="W35" i="4"/>
  <c r="V35" i="4"/>
  <c r="U35" i="4"/>
  <c r="T35" i="4"/>
  <c r="S35" i="4"/>
  <c r="R35" i="4"/>
  <c r="Q35" i="4"/>
  <c r="P35" i="4"/>
  <c r="O35" i="4"/>
  <c r="N35" i="4"/>
  <c r="M35" i="4"/>
  <c r="L35" i="4"/>
  <c r="K35" i="4"/>
  <c r="J35" i="4"/>
  <c r="I35" i="4"/>
  <c r="H35" i="4"/>
  <c r="G35" i="4"/>
  <c r="F35" i="4"/>
  <c r="E35" i="4"/>
  <c r="D35" i="4"/>
  <c r="C35" i="4"/>
  <c r="W32" i="4"/>
  <c r="S32" i="4"/>
  <c r="O32" i="4"/>
  <c r="K32" i="4"/>
  <c r="G32" i="4"/>
  <c r="C32" i="4"/>
  <c r="T29" i="4"/>
  <c r="P29" i="4"/>
  <c r="L29" i="4"/>
  <c r="H29" i="4"/>
  <c r="D29" i="4"/>
  <c r="M37" i="4"/>
  <c r="L16" i="4"/>
  <c r="L40" i="4" s="1"/>
  <c r="I37" i="4"/>
  <c r="H37" i="4"/>
  <c r="C16" i="4"/>
  <c r="Z9" i="4"/>
  <c r="Z39" i="4" s="1"/>
  <c r="Y9" i="4"/>
  <c r="AB10" i="4" s="1"/>
  <c r="X9" i="4"/>
  <c r="W9" i="4"/>
  <c r="V9" i="4"/>
  <c r="U9" i="4"/>
  <c r="T9" i="4"/>
  <c r="S9" i="4"/>
  <c r="R9" i="4"/>
  <c r="Q9" i="4"/>
  <c r="P9" i="4"/>
  <c r="O9" i="4"/>
  <c r="N9" i="4"/>
  <c r="M9" i="4"/>
  <c r="L9" i="4"/>
  <c r="K9" i="4"/>
  <c r="J9" i="4"/>
  <c r="I9" i="4"/>
  <c r="H9" i="4"/>
  <c r="G9" i="4"/>
  <c r="F9" i="4"/>
  <c r="E9" i="4"/>
  <c r="D9" i="4"/>
  <c r="C2" i="4"/>
  <c r="B2" i="4"/>
  <c r="G20" i="3"/>
  <c r="G30" i="3" s="1"/>
  <c r="F20" i="3"/>
  <c r="F30" i="3" s="1"/>
  <c r="E20" i="3"/>
  <c r="E30" i="3" s="1"/>
  <c r="D20" i="3"/>
  <c r="D30" i="3" s="1"/>
  <c r="H18" i="3"/>
  <c r="G18" i="3"/>
  <c r="F18" i="3"/>
  <c r="E18" i="3"/>
  <c r="D18" i="3"/>
  <c r="C18" i="3"/>
  <c r="G17" i="3"/>
  <c r="F17" i="3"/>
  <c r="E17" i="3"/>
  <c r="D17" i="3"/>
  <c r="C17" i="3"/>
  <c r="G15" i="3"/>
  <c r="F15" i="3"/>
  <c r="E15" i="3"/>
  <c r="C15" i="3"/>
  <c r="G14" i="3"/>
  <c r="F14" i="3"/>
  <c r="E14" i="3"/>
  <c r="D14" i="3"/>
  <c r="C14" i="3"/>
  <c r="H12" i="3"/>
  <c r="G12" i="3"/>
  <c r="F12" i="3"/>
  <c r="E12" i="3"/>
  <c r="D12" i="3"/>
  <c r="C12" i="3"/>
  <c r="G11" i="3"/>
  <c r="F11" i="3"/>
  <c r="E11" i="3"/>
  <c r="D11" i="3"/>
  <c r="C11" i="3"/>
  <c r="G9" i="3"/>
  <c r="F9" i="3"/>
  <c r="E9" i="3"/>
  <c r="D9" i="3"/>
  <c r="C9" i="3"/>
  <c r="G8" i="3"/>
  <c r="F8" i="3"/>
  <c r="E8" i="3"/>
  <c r="E77" i="7" s="1"/>
  <c r="D8" i="3"/>
  <c r="D77" i="7" s="1"/>
  <c r="C8" i="3"/>
  <c r="Z5" i="3"/>
  <c r="C2" i="3"/>
  <c r="B2" i="3"/>
  <c r="B1" i="2"/>
  <c r="G16" i="1"/>
  <c r="K7" i="1"/>
  <c r="H47" i="10" s="1"/>
  <c r="K6" i="1"/>
  <c r="F35" i="11" l="1"/>
  <c r="X30" i="4"/>
  <c r="H80" i="6"/>
  <c r="E80" i="6"/>
  <c r="X37" i="4"/>
  <c r="Y37" i="4"/>
  <c r="U16" i="4"/>
  <c r="I91" i="6"/>
  <c r="I90" i="6"/>
  <c r="J90" i="6" s="1"/>
  <c r="L55" i="6"/>
  <c r="J55" i="6" s="1"/>
  <c r="AC17" i="4"/>
  <c r="Z17" i="4" s="1"/>
  <c r="AC15" i="4"/>
  <c r="AC21" i="4"/>
  <c r="G80" i="6"/>
  <c r="F80" i="6"/>
  <c r="E34" i="9"/>
  <c r="L28" i="9"/>
  <c r="L28" i="10"/>
  <c r="F34" i="11"/>
  <c r="K28" i="13"/>
  <c r="K28" i="11"/>
  <c r="G34" i="12"/>
  <c r="L28" i="11"/>
  <c r="F34" i="10"/>
  <c r="F37" i="10"/>
  <c r="F34" i="9"/>
  <c r="K34" i="9" s="1"/>
  <c r="E34" i="12"/>
  <c r="F36" i="10"/>
  <c r="K28" i="10"/>
  <c r="F33" i="13"/>
  <c r="F36" i="9"/>
  <c r="E35" i="9"/>
  <c r="I28" i="9"/>
  <c r="J28" i="9"/>
  <c r="F37" i="9"/>
  <c r="E35" i="10"/>
  <c r="G35" i="10" s="1"/>
  <c r="F36" i="11"/>
  <c r="H36" i="11" s="1"/>
  <c r="E35" i="12"/>
  <c r="G35" i="12" s="1"/>
  <c r="E33" i="13"/>
  <c r="E36" i="13"/>
  <c r="G36" i="13" s="1"/>
  <c r="I28" i="12"/>
  <c r="J28" i="11"/>
  <c r="H28" i="12"/>
  <c r="E35" i="13"/>
  <c r="G35" i="13" s="1"/>
  <c r="J28" i="13"/>
  <c r="E34" i="11"/>
  <c r="K34" i="11" s="1"/>
  <c r="E35" i="11"/>
  <c r="G35" i="11" s="1"/>
  <c r="E36" i="11"/>
  <c r="G36" i="11" s="1"/>
  <c r="E37" i="11"/>
  <c r="G37" i="11" s="1"/>
  <c r="D34" i="12"/>
  <c r="J34" i="12" s="1"/>
  <c r="D35" i="12"/>
  <c r="F35" i="12" s="1"/>
  <c r="D36" i="12"/>
  <c r="F36" i="12" s="1"/>
  <c r="F35" i="9"/>
  <c r="H36" i="10"/>
  <c r="D37" i="12"/>
  <c r="F37" i="12" s="1"/>
  <c r="F34" i="13"/>
  <c r="H34" i="13" s="1"/>
  <c r="E34" i="14"/>
  <c r="G34" i="14" s="1"/>
  <c r="G28" i="13"/>
  <c r="E36" i="9"/>
  <c r="E36" i="10"/>
  <c r="K36" i="10" s="1"/>
  <c r="H28" i="13"/>
  <c r="H28" i="9"/>
  <c r="E34" i="13"/>
  <c r="G28" i="9"/>
  <c r="I36" i="13"/>
  <c r="H33" i="12"/>
  <c r="E28" i="11"/>
  <c r="I33" i="11"/>
  <c r="E28" i="14"/>
  <c r="I35" i="13"/>
  <c r="I37" i="13"/>
  <c r="I34" i="10"/>
  <c r="F28" i="11"/>
  <c r="F28" i="10"/>
  <c r="F51" i="6"/>
  <c r="F61" i="6" s="1"/>
  <c r="I51" i="6"/>
  <c r="I61" i="6" s="1"/>
  <c r="E61" i="6"/>
  <c r="H66" i="6"/>
  <c r="F66" i="6"/>
  <c r="H51" i="6"/>
  <c r="H61" i="6" s="1"/>
  <c r="G66" i="6"/>
  <c r="E74" i="6"/>
  <c r="G71" i="6"/>
  <c r="I71" i="6"/>
  <c r="G51" i="6"/>
  <c r="G61" i="6" s="1"/>
  <c r="K8" i="1"/>
  <c r="H47" i="11" s="1"/>
  <c r="E26" i="6"/>
  <c r="G26" i="6"/>
  <c r="V13" i="4"/>
  <c r="V37" i="4" s="1"/>
  <c r="R16" i="4"/>
  <c r="R19" i="4" s="1"/>
  <c r="R42" i="4"/>
  <c r="AC18" i="4" s="1"/>
  <c r="F36" i="4"/>
  <c r="AC11" i="4" s="1"/>
  <c r="Z13" i="4" s="1"/>
  <c r="G63" i="4"/>
  <c r="L30" i="4"/>
  <c r="H30" i="4"/>
  <c r="F64" i="4"/>
  <c r="O40" i="4"/>
  <c r="K15" i="3"/>
  <c r="F16" i="4"/>
  <c r="F19" i="4" s="1"/>
  <c r="T30" i="4"/>
  <c r="H61" i="4"/>
  <c r="U19" i="4"/>
  <c r="E66" i="4"/>
  <c r="D57" i="4"/>
  <c r="D56" i="4" s="1"/>
  <c r="H63" i="4"/>
  <c r="G64" i="4"/>
  <c r="F66" i="4"/>
  <c r="G65" i="4"/>
  <c r="E16" i="4"/>
  <c r="O62" i="4" s="1"/>
  <c r="E57" i="4"/>
  <c r="D58" i="4"/>
  <c r="O60" i="4"/>
  <c r="I63" i="4"/>
  <c r="H64" i="4"/>
  <c r="G66" i="4"/>
  <c r="J74" i="4"/>
  <c r="J59" i="4" s="1"/>
  <c r="N16" i="4"/>
  <c r="N19" i="4" s="1"/>
  <c r="O37" i="4"/>
  <c r="G57" i="4"/>
  <c r="F58" i="4"/>
  <c r="E60" i="4"/>
  <c r="D61" i="4"/>
  <c r="O63" i="4"/>
  <c r="I66" i="4"/>
  <c r="F57" i="4"/>
  <c r="H57" i="4"/>
  <c r="G58" i="4"/>
  <c r="F60" i="4"/>
  <c r="E61" i="4"/>
  <c r="D63" i="4"/>
  <c r="O64" i="4"/>
  <c r="D60" i="4"/>
  <c r="H66" i="4"/>
  <c r="I57" i="4"/>
  <c r="H58" i="4"/>
  <c r="G60" i="4"/>
  <c r="F61" i="4"/>
  <c r="E63" i="4"/>
  <c r="D64" i="4"/>
  <c r="O66" i="4"/>
  <c r="E58" i="4"/>
  <c r="I58" i="4"/>
  <c r="G61" i="4"/>
  <c r="F63" i="4"/>
  <c r="E64" i="4"/>
  <c r="D66" i="4"/>
  <c r="O59" i="4"/>
  <c r="G62" i="4"/>
  <c r="L11" i="3"/>
  <c r="L15" i="3"/>
  <c r="L19" i="4"/>
  <c r="L43" i="4" s="1"/>
  <c r="J16" i="4"/>
  <c r="J19" i="4" s="1"/>
  <c r="J22" i="4" s="1"/>
  <c r="J24" i="4" s="1"/>
  <c r="T19" i="4"/>
  <c r="T22" i="4" s="1"/>
  <c r="R37" i="4"/>
  <c r="M16" i="4"/>
  <c r="M19" i="4" s="1"/>
  <c r="F59" i="4"/>
  <c r="F10" i="3"/>
  <c r="F13" i="3" s="1"/>
  <c r="M13" i="3" s="1"/>
  <c r="K11" i="3"/>
  <c r="D6" i="9"/>
  <c r="D24" i="9" s="1"/>
  <c r="L14" i="3"/>
  <c r="K12" i="3"/>
  <c r="N17" i="3"/>
  <c r="L12" i="3"/>
  <c r="N14" i="3"/>
  <c r="D14" i="13"/>
  <c r="D6" i="13"/>
  <c r="D34" i="13" s="1"/>
  <c r="C33" i="12"/>
  <c r="C14" i="12"/>
  <c r="C24" i="12"/>
  <c r="D23" i="13"/>
  <c r="E68" i="6"/>
  <c r="D10" i="3"/>
  <c r="K10" i="3" s="1"/>
  <c r="C8" i="5"/>
  <c r="M12" i="3"/>
  <c r="K14" i="3"/>
  <c r="N12" i="3"/>
  <c r="G10" i="3"/>
  <c r="N10" i="3" s="1"/>
  <c r="M15" i="3"/>
  <c r="E34" i="3"/>
  <c r="J11" i="3"/>
  <c r="K9" i="3"/>
  <c r="E10" i="3"/>
  <c r="E13" i="3" s="1"/>
  <c r="L13" i="3" s="1"/>
  <c r="N15" i="3"/>
  <c r="J18" i="3"/>
  <c r="E23" i="3"/>
  <c r="O43" i="4"/>
  <c r="F65" i="4"/>
  <c r="O22" i="4"/>
  <c r="C77" i="7"/>
  <c r="C34" i="3"/>
  <c r="J12" i="3"/>
  <c r="J17" i="3"/>
  <c r="O18" i="3"/>
  <c r="D59" i="4"/>
  <c r="G16" i="4"/>
  <c r="H59" i="4"/>
  <c r="F62" i="4"/>
  <c r="H36" i="12"/>
  <c r="I37" i="10"/>
  <c r="J9" i="3"/>
  <c r="S22" i="4"/>
  <c r="S37" i="4"/>
  <c r="S43" i="4"/>
  <c r="G59" i="4"/>
  <c r="F77" i="7"/>
  <c r="F23" i="3"/>
  <c r="F34" i="3"/>
  <c r="C59" i="4"/>
  <c r="Z35" i="4"/>
  <c r="W37" i="4"/>
  <c r="S40" i="4"/>
  <c r="AC20" i="4"/>
  <c r="Z45" i="4"/>
  <c r="K18" i="3"/>
  <c r="N11" i="3"/>
  <c r="M9" i="3"/>
  <c r="J14" i="3"/>
  <c r="M14" i="3"/>
  <c r="N18" i="3"/>
  <c r="I62" i="4"/>
  <c r="D40" i="4"/>
  <c r="C37" i="4"/>
  <c r="AC14" i="4"/>
  <c r="K17" i="3"/>
  <c r="I26" i="6"/>
  <c r="D23" i="3"/>
  <c r="M11" i="3"/>
  <c r="M32" i="7"/>
  <c r="L57" i="6"/>
  <c r="J57" i="6" s="1"/>
  <c r="M8" i="7"/>
  <c r="I97" i="6"/>
  <c r="J97" i="6" s="1"/>
  <c r="J23" i="6" s="1"/>
  <c r="I94" i="6"/>
  <c r="J94" i="6" s="1"/>
  <c r="J91" i="6"/>
  <c r="L34" i="6"/>
  <c r="J34" i="6" s="1"/>
  <c r="M30" i="7"/>
  <c r="M17" i="7"/>
  <c r="L49" i="6"/>
  <c r="J24" i="6"/>
  <c r="I93" i="6"/>
  <c r="J93" i="6" s="1"/>
  <c r="M29" i="7"/>
  <c r="M14" i="7"/>
  <c r="L48" i="6"/>
  <c r="J48" i="6" s="1"/>
  <c r="L32" i="6"/>
  <c r="J32" i="6" s="1"/>
  <c r="I95" i="6"/>
  <c r="J95" i="6" s="1"/>
  <c r="J21" i="6" s="1"/>
  <c r="J92" i="6"/>
  <c r="J30" i="6" s="1"/>
  <c r="I89" i="6"/>
  <c r="J89" i="6" s="1"/>
  <c r="G77" i="7"/>
  <c r="M28" i="7"/>
  <c r="L10" i="6"/>
  <c r="F8" i="5"/>
  <c r="M13" i="7"/>
  <c r="M9" i="7"/>
  <c r="L44" i="6"/>
  <c r="J44" i="6" s="1"/>
  <c r="L35" i="6"/>
  <c r="J35" i="6" s="1"/>
  <c r="G34" i="3"/>
  <c r="L9" i="3"/>
  <c r="M18" i="3"/>
  <c r="G23" i="3"/>
  <c r="E59" i="4"/>
  <c r="K16" i="4"/>
  <c r="N9" i="3"/>
  <c r="L17" i="3"/>
  <c r="P30" i="4"/>
  <c r="G37" i="4"/>
  <c r="H8" i="3"/>
  <c r="I65" i="4"/>
  <c r="D43" i="4"/>
  <c r="D22" i="4"/>
  <c r="D8" i="8"/>
  <c r="D13" i="8" s="1"/>
  <c r="H20" i="3"/>
  <c r="J56" i="6" s="1"/>
  <c r="H30" i="3"/>
  <c r="C10" i="3"/>
  <c r="J15" i="3"/>
  <c r="M17" i="3"/>
  <c r="L18" i="3"/>
  <c r="D37" i="4"/>
  <c r="L37" i="4"/>
  <c r="T37" i="4"/>
  <c r="C81" i="7"/>
  <c r="E33" i="11"/>
  <c r="G33" i="11" s="1"/>
  <c r="G28" i="11"/>
  <c r="G28" i="12"/>
  <c r="E33" i="12"/>
  <c r="G33" i="12" s="1"/>
  <c r="F68" i="6"/>
  <c r="F74" i="6"/>
  <c r="K74" i="6" s="1"/>
  <c r="P16" i="4"/>
  <c r="I59" i="4"/>
  <c r="H68" i="6"/>
  <c r="D81" i="7"/>
  <c r="G68" i="6"/>
  <c r="G74" i="6"/>
  <c r="D34" i="3"/>
  <c r="I16" i="4"/>
  <c r="Q16" i="4"/>
  <c r="P8" i="5"/>
  <c r="P19" i="5" s="1"/>
  <c r="P30" i="5" s="1"/>
  <c r="H7" i="5"/>
  <c r="D12" i="8"/>
  <c r="G27" i="5"/>
  <c r="E81" i="7"/>
  <c r="F81" i="7"/>
  <c r="I68" i="6"/>
  <c r="I74" i="6"/>
  <c r="G81" i="7"/>
  <c r="K28" i="12"/>
  <c r="C20" i="3"/>
  <c r="C30" i="3" s="1"/>
  <c r="P74" i="4"/>
  <c r="U74" i="4"/>
  <c r="F26" i="6"/>
  <c r="H26" i="6"/>
  <c r="K34" i="13"/>
  <c r="I66" i="6"/>
  <c r="G28" i="10"/>
  <c r="I35" i="10"/>
  <c r="F36" i="14"/>
  <c r="H36" i="14" s="1"/>
  <c r="F37" i="14"/>
  <c r="H37" i="14" s="1"/>
  <c r="E36" i="14"/>
  <c r="X37" i="5"/>
  <c r="E72" i="6"/>
  <c r="I28" i="10"/>
  <c r="D23" i="11"/>
  <c r="D33" i="11"/>
  <c r="D14" i="11"/>
  <c r="D6" i="11"/>
  <c r="H34" i="11"/>
  <c r="J28" i="12"/>
  <c r="F34" i="14"/>
  <c r="H28" i="14"/>
  <c r="I37" i="14"/>
  <c r="F12" i="5"/>
  <c r="E71" i="6"/>
  <c r="F72" i="6"/>
  <c r="K72" i="6" s="1"/>
  <c r="I80" i="7"/>
  <c r="D33" i="10"/>
  <c r="D14" i="10"/>
  <c r="J28" i="10"/>
  <c r="F35" i="10"/>
  <c r="H35" i="10" s="1"/>
  <c r="H37" i="10"/>
  <c r="I36" i="11"/>
  <c r="F28" i="12"/>
  <c r="D33" i="12"/>
  <c r="H35" i="12"/>
  <c r="I28" i="13"/>
  <c r="E37" i="13"/>
  <c r="G37" i="13" s="1"/>
  <c r="H74" i="6"/>
  <c r="D14" i="9"/>
  <c r="I33" i="10"/>
  <c r="D6" i="10"/>
  <c r="E33" i="10"/>
  <c r="I37" i="11"/>
  <c r="I34" i="11"/>
  <c r="H37" i="12"/>
  <c r="H34" i="12"/>
  <c r="F37" i="13"/>
  <c r="H37" i="13" s="1"/>
  <c r="H72" i="6"/>
  <c r="D33" i="9"/>
  <c r="H34" i="10"/>
  <c r="E28" i="13"/>
  <c r="I33" i="13"/>
  <c r="D24" i="13"/>
  <c r="L28" i="13"/>
  <c r="F33" i="14"/>
  <c r="H33" i="14" s="1"/>
  <c r="L28" i="14"/>
  <c r="E35" i="14"/>
  <c r="H9" i="6"/>
  <c r="H71" i="6"/>
  <c r="D15" i="9"/>
  <c r="D34" i="9"/>
  <c r="I36" i="10"/>
  <c r="E28" i="10"/>
  <c r="I35" i="11"/>
  <c r="E36" i="12"/>
  <c r="H33" i="13"/>
  <c r="F28" i="13"/>
  <c r="I34" i="13"/>
  <c r="G34" i="13"/>
  <c r="F35" i="13"/>
  <c r="I33" i="14"/>
  <c r="I34" i="14"/>
  <c r="I35" i="14"/>
  <c r="F35" i="14"/>
  <c r="H35" i="14" s="1"/>
  <c r="I9" i="6"/>
  <c r="D7" i="9"/>
  <c r="K28" i="9"/>
  <c r="F33" i="9"/>
  <c r="F33" i="10"/>
  <c r="E34" i="10"/>
  <c r="I28" i="11"/>
  <c r="F37" i="11"/>
  <c r="H37" i="11" s="1"/>
  <c r="H35" i="11"/>
  <c r="E37" i="12"/>
  <c r="D28" i="12"/>
  <c r="F28" i="14"/>
  <c r="I28" i="14"/>
  <c r="E37" i="9"/>
  <c r="E37" i="10"/>
  <c r="K37" i="10" s="1"/>
  <c r="D23" i="10"/>
  <c r="H28" i="10"/>
  <c r="F33" i="11"/>
  <c r="H28" i="11"/>
  <c r="E28" i="12"/>
  <c r="F36" i="13"/>
  <c r="H36" i="13" s="1"/>
  <c r="E33" i="14"/>
  <c r="G33" i="14" s="1"/>
  <c r="G28" i="14"/>
  <c r="E37" i="14"/>
  <c r="J28" i="14"/>
  <c r="I36" i="14"/>
  <c r="C7" i="12"/>
  <c r="C15" i="12"/>
  <c r="D6" i="14"/>
  <c r="D14" i="14"/>
  <c r="D33" i="14"/>
  <c r="H43" i="14" l="1"/>
  <c r="K33" i="13"/>
  <c r="J36" i="12"/>
  <c r="R40" i="4"/>
  <c r="K36" i="9"/>
  <c r="K35" i="11"/>
  <c r="K34" i="10"/>
  <c r="K35" i="9"/>
  <c r="K37" i="9"/>
  <c r="K36" i="11"/>
  <c r="J35" i="12"/>
  <c r="F38" i="9"/>
  <c r="E38" i="13"/>
  <c r="F34" i="12"/>
  <c r="K34" i="14"/>
  <c r="G33" i="13"/>
  <c r="G38" i="13" s="1"/>
  <c r="J37" i="12"/>
  <c r="G34" i="11"/>
  <c r="F38" i="13"/>
  <c r="H34" i="14"/>
  <c r="H38" i="14" s="1"/>
  <c r="K35" i="13"/>
  <c r="K35" i="10"/>
  <c r="F38" i="10"/>
  <c r="K35" i="14"/>
  <c r="G36" i="10"/>
  <c r="K37" i="14"/>
  <c r="F38" i="11"/>
  <c r="F38" i="14"/>
  <c r="H43" i="11"/>
  <c r="I39" i="11"/>
  <c r="H43" i="13"/>
  <c r="G43" i="12"/>
  <c r="H38" i="12"/>
  <c r="H43" i="10"/>
  <c r="H63" i="6"/>
  <c r="G63" i="6"/>
  <c r="I63" i="6"/>
  <c r="F63" i="6"/>
  <c r="E63" i="6"/>
  <c r="G82" i="6"/>
  <c r="G84" i="6" s="1"/>
  <c r="K9" i="1"/>
  <c r="G47" i="12" s="1"/>
  <c r="K66" i="6"/>
  <c r="I82" i="6"/>
  <c r="I84" i="6" s="1"/>
  <c r="H82" i="6"/>
  <c r="H84" i="6" s="1"/>
  <c r="V16" i="4"/>
  <c r="V40" i="4" s="1"/>
  <c r="U40" i="4"/>
  <c r="G13" i="3"/>
  <c r="F9" i="5" s="1"/>
  <c r="E19" i="4"/>
  <c r="E43" i="4" s="1"/>
  <c r="T43" i="4"/>
  <c r="F56" i="4"/>
  <c r="M40" i="4"/>
  <c r="N40" i="4"/>
  <c r="F40" i="4"/>
  <c r="P15" i="3"/>
  <c r="E16" i="3"/>
  <c r="H56" i="4"/>
  <c r="G56" i="4"/>
  <c r="E56" i="4"/>
  <c r="J57" i="4"/>
  <c r="J56" i="4" s="1"/>
  <c r="K74" i="4"/>
  <c r="K65" i="4" s="1"/>
  <c r="J63" i="4"/>
  <c r="J58" i="4"/>
  <c r="J66" i="4"/>
  <c r="J64" i="4"/>
  <c r="J61" i="4"/>
  <c r="J60" i="4"/>
  <c r="E40" i="4"/>
  <c r="F16" i="3"/>
  <c r="L10" i="3"/>
  <c r="M10" i="3"/>
  <c r="L22" i="4"/>
  <c r="L24" i="4" s="1"/>
  <c r="K69" i="4" s="1"/>
  <c r="J43" i="4"/>
  <c r="J46" i="4"/>
  <c r="J40" i="4"/>
  <c r="D13" i="3"/>
  <c r="K13" i="3" s="1"/>
  <c r="P12" i="3"/>
  <c r="D7" i="13"/>
  <c r="D15" i="13"/>
  <c r="P18" i="3"/>
  <c r="H20" i="7"/>
  <c r="P11" i="3"/>
  <c r="Z16" i="4"/>
  <c r="H13" i="3" s="1"/>
  <c r="Z37" i="4"/>
  <c r="H10" i="3"/>
  <c r="O10" i="3" s="1"/>
  <c r="H11" i="3"/>
  <c r="O11" i="3" s="1"/>
  <c r="Z38" i="4"/>
  <c r="H15" i="3"/>
  <c r="O15" i="3" s="1"/>
  <c r="Z42" i="4"/>
  <c r="I38" i="13"/>
  <c r="I39" i="13"/>
  <c r="M43" i="4"/>
  <c r="M22" i="4"/>
  <c r="D62" i="4"/>
  <c r="G40" i="4"/>
  <c r="G19" i="4"/>
  <c r="Z36" i="4"/>
  <c r="H9" i="3"/>
  <c r="O9" i="3" s="1"/>
  <c r="I38" i="11"/>
  <c r="I39" i="14"/>
  <c r="I38" i="14"/>
  <c r="G37" i="12"/>
  <c r="E38" i="10"/>
  <c r="H42" i="10" s="1"/>
  <c r="K33" i="10"/>
  <c r="K36" i="14"/>
  <c r="G36" i="14"/>
  <c r="Q74" i="4"/>
  <c r="P66" i="4"/>
  <c r="P64" i="4"/>
  <c r="P63" i="4"/>
  <c r="P62" i="4"/>
  <c r="P61" i="4"/>
  <c r="P60" i="4"/>
  <c r="P59" i="4"/>
  <c r="P58" i="4"/>
  <c r="P57" i="4"/>
  <c r="P56" i="4" s="1"/>
  <c r="Y40" i="4"/>
  <c r="Y19" i="4"/>
  <c r="E62" i="4"/>
  <c r="K19" i="4"/>
  <c r="K40" i="4"/>
  <c r="H11" i="7"/>
  <c r="H22" i="7"/>
  <c r="P9" i="3"/>
  <c r="R43" i="4"/>
  <c r="R22" i="4"/>
  <c r="J33" i="12"/>
  <c r="F33" i="12"/>
  <c r="D38" i="12"/>
  <c r="D24" i="11"/>
  <c r="D15" i="11"/>
  <c r="D7" i="11"/>
  <c r="D34" i="11"/>
  <c r="V74" i="4"/>
  <c r="U66" i="4"/>
  <c r="U65" i="4"/>
  <c r="U64" i="4"/>
  <c r="U63" i="4"/>
  <c r="U62" i="4"/>
  <c r="U61" i="4"/>
  <c r="U60" i="4"/>
  <c r="U59" i="4"/>
  <c r="U58" i="4"/>
  <c r="U57" i="4"/>
  <c r="D15" i="8"/>
  <c r="E13" i="8"/>
  <c r="D8" i="9"/>
  <c r="D16" i="9"/>
  <c r="D35" i="9"/>
  <c r="D25" i="9"/>
  <c r="D24" i="10"/>
  <c r="D34" i="10"/>
  <c r="D7" i="10"/>
  <c r="D15" i="10"/>
  <c r="Q40" i="4"/>
  <c r="Q19" i="4"/>
  <c r="X40" i="4"/>
  <c r="X19" i="4"/>
  <c r="K37" i="11"/>
  <c r="I67" i="4"/>
  <c r="D24" i="4"/>
  <c r="I69" i="4" s="1"/>
  <c r="D46" i="4"/>
  <c r="H28" i="7"/>
  <c r="P14" i="3"/>
  <c r="G37" i="10"/>
  <c r="O24" i="4"/>
  <c r="F69" i="4" s="1"/>
  <c r="O46" i="4"/>
  <c r="F67" i="4"/>
  <c r="E38" i="12"/>
  <c r="F43" i="4"/>
  <c r="F22" i="4"/>
  <c r="U67" i="4" s="1"/>
  <c r="U43" i="4"/>
  <c r="U22" i="4"/>
  <c r="H33" i="10"/>
  <c r="H38" i="10" s="1"/>
  <c r="I39" i="10"/>
  <c r="I38" i="10"/>
  <c r="H35" i="13"/>
  <c r="H38" i="13" s="1"/>
  <c r="I40" i="4"/>
  <c r="I19" i="4"/>
  <c r="P65" i="4" s="1"/>
  <c r="P40" i="4"/>
  <c r="P19" i="4"/>
  <c r="H14" i="7"/>
  <c r="H17" i="7"/>
  <c r="J23" i="3"/>
  <c r="N43" i="4"/>
  <c r="N22" i="4"/>
  <c r="P17" i="3"/>
  <c r="K33" i="9"/>
  <c r="D24" i="14"/>
  <c r="D15" i="14"/>
  <c r="D7" i="14"/>
  <c r="D34" i="14"/>
  <c r="H39" i="12"/>
  <c r="G36" i="12"/>
  <c r="G33" i="10"/>
  <c r="K37" i="13"/>
  <c r="K36" i="13"/>
  <c r="H40" i="4"/>
  <c r="J62" i="4"/>
  <c r="H19" i="4"/>
  <c r="K33" i="11"/>
  <c r="E38" i="11"/>
  <c r="T24" i="4"/>
  <c r="T46" i="4"/>
  <c r="H9" i="7"/>
  <c r="H29" i="7"/>
  <c r="H8" i="7"/>
  <c r="H77" i="7" s="1"/>
  <c r="G28" i="5" s="1"/>
  <c r="C35" i="12"/>
  <c r="C25" i="12"/>
  <c r="C8" i="12"/>
  <c r="C16" i="12"/>
  <c r="E38" i="14"/>
  <c r="K33" i="14"/>
  <c r="G35" i="14"/>
  <c r="G34" i="10"/>
  <c r="H33" i="11"/>
  <c r="H38" i="11" s="1"/>
  <c r="E38" i="9"/>
  <c r="C13" i="3"/>
  <c r="J10" i="3"/>
  <c r="H17" i="3"/>
  <c r="Z44" i="4"/>
  <c r="H13" i="7"/>
  <c r="H62" i="4"/>
  <c r="W40" i="4"/>
  <c r="W19" i="4"/>
  <c r="G38" i="11"/>
  <c r="G37" i="14"/>
  <c r="F82" i="6"/>
  <c r="K80" i="6"/>
  <c r="E12" i="8"/>
  <c r="I7" i="5"/>
  <c r="H27" i="5"/>
  <c r="Y8" i="5"/>
  <c r="Y19" i="5" s="1"/>
  <c r="Y30" i="5" s="1"/>
  <c r="K68" i="6"/>
  <c r="I81" i="7"/>
  <c r="Z41" i="4"/>
  <c r="H14" i="3"/>
  <c r="O14" i="3" s="1"/>
  <c r="H19" i="7"/>
  <c r="O12" i="3"/>
  <c r="H23" i="3"/>
  <c r="G4" i="5" s="1"/>
  <c r="G8" i="5" s="1"/>
  <c r="H34" i="3"/>
  <c r="H48" i="10" s="1"/>
  <c r="H30" i="7"/>
  <c r="H32" i="7"/>
  <c r="C62" i="4"/>
  <c r="C19" i="4"/>
  <c r="C40" i="4"/>
  <c r="S24" i="4"/>
  <c r="G69" i="4" s="1"/>
  <c r="S46" i="4"/>
  <c r="G67" i="4"/>
  <c r="I77" i="7"/>
  <c r="F38" i="12" l="1"/>
  <c r="L6" i="6"/>
  <c r="F22" i="5"/>
  <c r="E25" i="3"/>
  <c r="E7" i="7"/>
  <c r="E24" i="7" s="1"/>
  <c r="E57" i="7" s="1"/>
  <c r="F19" i="3"/>
  <c r="F29" i="3" s="1"/>
  <c r="F7" i="7"/>
  <c r="F24" i="7" s="1"/>
  <c r="F57" i="7" s="1"/>
  <c r="H37" i="7"/>
  <c r="J40" i="6"/>
  <c r="C9" i="5"/>
  <c r="C14" i="5" s="1"/>
  <c r="C15" i="5" s="1"/>
  <c r="H42" i="13"/>
  <c r="H45" i="13" s="1"/>
  <c r="K39" i="13"/>
  <c r="H42" i="14"/>
  <c r="H45" i="14" s="1"/>
  <c r="H42" i="11"/>
  <c r="H45" i="11" s="1"/>
  <c r="G38" i="12"/>
  <c r="G38" i="14"/>
  <c r="F13" i="5"/>
  <c r="J25" i="6"/>
  <c r="J15" i="6"/>
  <c r="V19" i="4"/>
  <c r="V43" i="4" s="1"/>
  <c r="N13" i="3"/>
  <c r="G16" i="3"/>
  <c r="F25" i="3"/>
  <c r="P10" i="3"/>
  <c r="D16" i="3"/>
  <c r="E22" i="4"/>
  <c r="E46" i="4" s="1"/>
  <c r="O65" i="4"/>
  <c r="E19" i="3"/>
  <c r="L16" i="3"/>
  <c r="M16" i="3"/>
  <c r="L46" i="4"/>
  <c r="K67" i="4"/>
  <c r="H43" i="7"/>
  <c r="H54" i="7" s="1"/>
  <c r="K64" i="4"/>
  <c r="K63" i="4"/>
  <c r="K62" i="4"/>
  <c r="K60" i="4"/>
  <c r="K61" i="4"/>
  <c r="L74" i="4"/>
  <c r="L65" i="4" s="1"/>
  <c r="K59" i="4"/>
  <c r="K58" i="4"/>
  <c r="K66" i="4"/>
  <c r="K57" i="4"/>
  <c r="K56" i="4" s="1"/>
  <c r="D35" i="13"/>
  <c r="D25" i="13"/>
  <c r="D16" i="13"/>
  <c r="D8" i="13"/>
  <c r="G11" i="5"/>
  <c r="H8" i="5"/>
  <c r="K39" i="14"/>
  <c r="K38" i="14"/>
  <c r="H43" i="4"/>
  <c r="H22" i="4"/>
  <c r="J65" i="4"/>
  <c r="K39" i="9"/>
  <c r="K38" i="9"/>
  <c r="K38" i="13"/>
  <c r="J50" i="6"/>
  <c r="D35" i="11"/>
  <c r="D25" i="11"/>
  <c r="D16" i="11"/>
  <c r="D8" i="11"/>
  <c r="Y43" i="4"/>
  <c r="Y22" i="4"/>
  <c r="C65" i="4"/>
  <c r="C43" i="4"/>
  <c r="C22" i="4"/>
  <c r="H54" i="10"/>
  <c r="H50" i="10"/>
  <c r="J7" i="5"/>
  <c r="F12" i="8"/>
  <c r="I27" i="5"/>
  <c r="O17" i="3"/>
  <c r="Q43" i="4"/>
  <c r="Q22" i="4"/>
  <c r="H28" i="5"/>
  <c r="I28" i="5" s="1"/>
  <c r="R10" i="5"/>
  <c r="U24" i="4"/>
  <c r="U46" i="4"/>
  <c r="K39" i="10"/>
  <c r="K38" i="10"/>
  <c r="W43" i="4"/>
  <c r="H65" i="4"/>
  <c r="W22" i="4"/>
  <c r="C16" i="3"/>
  <c r="C7" i="7" s="1"/>
  <c r="C24" i="7" s="1"/>
  <c r="C57" i="7" s="1"/>
  <c r="J13" i="3"/>
  <c r="C26" i="12"/>
  <c r="C36" i="12"/>
  <c r="C9" i="12"/>
  <c r="C17" i="12"/>
  <c r="P43" i="4"/>
  <c r="P22" i="4"/>
  <c r="G42" i="12"/>
  <c r="H51" i="10"/>
  <c r="G29" i="5"/>
  <c r="O13" i="3"/>
  <c r="F84" i="6"/>
  <c r="K84" i="6" s="1"/>
  <c r="K82" i="6"/>
  <c r="H42" i="9"/>
  <c r="H62" i="7"/>
  <c r="H80" i="7"/>
  <c r="H81" i="7" s="1"/>
  <c r="G30" i="5" s="1"/>
  <c r="N46" i="4"/>
  <c r="N24" i="4"/>
  <c r="F46" i="4"/>
  <c r="F24" i="4"/>
  <c r="U69" i="4" s="1"/>
  <c r="D36" i="9"/>
  <c r="D26" i="9"/>
  <c r="D17" i="9"/>
  <c r="D9" i="9"/>
  <c r="D65" i="4"/>
  <c r="G43" i="4"/>
  <c r="G22" i="4"/>
  <c r="G38" i="10"/>
  <c r="D25" i="14"/>
  <c r="D16" i="14"/>
  <c r="D8" i="14"/>
  <c r="D35" i="14"/>
  <c r="I43" i="4"/>
  <c r="I22" i="4"/>
  <c r="J38" i="12"/>
  <c r="J39" i="12"/>
  <c r="H45" i="10"/>
  <c r="H56" i="10" s="1"/>
  <c r="H21" i="7"/>
  <c r="D25" i="10"/>
  <c r="D16" i="10"/>
  <c r="D8" i="10"/>
  <c r="D35" i="10"/>
  <c r="E15" i="8"/>
  <c r="F13" i="8"/>
  <c r="W74" i="4"/>
  <c r="V66" i="4"/>
  <c r="V61" i="4"/>
  <c r="V59" i="4"/>
  <c r="V65" i="4"/>
  <c r="V60" i="4"/>
  <c r="V69" i="4"/>
  <c r="V67" i="4"/>
  <c r="V64" i="4"/>
  <c r="V62" i="4"/>
  <c r="V57" i="4"/>
  <c r="V56" i="4" s="1"/>
  <c r="V63" i="4"/>
  <c r="V58" i="4"/>
  <c r="E65" i="4"/>
  <c r="K43" i="4"/>
  <c r="K22" i="4"/>
  <c r="H53" i="10"/>
  <c r="K39" i="11"/>
  <c r="K38" i="11"/>
  <c r="X43" i="4"/>
  <c r="X22" i="4"/>
  <c r="R24" i="4"/>
  <c r="R46" i="4"/>
  <c r="R74" i="4"/>
  <c r="Q67" i="4"/>
  <c r="Q66" i="4"/>
  <c r="Q65" i="4"/>
  <c r="Q64" i="4"/>
  <c r="Q63" i="4"/>
  <c r="Q62" i="4"/>
  <c r="Q61" i="4"/>
  <c r="Q60" i="4"/>
  <c r="Q59" i="4"/>
  <c r="Q58" i="4"/>
  <c r="Q57" i="4"/>
  <c r="Q56" i="4" s="1"/>
  <c r="M24" i="4"/>
  <c r="Q69" i="4" s="1"/>
  <c r="M46" i="4"/>
  <c r="Z19" i="4"/>
  <c r="H16" i="3" s="1"/>
  <c r="Z40" i="4"/>
  <c r="M19" i="3" l="1"/>
  <c r="E24" i="4"/>
  <c r="O69" i="4" s="1"/>
  <c r="D19" i="3"/>
  <c r="D29" i="3" s="1"/>
  <c r="D7" i="7"/>
  <c r="D24" i="7" s="1"/>
  <c r="D57" i="7" s="1"/>
  <c r="G19" i="3"/>
  <c r="G7" i="7"/>
  <c r="G24" i="7" s="1"/>
  <c r="G57" i="7" s="1"/>
  <c r="J80" i="6"/>
  <c r="J82" i="6" s="1"/>
  <c r="J84" i="6" s="1"/>
  <c r="G31" i="5" s="1"/>
  <c r="H31" i="5" s="1"/>
  <c r="I31" i="5" s="1"/>
  <c r="V22" i="4"/>
  <c r="V46" i="4" s="1"/>
  <c r="P13" i="3"/>
  <c r="G25" i="3"/>
  <c r="N16" i="3"/>
  <c r="K16" i="3"/>
  <c r="D25" i="3"/>
  <c r="O67" i="4"/>
  <c r="L19" i="3"/>
  <c r="E29" i="3"/>
  <c r="E16" i="9" s="1"/>
  <c r="L59" i="4"/>
  <c r="M74" i="4"/>
  <c r="L58" i="4"/>
  <c r="L57" i="4"/>
  <c r="L56" i="4" s="1"/>
  <c r="L64" i="4"/>
  <c r="L66" i="4"/>
  <c r="L63" i="4"/>
  <c r="L61" i="4"/>
  <c r="L60" i="4"/>
  <c r="L62" i="4"/>
  <c r="J26" i="6"/>
  <c r="D36" i="13"/>
  <c r="D26" i="13"/>
  <c r="D17" i="13"/>
  <c r="D9" i="13"/>
  <c r="D17" i="10"/>
  <c r="D9" i="10"/>
  <c r="D36" i="10"/>
  <c r="D26" i="10"/>
  <c r="D67" i="4"/>
  <c r="G24" i="4"/>
  <c r="D69" i="4" s="1"/>
  <c r="G46" i="4"/>
  <c r="W24" i="4"/>
  <c r="H69" i="4" s="1"/>
  <c r="W46" i="4"/>
  <c r="H67" i="4"/>
  <c r="Y46" i="4"/>
  <c r="Y24" i="4"/>
  <c r="X24" i="4"/>
  <c r="X46" i="4"/>
  <c r="D17" i="11"/>
  <c r="D9" i="11"/>
  <c r="D36" i="11"/>
  <c r="D26" i="11"/>
  <c r="E67" i="4"/>
  <c r="K24" i="4"/>
  <c r="E69" i="4" s="1"/>
  <c r="K46" i="4"/>
  <c r="X74" i="4"/>
  <c r="W66" i="4"/>
  <c r="W61" i="4"/>
  <c r="W59" i="4"/>
  <c r="W63" i="4"/>
  <c r="W58" i="4"/>
  <c r="W67" i="4"/>
  <c r="W64" i="4"/>
  <c r="W62" i="4"/>
  <c r="W57" i="4"/>
  <c r="W56" i="4" s="1"/>
  <c r="W69" i="4"/>
  <c r="W65" i="4"/>
  <c r="W60" i="4"/>
  <c r="I46" i="4"/>
  <c r="I24" i="4"/>
  <c r="P69" i="4" s="1"/>
  <c r="P67" i="4"/>
  <c r="D27" i="9"/>
  <c r="D37" i="9"/>
  <c r="D18" i="9"/>
  <c r="G9" i="5"/>
  <c r="H29" i="5"/>
  <c r="H19" i="3"/>
  <c r="O16" i="3"/>
  <c r="C37" i="12"/>
  <c r="C18" i="12"/>
  <c r="C27" i="12"/>
  <c r="F15" i="8"/>
  <c r="G13" i="8"/>
  <c r="O13" i="5"/>
  <c r="H30" i="5"/>
  <c r="G12" i="5"/>
  <c r="C18" i="5"/>
  <c r="F10" i="5" s="1"/>
  <c r="Q46" i="4"/>
  <c r="Q24" i="4"/>
  <c r="R69" i="4" s="1"/>
  <c r="H25" i="3"/>
  <c r="Z22" i="4"/>
  <c r="Z43" i="4"/>
  <c r="S74" i="4"/>
  <c r="R67" i="4"/>
  <c r="R66" i="4"/>
  <c r="R65" i="4"/>
  <c r="R64" i="4"/>
  <c r="R63" i="4"/>
  <c r="R62" i="4"/>
  <c r="R61" i="4"/>
  <c r="R60" i="4"/>
  <c r="R59" i="4"/>
  <c r="R58" i="4"/>
  <c r="R57" i="4"/>
  <c r="R56" i="4" s="1"/>
  <c r="E17" i="9"/>
  <c r="F31" i="3"/>
  <c r="G45" i="12"/>
  <c r="C67" i="4"/>
  <c r="C24" i="4"/>
  <c r="C69" i="4" s="1"/>
  <c r="C46" i="4"/>
  <c r="H11" i="5"/>
  <c r="I8" i="5"/>
  <c r="E67" i="7"/>
  <c r="E68" i="7"/>
  <c r="E61" i="7"/>
  <c r="E63" i="7" s="1"/>
  <c r="K7" i="5"/>
  <c r="G12" i="8"/>
  <c r="J27" i="5"/>
  <c r="F67" i="7"/>
  <c r="F68" i="7"/>
  <c r="F61" i="7"/>
  <c r="F63" i="7" s="1"/>
  <c r="D26" i="14"/>
  <c r="D17" i="14"/>
  <c r="D9" i="14"/>
  <c r="D36" i="14"/>
  <c r="P24" i="4"/>
  <c r="L69" i="4" s="1"/>
  <c r="P46" i="4"/>
  <c r="L67" i="4"/>
  <c r="C19" i="3"/>
  <c r="J16" i="3"/>
  <c r="C25" i="3"/>
  <c r="J51" i="6"/>
  <c r="H24" i="4"/>
  <c r="J69" i="4" s="1"/>
  <c r="H46" i="4"/>
  <c r="J67" i="4"/>
  <c r="K19" i="3" l="1"/>
  <c r="N19" i="3"/>
  <c r="G29" i="3"/>
  <c r="E18" i="9" s="1"/>
  <c r="V24" i="4"/>
  <c r="K5" i="1" s="1"/>
  <c r="H47" i="9" s="1"/>
  <c r="E31" i="3"/>
  <c r="J25" i="3"/>
  <c r="P16" i="3"/>
  <c r="M66" i="4"/>
  <c r="M58" i="4"/>
  <c r="M60" i="4"/>
  <c r="M67" i="4"/>
  <c r="M65" i="4"/>
  <c r="M57" i="4"/>
  <c r="M56" i="4" s="1"/>
  <c r="M64" i="4"/>
  <c r="M63" i="4"/>
  <c r="M69" i="4"/>
  <c r="M59" i="4"/>
  <c r="N74" i="4"/>
  <c r="N69" i="4" s="1"/>
  <c r="M62" i="4"/>
  <c r="M61" i="4"/>
  <c r="G13" i="5"/>
  <c r="H13" i="5"/>
  <c r="D37" i="13"/>
  <c r="D27" i="13"/>
  <c r="D18" i="13"/>
  <c r="I30" i="5"/>
  <c r="H12" i="5"/>
  <c r="H9" i="5"/>
  <c r="H10" i="5" s="1"/>
  <c r="I29" i="5"/>
  <c r="C29" i="3"/>
  <c r="J19" i="3"/>
  <c r="F71" i="7"/>
  <c r="F72" i="7"/>
  <c r="H12" i="8"/>
  <c r="K27" i="5"/>
  <c r="G10" i="5"/>
  <c r="I11" i="5"/>
  <c r="J8" i="5"/>
  <c r="I13" i="5"/>
  <c r="E26" i="9"/>
  <c r="F26" i="9"/>
  <c r="H36" i="9" s="1"/>
  <c r="J59" i="6"/>
  <c r="B2" i="2" s="1"/>
  <c r="H7" i="7"/>
  <c r="H24" i="7" s="1"/>
  <c r="O19" i="3"/>
  <c r="H29" i="3"/>
  <c r="B3" i="2"/>
  <c r="E71" i="7"/>
  <c r="E72" i="7"/>
  <c r="C19" i="5"/>
  <c r="C22" i="5" s="1"/>
  <c r="F14" i="5"/>
  <c r="H13" i="8"/>
  <c r="G15" i="8"/>
  <c r="D27" i="10"/>
  <c r="D18" i="10"/>
  <c r="D37" i="10"/>
  <c r="D27" i="11"/>
  <c r="D37" i="11"/>
  <c r="D18" i="11"/>
  <c r="E15" i="9"/>
  <c r="D31" i="3"/>
  <c r="D37" i="14"/>
  <c r="D18" i="14"/>
  <c r="D27" i="14"/>
  <c r="T74" i="4"/>
  <c r="S69" i="4"/>
  <c r="S67" i="4"/>
  <c r="S66" i="4"/>
  <c r="S65" i="4"/>
  <c r="S64" i="4"/>
  <c r="S63" i="4"/>
  <c r="S62" i="4"/>
  <c r="S61" i="4"/>
  <c r="S60" i="4"/>
  <c r="S59" i="4"/>
  <c r="S58" i="4"/>
  <c r="S57" i="4"/>
  <c r="S56" i="4" s="1"/>
  <c r="Y74" i="4"/>
  <c r="X69" i="4"/>
  <c r="X67" i="4"/>
  <c r="X66" i="4"/>
  <c r="X65" i="4"/>
  <c r="X64" i="4"/>
  <c r="X63" i="4"/>
  <c r="X62" i="4"/>
  <c r="X61" i="4"/>
  <c r="X60" i="4"/>
  <c r="X59" i="4"/>
  <c r="X58" i="4"/>
  <c r="X57" i="4"/>
  <c r="X56" i="4" s="1"/>
  <c r="Z24" i="4"/>
  <c r="Z46" i="4"/>
  <c r="F25" i="9"/>
  <c r="H35" i="9" s="1"/>
  <c r="E25" i="9"/>
  <c r="D67" i="7"/>
  <c r="D68" i="7"/>
  <c r="D61" i="7"/>
  <c r="D63" i="7" s="1"/>
  <c r="G67" i="7"/>
  <c r="G68" i="7"/>
  <c r="G61" i="7"/>
  <c r="G63" i="7" s="1"/>
  <c r="G31" i="3" l="1"/>
  <c r="P19" i="3"/>
  <c r="N64" i="4"/>
  <c r="N65" i="4"/>
  <c r="N60" i="4"/>
  <c r="N62" i="4"/>
  <c r="N58" i="4"/>
  <c r="N66" i="4"/>
  <c r="N61" i="4"/>
  <c r="N59" i="4"/>
  <c r="N57" i="4"/>
  <c r="N56" i="4" s="1"/>
  <c r="N67" i="4"/>
  <c r="N63" i="4"/>
  <c r="G35" i="9"/>
  <c r="I35" i="9"/>
  <c r="H48" i="9"/>
  <c r="H31" i="3"/>
  <c r="D6" i="8" s="1"/>
  <c r="J11" i="5"/>
  <c r="K8" i="5"/>
  <c r="K9" i="5" s="1"/>
  <c r="K10" i="5" s="1"/>
  <c r="J13" i="5"/>
  <c r="E14" i="9"/>
  <c r="C31" i="3"/>
  <c r="F24" i="9"/>
  <c r="H34" i="9" s="1"/>
  <c r="E24" i="9"/>
  <c r="G71" i="7"/>
  <c r="G72" i="7"/>
  <c r="Z74" i="4"/>
  <c r="Y69" i="4"/>
  <c r="Y67" i="4"/>
  <c r="Y66" i="4"/>
  <c r="Y65" i="4"/>
  <c r="Y64" i="4"/>
  <c r="Y63" i="4"/>
  <c r="Y62" i="4"/>
  <c r="Y61" i="4"/>
  <c r="Y60" i="4"/>
  <c r="Y59" i="4"/>
  <c r="Y58" i="4"/>
  <c r="Y57" i="4"/>
  <c r="Y56" i="4" s="1"/>
  <c r="T69" i="4"/>
  <c r="T67" i="4"/>
  <c r="T66" i="4"/>
  <c r="T65" i="4"/>
  <c r="T64" i="4"/>
  <c r="T63" i="4"/>
  <c r="T62" i="4"/>
  <c r="T61" i="4"/>
  <c r="T60" i="4"/>
  <c r="T59" i="4"/>
  <c r="T58" i="4"/>
  <c r="T57" i="4"/>
  <c r="T56" i="4" s="1"/>
  <c r="H14" i="8"/>
  <c r="H15" i="8" s="1"/>
  <c r="D23" i="8" s="1" a="1"/>
  <c r="D23" i="8" s="1"/>
  <c r="D25" i="8" s="1"/>
  <c r="F7" i="1" s="1"/>
  <c r="C60" i="7"/>
  <c r="C67" i="7"/>
  <c r="I67" i="7" s="1"/>
  <c r="C68" i="7"/>
  <c r="I68" i="7" s="1"/>
  <c r="C61" i="7"/>
  <c r="C63" i="7" s="1"/>
  <c r="H67" i="7"/>
  <c r="H68" i="7"/>
  <c r="H48" i="14" s="1"/>
  <c r="H61" i="7"/>
  <c r="H63" i="7" s="1"/>
  <c r="H57" i="7"/>
  <c r="G14" i="5"/>
  <c r="G16" i="5" s="1"/>
  <c r="D17" i="8"/>
  <c r="D18" i="8" s="1"/>
  <c r="J9" i="5"/>
  <c r="J10" i="5" s="1"/>
  <c r="I9" i="5"/>
  <c r="I10" i="5" s="1"/>
  <c r="O35" i="5"/>
  <c r="J71" i="6"/>
  <c r="J72" i="6"/>
  <c r="J74" i="6"/>
  <c r="G48" i="12" s="1"/>
  <c r="J61" i="6"/>
  <c r="J63" i="6" s="1"/>
  <c r="J66" i="6"/>
  <c r="J68" i="6"/>
  <c r="H48" i="11" s="1"/>
  <c r="E17" i="8"/>
  <c r="E18" i="8" s="1"/>
  <c r="H14" i="5"/>
  <c r="H16" i="5" s="1"/>
  <c r="F27" i="9"/>
  <c r="H37" i="9" s="1"/>
  <c r="E27" i="9"/>
  <c r="D72" i="7"/>
  <c r="D71" i="7"/>
  <c r="I36" i="9"/>
  <c r="G36" i="9"/>
  <c r="J12" i="5"/>
  <c r="I12" i="5"/>
  <c r="H72" i="7" l="1"/>
  <c r="H48" i="13" s="1"/>
  <c r="H53" i="13" s="1"/>
  <c r="H71" i="7"/>
  <c r="D58" i="7"/>
  <c r="D60" i="7" s="1"/>
  <c r="H32" i="3"/>
  <c r="K12" i="5"/>
  <c r="C72" i="7"/>
  <c r="I72" i="7" s="1"/>
  <c r="C71" i="7"/>
  <c r="I71" i="7" s="1"/>
  <c r="G54" i="12"/>
  <c r="G50" i="12"/>
  <c r="G53" i="12"/>
  <c r="G51" i="12"/>
  <c r="G56" i="12"/>
  <c r="H17" i="8"/>
  <c r="H18" i="8" s="1"/>
  <c r="Z69" i="4"/>
  <c r="Z67" i="4"/>
  <c r="Z66" i="4"/>
  <c r="Z65" i="4"/>
  <c r="Z64" i="4"/>
  <c r="Z63" i="4"/>
  <c r="Z62" i="4"/>
  <c r="Z61" i="4"/>
  <c r="Z60" i="4"/>
  <c r="Z59" i="4"/>
  <c r="Z58" i="4"/>
  <c r="Z57" i="4"/>
  <c r="Z56" i="4" s="1"/>
  <c r="K13" i="5"/>
  <c r="K11" i="5"/>
  <c r="J14" i="5"/>
  <c r="J16" i="5" s="1"/>
  <c r="G17" i="8"/>
  <c r="G18" i="8" s="1"/>
  <c r="G37" i="9"/>
  <c r="I37" i="9"/>
  <c r="I34" i="9"/>
  <c r="G34" i="9"/>
  <c r="H54" i="9"/>
  <c r="H53" i="9"/>
  <c r="H51" i="9"/>
  <c r="O36" i="5"/>
  <c r="O34" i="5"/>
  <c r="O33" i="5" s="1"/>
  <c r="O37" i="5"/>
  <c r="H54" i="11"/>
  <c r="H50" i="11"/>
  <c r="H53" i="11"/>
  <c r="H56" i="11"/>
  <c r="H51" i="11"/>
  <c r="H54" i="14"/>
  <c r="H50" i="14"/>
  <c r="H53" i="14"/>
  <c r="H56" i="14"/>
  <c r="H51" i="14"/>
  <c r="I14" i="5"/>
  <c r="I16" i="5" s="1"/>
  <c r="F17" i="8"/>
  <c r="F18" i="8" s="1"/>
  <c r="F23" i="9"/>
  <c r="E23" i="9"/>
  <c r="H50" i="9"/>
  <c r="H50" i="13" l="1"/>
  <c r="H56" i="13"/>
  <c r="H51" i="13"/>
  <c r="H54" i="13"/>
  <c r="E58" i="7"/>
  <c r="E60" i="7" s="1"/>
  <c r="F58" i="7" s="1"/>
  <c r="F60" i="7" s="1"/>
  <c r="G58" i="7" s="1"/>
  <c r="G60" i="7" s="1"/>
  <c r="H58" i="7" s="1"/>
  <c r="H60" i="7" s="1"/>
  <c r="D7" i="8"/>
  <c r="D10" i="8" s="1"/>
  <c r="K14" i="5"/>
  <c r="K15" i="5" s="1"/>
  <c r="K16" i="5" s="1"/>
  <c r="F19" i="5" s="1" a="1"/>
  <c r="F19" i="5" s="1"/>
  <c r="F21" i="5" s="1"/>
  <c r="F23" i="5" s="1"/>
  <c r="H33" i="9"/>
  <c r="H38" i="9" s="1"/>
  <c r="F28" i="9"/>
  <c r="I33" i="9"/>
  <c r="G33" i="9"/>
  <c r="G38" i="9" s="1"/>
  <c r="E28" i="9"/>
  <c r="F10" i="8" l="1"/>
  <c r="H10" i="8"/>
  <c r="G10" i="8"/>
  <c r="E10" i="8"/>
  <c r="F25" i="5"/>
  <c r="X22" i="5" s="1"/>
  <c r="H43" i="9"/>
  <c r="H45" i="9" s="1"/>
  <c r="H56" i="9" s="1"/>
  <c r="F9" i="1" s="1"/>
  <c r="I38" i="9"/>
  <c r="I39" i="9"/>
  <c r="F8" i="1" l="1"/>
  <c r="F19" i="1" s="1"/>
  <c r="X10" i="5"/>
  <c r="O32" i="5"/>
  <c r="O10" i="5"/>
  <c r="X32" i="5"/>
  <c r="O22" i="5"/>
  <c r="F20" i="1" l="1"/>
  <c r="F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3" authorId="0" shapeId="0" xr:uid="{00000000-0006-0000-0000-000001000000}">
      <text>
        <r>
          <rPr>
            <sz val="10"/>
            <color rgb="FF000000"/>
            <rFont val="Verdana"/>
            <family val="2"/>
          </rPr>
          <t>mepperly:
All of this data can be found on Morningstar</t>
        </r>
      </text>
    </comment>
    <comment ref="J5" authorId="0" shapeId="0" xr:uid="{00000000-0006-0000-0000-000002000000}">
      <text>
        <r>
          <rPr>
            <sz val="10"/>
            <color rgb="FF000000"/>
            <rFont val="Verdana"/>
            <family val="2"/>
          </rPr>
          <t>Denis P:
EPS TTM (Trailing 12 Months). This is the EPS from the last 4 quarters that the company reported.</t>
        </r>
      </text>
    </comment>
    <comment ref="J6" authorId="0" shapeId="0" xr:uid="{00000000-0006-0000-0000-000003000000}">
      <text>
        <r>
          <rPr>
            <sz val="10"/>
            <color rgb="FF000000"/>
            <rFont val="Verdana"/>
            <family val="2"/>
          </rPr>
          <t>Denis P:
This is the sum of the last 4 dividends paid by the company.</t>
        </r>
      </text>
    </comment>
    <comment ref="J7" authorId="0" shapeId="0" xr:uid="{00000000-0006-0000-0000-000004000000}">
      <text>
        <r>
          <rPr>
            <sz val="10"/>
            <color rgb="FF000000"/>
            <rFont val="Verdana"/>
            <family val="2"/>
          </rPr>
          <t>Denis P:
Calculate the trailing 12-month number of SPS (Sales Per Share)</t>
        </r>
      </text>
    </comment>
    <comment ref="J8" authorId="0" shapeId="0" xr:uid="{00000000-0006-0000-0000-000005000000}">
      <text>
        <r>
          <rPr>
            <sz val="10"/>
            <color rgb="FF000000"/>
            <rFont val="Verdana"/>
            <family val="2"/>
          </rPr>
          <t>Manny E:
Calculate the trailing 12-month number of BPS (Book Value Per Share)</t>
        </r>
      </text>
    </comment>
    <comment ref="J9" authorId="0" shapeId="0" xr:uid="{00000000-0006-0000-0000-000006000000}">
      <text>
        <r>
          <rPr>
            <sz val="10"/>
            <color rgb="FF000000"/>
            <rFont val="Verdana"/>
            <family val="2"/>
          </rPr>
          <t>Manny E:
Calculate the trailing 12-month number for TBVPS (Tangible Book Value Per Share)
TBVPS = (Total Assets - Intangible Assets - Goodwill - Total Liabilities)  
                                       Diluted Shares Outstanding</t>
        </r>
      </text>
    </comment>
    <comment ref="G10" authorId="0" shapeId="0" xr:uid="{00000000-0006-0000-0000-000007000000}">
      <text>
        <r>
          <rPr>
            <sz val="10"/>
            <color rgb="FF000000"/>
            <rFont val="Verdana"/>
            <family val="2"/>
          </rPr>
          <t>Manny:
Unless the Relative Earnings Valuation is severely skewed by negative numbers or a lack of data, no weight should be applied to the P/S Model</t>
        </r>
      </text>
    </comment>
    <comment ref="J10" authorId="0" shapeId="0" xr:uid="{00000000-0006-0000-0000-000008000000}">
      <text>
        <r>
          <rPr>
            <sz val="10"/>
            <color rgb="FF000000"/>
            <rFont val="Verdana"/>
            <family val="2"/>
          </rPr>
          <t xml:space="preserve">Manny E:
Calculate the trailing 12-month CFOPS (Cash Flow from Operations Per Share)
CFOPS = Cash Flow from Operations
                Diluted Shares Outstanding     
</t>
        </r>
      </text>
    </comment>
    <comment ref="J11" authorId="0" shapeId="0" xr:uid="{00000000-0006-0000-0000-000009000000}">
      <text>
        <r>
          <rPr>
            <sz val="10"/>
            <color rgb="FF000000"/>
            <rFont val="Verdana"/>
            <family val="2"/>
          </rPr>
          <t>Manny E:
Calculate the trailing 12-month FCFPS (Free Cash Flow Per Share)
FCFPS = Cash Flow from Operations - CAPEX
                       Diluted Shares Outstanding     
FCF Can be found in Morningstar at the bottom on the Cash Flow Statement</t>
        </r>
      </text>
    </comment>
    <comment ref="F35" authorId="0" shapeId="0" xr:uid="{00000000-0006-0000-0000-00000A000000}">
      <text>
        <r>
          <rPr>
            <sz val="10"/>
            <color rgb="FF000000"/>
            <rFont val="Verdana"/>
            <family val="2"/>
          </rPr>
          <t>Manny E:
Choose from drop-down menu or create new reason</t>
        </r>
      </text>
    </comment>
    <comment ref="F41" authorId="0" shapeId="0" xr:uid="{00000000-0006-0000-0000-00000B000000}">
      <text>
        <r>
          <rPr>
            <sz val="10"/>
            <color rgb="FF000000"/>
            <rFont val="Verdana"/>
            <family val="2"/>
          </rPr>
          <t>Manny E:
Choose from drop-down menu or create new reason</t>
        </r>
      </text>
    </comment>
    <comment ref="F47" authorId="0" shapeId="0" xr:uid="{00000000-0006-0000-0000-00000C000000}">
      <text>
        <r>
          <rPr>
            <sz val="10"/>
            <color rgb="FF000000"/>
            <rFont val="Verdana"/>
            <family val="2"/>
          </rPr>
          <t>Manny E:
Choose from drop-down menu or create new reason</t>
        </r>
      </text>
    </comment>
    <comment ref="F53" authorId="0" shapeId="0" xr:uid="{00000000-0006-0000-0000-00000D000000}">
      <text>
        <r>
          <rPr>
            <sz val="10"/>
            <color rgb="FF000000"/>
            <rFont val="Verdana"/>
            <family val="2"/>
          </rPr>
          <t>Manny E:
Choose from drop-down menu or create new reason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7" authorId="0" shapeId="0" xr:uid="{00000000-0006-0000-0300-000001000000}">
      <text>
        <r>
          <rPr>
            <sz val="10"/>
            <color rgb="FF000000"/>
            <rFont val="Verdana"/>
            <family val="2"/>
          </rPr>
          <t>Use the table on the right, this is where you have to insert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8" authorId="0" shapeId="0" xr:uid="{00000000-0006-0000-0200-000001000000}">
      <text>
        <r>
          <rPr>
            <sz val="10"/>
            <color rgb="FF000000"/>
            <rFont val="Verdana"/>
            <family val="2"/>
          </rPr>
          <t>DMSB:
Be aware, this should roughly matches your quarterly forecast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J11" authorId="0" shapeId="0" xr:uid="{00000000-0006-0000-0500-000001000000}">
      <text>
        <r>
          <rPr>
            <sz val="10"/>
            <color rgb="FF000000"/>
            <rFont val="Verdana"/>
            <family val="2"/>
          </rPr>
          <t>[Threaded comment]
Your version of Excel allows you to read this threaded comment; however, any edits to it will get removed if the file is opened in a newer version of Excel. Learn more: https://go.microsoft.com/fwlink/?linkid=870924
Comment:
    Can forecast multiple ways - the one here uses the cash conversion cycle from the prior year</t>
        </r>
      </text>
    </comment>
    <comment ref="J21" authorId="0" shapeId="0" xr:uid="{00000000-0006-0000-0500-000005000000}">
      <text>
        <r>
          <rPr>
            <sz val="10"/>
            <color rgb="FF000000"/>
            <rFont val="Verdana"/>
            <family val="2"/>
          </rPr>
          <t>[Threaded comment]
Your version of Excel allows you to read this threaded comment; however, any edits to it will get removed if the file is opened in a newer version of Excel. Learn more: https://go.microsoft.com/fwlink/?linkid=870924
Comment:
    % of sales method</t>
        </r>
      </text>
    </comment>
    <comment ref="J23" authorId="0" shapeId="0" xr:uid="{00000000-0006-0000-0500-000006000000}">
      <text>
        <r>
          <rPr>
            <sz val="10"/>
            <color rgb="FF000000"/>
            <rFont val="Verdana"/>
            <family val="2"/>
          </rPr>
          <t>[Threaded comment]
Your version of Excel allows you to read this threaded comment; however, any edits to it will get removed if the file is opened in a newer version of Excel. Learn more: https://go.microsoft.com/fwlink/?linkid=870924
Comment:
    % of sales method</t>
        </r>
      </text>
    </comment>
    <comment ref="J24" authorId="0" shapeId="0" xr:uid="{00000000-0006-0000-0500-000004000000}">
      <text>
        <r>
          <rPr>
            <sz val="10"/>
            <color rgb="FF000000"/>
            <rFont val="Verdana"/>
            <family val="2"/>
          </rPr>
          <t>[Threaded comment]
Your version of Excel allows you to read this threaded comment; however, any edits to it will get removed if the file is opened in a newer version of Excel. Learn more: https://go.microsoft.com/fwlink/?linkid=870924
Comment:
    % of sales method</t>
        </r>
      </text>
    </comment>
    <comment ref="J30" authorId="0" shapeId="0" xr:uid="{00000000-0006-0000-0500-000007000000}">
      <text>
        <r>
          <rPr>
            <sz val="10"/>
            <color rgb="FF000000"/>
            <rFont val="Verdana"/>
            <family val="2"/>
          </rPr>
          <t>[Threaded comment]
Your version of Excel allows you to read this threaded comment; however, any edits to it will get removed if the file is opened in a newer version of Excel. Learn more: https://go.microsoft.com/fwlink/?linkid=870924
Comment:
    Can use multiple forecasting methods - this one is cash conversion cycle</t>
        </r>
      </text>
    </comment>
    <comment ref="D80" authorId="0" shapeId="0" xr:uid="{00000000-0006-0000-0500-000008000000}">
      <text>
        <r>
          <rPr>
            <sz val="10"/>
            <color rgb="FF000000"/>
            <rFont val="Verdana"/>
            <family val="2"/>
          </rPr>
          <t>Denis P:
(Current Assets - Cash &amp; Equivalents - ST Invesments) - (Current Liabilities - ST Debt)
Non-Operating Assets (Cash and Near Cash Items, Debt) are excluded from calculating investment in working capital by the firm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tc={55B90513-EA05-4195-A90F-158B3805A4E4}</author>
    <author>tc={0A81B45A-086A-40A2-9D9F-81FCE319CB81}</author>
    <author>tc={82D12181-D56C-415C-8642-2F43F47798B8}</author>
    <author>tc={95D05AB0-20CD-41A0-AAB9-3A38F5C217E5}</author>
    <author>tc={A6914BCA-C2A8-4843-9E32-ED9B9C3826D3}</author>
    <author>tc={74D53F15-4152-4CD1-9D4E-1C0B4A45036B}</author>
    <author>tc={7F232E3F-72D0-4654-BC73-12D0BC97CC5E}</author>
    <author/>
  </authors>
  <commentList>
    <comment ref="H8" authorId="0" shapeId="0" xr:uid="{55B90513-EA05-4195-A90F-158B3805A4E4}">
      <text>
        <t>[Threaded comment]
Your version of Excel allows you to read this threaded comment; however, any edits to it will get removed if the file is opened in a newer version of Excel. Learn more: https://go.microsoft.com/fwlink/?linkid=870924
Comment:
    Increase in Depreciation in line with increase in the PPE as a result of the expansion plans.</t>
      </text>
    </comment>
    <comment ref="G20" authorId="1" shapeId="0" xr:uid="{0A81B45A-086A-40A2-9D9F-81FCE319CB81}">
      <text>
        <t>[Threaded comment]
Your version of Excel allows you to read this threaded comment; however, any edits to it will get removed if the file is opened in a newer version of Excel. Learn more: https://go.microsoft.com/fwlink/?linkid=870924
Comment:
    mainly due to increase in Inventories (FG &amp; WIP)- which may be mostly for the Sales to be made in the next year.</t>
      </text>
    </comment>
    <comment ref="G22" authorId="2" shapeId="0" xr:uid="{82D12181-D56C-415C-8642-2F43F47798B8}">
      <text>
        <t>[Threaded comment]
Your version of Excel allows you to read this threaded comment; however, any edits to it will get removed if the file is opened in a newer version of Excel. Learn more: https://go.microsoft.com/fwlink/?linkid=870924
Comment:
    On account of increase in accrued expenses &amp; other current liabilities (comprising of contractual liabilities)</t>
      </text>
    </comment>
    <comment ref="G29" authorId="3" shapeId="0" xr:uid="{95D05AB0-20CD-41A0-AAB9-3A38F5C217E5}">
      <text>
        <t>[Threaded comment]
Your version of Excel allows you to read this threaded comment; however, any edits to it will get removed if the file is opened in a newer version of Excel. Learn more: https://go.microsoft.com/fwlink/?linkid=870924
Comment:
    Capital Expenditure due to expansion</t>
      </text>
    </comment>
    <comment ref="H33" authorId="4" shapeId="0" xr:uid="{A6914BCA-C2A8-4843-9E32-ED9B9C3826D3}">
      <text>
        <t>[Threaded comment]
Your version of Excel allows you to read this threaded comment; however, any edits to it will get removed if the file is opened in a newer version of Excel. Learn more: https://go.microsoft.com/fwlink/?linkid=870924
Comment:
    Average from the past years</t>
      </text>
    </comment>
    <comment ref="G40" authorId="5" shapeId="0" xr:uid="{74D53F15-4152-4CD1-9D4E-1C0B4A45036B}">
      <text>
        <t>[Threaded comment]
Your version of Excel allows you to read this threaded comment; however, any edits to it will get removed if the file is opened in a newer version of Excel. Learn more: https://go.microsoft.com/fwlink/?linkid=870924
Comment:
    Repayment of Short term loans</t>
      </text>
    </comment>
    <comment ref="G44" authorId="6" shapeId="0" xr:uid="{7F232E3F-72D0-4654-BC73-12D0BC97CC5E}">
      <text>
        <t>[Threaded comment]
Your version of Excel allows you to read this threaded comment; however, any edits to it will get removed if the file is opened in a newer version of Excel. Learn more: https://go.microsoft.com/fwlink/?linkid=870924
Comment:
    Bonds issued by the company</t>
      </text>
    </comment>
    <comment ref="C58" authorId="7" shapeId="0" xr:uid="{00000000-0006-0000-0600-000001000000}">
      <text>
        <r>
          <rPr>
            <sz val="10"/>
            <color rgb="FF000000"/>
            <rFont val="Verdana"/>
            <family val="2"/>
          </rPr>
          <t>Previous Years Cash Balance from Balance Sheet. In this template, it is 2015's cash balance.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tc={FC8E0471-BB89-403F-A75D-9217E4E77375}</author>
    <author/>
    <author>tc={D2D24693-1365-4DE4-9BC4-0C0850F36EBC}</author>
  </authors>
  <commentList>
    <comment ref="C2" authorId="0" shapeId="0" xr:uid="{FC8E0471-BB89-403F-A75D-9217E4E77375}">
      <text>
        <t>[Threaded comment]
Your version of Excel allows you to read this threaded comment; however, any edits to it will get removed if the file is opened in a newer version of Excel. Learn more: https://go.microsoft.com/fwlink/?linkid=870924
Comment:
    as on 29 Nov 2021</t>
      </text>
    </comment>
    <comment ref="G4" authorId="1" shapeId="0" xr:uid="{00000000-0006-0000-0400-000001000000}">
      <text>
        <r>
          <rPr>
            <sz val="10"/>
            <color rgb="FF000000"/>
            <rFont val="Verdana"/>
            <family val="2"/>
          </rPr>
          <t>Denis Pyatchanin:
This should match your next-year growth rate from Income Statement tab</t>
        </r>
      </text>
    </comment>
    <comment ref="J4" authorId="2" shapeId="0" xr:uid="{D2D24693-1365-4DE4-9BC4-0C0850F36EBC}">
      <text>
        <t>[Threaded comment]
Your version of Excel allows you to read this threaded comment; however, any edits to it will get removed if the file is opened in a newer version of Excel. Learn more: https://go.microsoft.com/fwlink/?linkid=870924
Comment:
    Increase as the Japan plant is expected to start production in 2024 and will start generating revenue</t>
      </text>
    </comment>
    <comment ref="C5" authorId="1" shapeId="0" xr:uid="{00000000-0006-0000-0400-000002000000}">
      <text>
        <r>
          <rPr>
            <sz val="10"/>
            <color rgb="FF000000"/>
            <rFont val="Verdana"/>
            <family val="2"/>
          </rPr>
          <t xml:space="preserve">KILIAN Bendjaballah:
Make sure to be conservative here
and never give &gt;3% without firm reasoning.
</t>
        </r>
      </text>
    </comment>
    <comment ref="C10" authorId="1" shapeId="0" xr:uid="{00000000-0006-0000-0400-000003000000}">
      <text>
        <r>
          <rPr>
            <sz val="10"/>
            <color rgb="FF000000"/>
            <rFont val="Verdana"/>
            <family val="2"/>
          </rPr>
          <t>From Bloomberg: 
Use Beta Function, 3 year daily regression agaainst the RAY (Russel 3000 Index) benchmark. 
Take the Adjusted Beta</t>
        </r>
      </text>
    </comment>
    <comment ref="C11" authorId="1" shapeId="0" xr:uid="{00000000-0006-0000-0400-000004000000}">
      <text>
        <r>
          <rPr>
            <sz val="10"/>
            <color rgb="FF000000"/>
            <rFont val="Verdana"/>
            <family val="2"/>
          </rPr>
          <t xml:space="preserve">10-Year U.S. Treasury Rate </t>
        </r>
      </text>
    </comment>
    <comment ref="C16" authorId="1" shapeId="0" xr:uid="{00000000-0006-0000-0400-000005000000}">
      <text>
        <r>
          <rPr>
            <sz val="10"/>
            <color rgb="FF000000"/>
            <rFont val="Verdana"/>
            <family val="2"/>
          </rPr>
          <t>From Bloomberg :
Use WACC function, expand details on cost of debt and use the "debt adjustment factor" 
Check the Course Packet Section on WACC if required</t>
        </r>
      </text>
    </comment>
    <comment ref="C18" authorId="1" shapeId="0" xr:uid="{00000000-0006-0000-0400-000006000000}">
      <text>
        <r>
          <rPr>
            <sz val="10"/>
            <color rgb="FF000000"/>
            <rFont val="Verdana"/>
            <family val="2"/>
          </rPr>
          <t xml:space="preserve">Based on assumption from company fillings &amp; historical average
Bloomberg's WACC function can also give insight on the approximate value </t>
        </r>
      </text>
    </comment>
    <comment ref="E31" authorId="1" shapeId="0" xr:uid="{00000000-0006-0000-0400-000007000000}">
      <text>
        <r>
          <rPr>
            <sz val="10"/>
            <color rgb="FF000000"/>
            <rFont val="Verdana"/>
            <family val="2"/>
          </rPr>
          <t>Manny E:
Working capital assumptions will be on a case by case basis. Speak with your Sector Manager to determine the most appropriate assumption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700-000001000000}">
      <text>
        <r>
          <rPr>
            <sz val="10"/>
            <color rgb="FF000000"/>
            <rFont val="Verdana"/>
            <family val="2"/>
          </rPr>
          <t>Denis P:
Calculate this on the FCFF worksheet.</t>
        </r>
      </text>
    </comment>
    <comment ref="C5" authorId="0" shapeId="0" xr:uid="{00000000-0006-0000-0700-000002000000}">
      <text>
        <r>
          <rPr>
            <sz val="10"/>
            <color rgb="FF000000"/>
            <rFont val="Verdana"/>
            <family val="2"/>
          </rPr>
          <t>Denis P:
This is the same rate you would use in the DCF model - if using.</t>
        </r>
      </text>
    </comment>
    <comment ref="C10" authorId="0" shapeId="0" xr:uid="{00000000-0006-0000-0700-000003000000}">
      <text>
        <r>
          <rPr>
            <sz val="10"/>
            <color rgb="FF000000"/>
            <rFont val="Verdana"/>
            <family val="2"/>
          </rPr>
          <t>Denis P:
For companies that will experience a growth rate over the next 5 years that is higher than the terminal growth rate. 
If you revenue is growing somewhat faster than the terminal growth rate, you probably want to use this model instead of the 1-stage.
Be careful about growing the dividend higher than the revenue growth rate - is it sustainable?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800-000001000000}">
      <text>
        <r>
          <rPr>
            <sz val="10"/>
            <color rgb="FF000000"/>
            <rFont val="Verdana"/>
            <family val="2"/>
          </rPr>
          <t xml:space="preserve">Try to answers those questions when determining a competitive group set:
Industry:
- Same product? 
- Same customers?
- Business model similarity?
Financial Criteria: 
- Same scale (revenue, EBITDA, etc.)?
- Capital structure similarity? 
- Avoid private companies
Geography:
- Significant geopolitical differences?
- Significant geographical regulation differences
- Overlaping customers?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H48" authorId="0" shapeId="0" xr:uid="{00000000-0006-0000-0C00-000001000000}">
      <text>
        <r>
          <rPr>
            <sz val="10"/>
            <color rgb="FF000000"/>
            <rFont val="Verdana"/>
            <family val="2"/>
          </rPr>
          <t>mepperly:
You will need to make a forcast estimate for this value using the Cash Flow Statement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H48" authorId="0" shapeId="0" xr:uid="{00000000-0006-0000-0D00-000001000000}">
      <text>
        <r>
          <rPr>
            <sz val="10"/>
            <color rgb="FF000000"/>
            <rFont val="Verdana"/>
            <family val="2"/>
          </rPr>
          <t>mepperly:
You will need to make a forcast estimate for this value using theCash Flow Statement</t>
        </r>
      </text>
    </comment>
  </commentList>
</comments>
</file>

<file path=xl/sharedStrings.xml><?xml version="1.0" encoding="utf-8"?>
<sst xmlns="http://schemas.openxmlformats.org/spreadsheetml/2006/main" count="734" uniqueCount="393">
  <si>
    <t>Ticker:</t>
  </si>
  <si>
    <t>Company Data</t>
  </si>
  <si>
    <t>Summary</t>
  </si>
  <si>
    <t>EPS (TTM)</t>
  </si>
  <si>
    <t>Value</t>
  </si>
  <si>
    <t>Weight</t>
  </si>
  <si>
    <t>Dividends (TTM)</t>
  </si>
  <si>
    <t>DDM - 2 Stage</t>
  </si>
  <si>
    <t>SPS (TTM)</t>
  </si>
  <si>
    <t>FCFF Model</t>
  </si>
  <si>
    <t>BPS (TTM)</t>
  </si>
  <si>
    <t>Historical Relative P/E</t>
  </si>
  <si>
    <t>TBVPS (TTM)</t>
  </si>
  <si>
    <t>Historical Relative P/S</t>
  </si>
  <si>
    <t>CFOPS (TTM)</t>
  </si>
  <si>
    <t>Historical Relative P/B</t>
  </si>
  <si>
    <t>FCFPS (TTM)</t>
  </si>
  <si>
    <t>Historical Relative P/TBV</t>
  </si>
  <si>
    <t>Historical Relative P/CFO</t>
  </si>
  <si>
    <t>Historical Relative P/FCF</t>
  </si>
  <si>
    <t>Current Price</t>
  </si>
  <si>
    <t>Target</t>
  </si>
  <si>
    <t>% Undervalued</t>
  </si>
  <si>
    <t>Expected Alpha</t>
  </si>
  <si>
    <t>Pitching Analyst(s):</t>
  </si>
  <si>
    <t>Presentation Date:</t>
  </si>
  <si>
    <t>**Please note that all assumptions in the spreadsheet are for demonstration purposes only***</t>
  </si>
  <si>
    <t>**Read the comments in every cell for more information**</t>
  </si>
  <si>
    <t>REVALUATION 1</t>
  </si>
  <si>
    <t>Revaluation Analyst:</t>
  </si>
  <si>
    <t>Revaluation Date:</t>
  </si>
  <si>
    <t>Reason for Reval</t>
  </si>
  <si>
    <t>If Other, State Reason</t>
  </si>
  <si>
    <t>REVALUATION 2</t>
  </si>
  <si>
    <t>REVALUATION 3</t>
  </si>
  <si>
    <t>REVALUATION 4</t>
  </si>
  <si>
    <t>Cells requiring input</t>
  </si>
  <si>
    <t>Return on Equity</t>
  </si>
  <si>
    <t>Return on Assets</t>
  </si>
  <si>
    <t>Reported</t>
  </si>
  <si>
    <t>Forecast</t>
  </si>
  <si>
    <t>Revenue Growth Rate</t>
  </si>
  <si>
    <t>Income Statement (Annual)</t>
  </si>
  <si>
    <t>HISTORICAL</t>
  </si>
  <si>
    <t>FORECAST</t>
  </si>
  <si>
    <t>COMMON FORM - SALES</t>
  </si>
  <si>
    <t>USD in millions except per share data</t>
  </si>
  <si>
    <t>Average</t>
  </si>
  <si>
    <t>Revenue</t>
  </si>
  <si>
    <t>Cost of Revenue (COGS)</t>
  </si>
  <si>
    <t>Gross Profit</t>
  </si>
  <si>
    <t>Sales, General &amp; Administrative Expense</t>
  </si>
  <si>
    <t>Other Operating Expenses</t>
  </si>
  <si>
    <t>Operating Income (EBIT)</t>
  </si>
  <si>
    <t>Interest Expense</t>
  </si>
  <si>
    <t>Other income (expense)</t>
  </si>
  <si>
    <t>Pre-Tax Income (EBT)</t>
  </si>
  <si>
    <t>Income Tax Expense</t>
  </si>
  <si>
    <t>Extraordinary Items</t>
  </si>
  <si>
    <t>Net Income</t>
  </si>
  <si>
    <t>Dividends</t>
  </si>
  <si>
    <t>Revenue Growth</t>
  </si>
  <si>
    <t>Avg. growth rate (2017 - 2020)</t>
  </si>
  <si>
    <t>Tax Rate</t>
  </si>
  <si>
    <t>Avg. Tax rate (2016 - 2020)</t>
  </si>
  <si>
    <t>Shares Outstanding (millions)</t>
  </si>
  <si>
    <t>EPS</t>
  </si>
  <si>
    <t>&lt; Forward EPS</t>
  </si>
  <si>
    <t>DPS</t>
  </si>
  <si>
    <t>Payout Ratio</t>
  </si>
  <si>
    <t>Sustainable Growth Rate</t>
  </si>
  <si>
    <t>Sales per Share</t>
  </si>
  <si>
    <t>&lt; Forward SPS</t>
  </si>
  <si>
    <t>Notes:</t>
  </si>
  <si>
    <t>** Finacial Statements are from www.morningstar.com</t>
  </si>
  <si>
    <t>** Used Diluted EPS and Diluted Shares Outstanding if available</t>
  </si>
  <si>
    <t>** Companies can have financial statement formats that differ from what is shown above. You need to import the data and "link it" in a manner similar to that of the above example to properly forecast the financials.</t>
  </si>
  <si>
    <t>** The dates above could be outdated.. Make sure to use the latest fiscal year information for your company</t>
  </si>
  <si>
    <t>Quarterly Income Statement Analysis</t>
  </si>
  <si>
    <t>This is where you input your forecasts for each quarter line item. Please document the reasoning behind your assumptions</t>
  </si>
  <si>
    <t>FY 2016</t>
  </si>
  <si>
    <t>FY 2017</t>
  </si>
  <si>
    <t>FY 2018</t>
  </si>
  <si>
    <t>FY 2019</t>
  </si>
  <si>
    <t>FY 2020</t>
  </si>
  <si>
    <t>FY 2021</t>
  </si>
  <si>
    <t>2021 Forecasts</t>
  </si>
  <si>
    <t>Q1</t>
  </si>
  <si>
    <t>Q2</t>
  </si>
  <si>
    <t>Q3</t>
  </si>
  <si>
    <t>Q4</t>
  </si>
  <si>
    <t>Rev Growth Rates</t>
  </si>
  <si>
    <t>Revenue Growth rate</t>
  </si>
  <si>
    <t>COGS</t>
  </si>
  <si>
    <t>COGS as % of sales</t>
  </si>
  <si>
    <t>Gross Margin</t>
  </si>
  <si>
    <t>Selling/General/ Administrative</t>
  </si>
  <si>
    <t>SGA as% of Sales</t>
  </si>
  <si>
    <t>Other Op Exp as % of sales</t>
  </si>
  <si>
    <t>Operating Income</t>
  </si>
  <si>
    <t>Interest exp as % of sales</t>
  </si>
  <si>
    <t>Other Income</t>
  </si>
  <si>
    <t>Other Inc as % of Sales</t>
  </si>
  <si>
    <t>EBT</t>
  </si>
  <si>
    <t>Provisions for Income Tax</t>
  </si>
  <si>
    <t>Provisions for income tax as % sales</t>
  </si>
  <si>
    <t>Net Extraordinary Gains</t>
  </si>
  <si>
    <t>Extra gains % sales</t>
  </si>
  <si>
    <t>EPS (Diluted)</t>
  </si>
  <si>
    <t>Shares Outstanding (Diluted)</t>
  </si>
  <si>
    <t>Shares Out (diluted)</t>
  </si>
  <si>
    <t>This section shows you each quarters line items as a percentage of sales - helpful for using historical basis to check your assumptions in your forecast</t>
  </si>
  <si>
    <t>Averages</t>
  </si>
  <si>
    <t xml:space="preserve">Below is a breakdown of how each quarter has grown/declined relative to the same quarter in other years. 
</t>
  </si>
  <si>
    <t>It is used in conjunction with the above information in order to forecast quarterly values on the income statement</t>
  </si>
  <si>
    <t>Column Reference</t>
  </si>
  <si>
    <t>Inputs</t>
  </si>
  <si>
    <t>SENSATIVITY ANALYSIS</t>
  </si>
  <si>
    <t>Terminal Growth Rate</t>
  </si>
  <si>
    <t>Free Cash Flow</t>
  </si>
  <si>
    <t>Shares Out (millions)</t>
  </si>
  <si>
    <t>Year</t>
  </si>
  <si>
    <t>Mkt Value of Equity (Market Cap)</t>
  </si>
  <si>
    <t>Sales</t>
  </si>
  <si>
    <t>Mkt Value of Long Term Debt</t>
  </si>
  <si>
    <t>EBIT</t>
  </si>
  <si>
    <t>Beta (Adjusted)</t>
  </si>
  <si>
    <t>EBIT(1-T)</t>
  </si>
  <si>
    <t>Rf</t>
  </si>
  <si>
    <t>(+)Depreciation</t>
  </si>
  <si>
    <t>CAPEX</t>
  </si>
  <si>
    <t>MRP</t>
  </si>
  <si>
    <t>(-) Cap EX</t>
  </si>
  <si>
    <t>Cost of Equity</t>
  </si>
  <si>
    <t>(-) Change in Working Cap</t>
  </si>
  <si>
    <t>Equity Weight</t>
  </si>
  <si>
    <t>FCFF</t>
  </si>
  <si>
    <t>Debt Weight</t>
  </si>
  <si>
    <t>Terminal Value</t>
  </si>
  <si>
    <t>Debt Adjustment Factor</t>
  </si>
  <si>
    <t>Total CF</t>
  </si>
  <si>
    <t>Cost of Debt</t>
  </si>
  <si>
    <t>Effective Tax Rate</t>
  </si>
  <si>
    <t>After Tax Cost of Debt</t>
  </si>
  <si>
    <t>Enterprise Value</t>
  </si>
  <si>
    <t>Plus: Last Year Cash &amp; ST Inv.</t>
  </si>
  <si>
    <t>Firm Value</t>
  </si>
  <si>
    <t>WACC</t>
  </si>
  <si>
    <t>Less: Mkt Value of Debt (LT+ST)</t>
  </si>
  <si>
    <t>Equity Value</t>
  </si>
  <si>
    <t>WC</t>
  </si>
  <si>
    <t>Common Shares Outstanding</t>
  </si>
  <si>
    <t>Target Price 12M / Share</t>
  </si>
  <si>
    <t>Depreciation as a % of Sales</t>
  </si>
  <si>
    <t>Operating Margin</t>
  </si>
  <si>
    <t>Capital Expenditures as a % of Sales</t>
  </si>
  <si>
    <t>Change in Working Capital as % of sales</t>
  </si>
  <si>
    <r>
      <rPr>
        <b/>
        <u/>
        <sz val="10"/>
        <color theme="0"/>
        <rFont val="Calibri"/>
        <family val="2"/>
      </rPr>
      <t>NOTES</t>
    </r>
    <r>
      <rPr>
        <b/>
        <sz val="10"/>
        <color theme="0"/>
        <rFont val="Calibri"/>
        <family val="2"/>
      </rPr>
      <t>:
1) Make sure everything is consistent (Thousands vs. Millions etc.)
2) You will only be permitted to modify certain cells within this sheet.
3) If you are unable to modify a cell it means they are built into the model and should not be tampered with.
4) Cells in light yellow can be modified, but make sure the correct formula or value resides within the cell.
5) If you are unsure about a cell link, open up a blank copy of the template and check the references.
7) If you are unable to determine the cause of an error, consult your Sector Manager.
8) All inputs above are for illustration purposes only - they have no real analysis backing them.</t>
    </r>
  </si>
  <si>
    <t xml:space="preserve">Some of the balance sheet items have been tied to Income statement or CF stmt. This is just one way of forecasting to make them more dynamic </t>
  </si>
  <si>
    <t>Each of the forecast year formula items should still be thoughtfully looked at</t>
  </si>
  <si>
    <t>Balance Sheet</t>
  </si>
  <si>
    <t>Assets</t>
  </si>
  <si>
    <t>Current assets</t>
  </si>
  <si>
    <t>Cash and cash equivalents</t>
  </si>
  <si>
    <t>Receivables</t>
  </si>
  <si>
    <t>Other current assets</t>
  </si>
  <si>
    <t>Total current assets</t>
  </si>
  <si>
    <t>Non-current assets</t>
  </si>
  <si>
    <t>Property, plant and equipment, net</t>
  </si>
  <si>
    <t>Intangible assets, net</t>
  </si>
  <si>
    <t>Total non-current assets</t>
  </si>
  <si>
    <t>Total assets</t>
  </si>
  <si>
    <t>Liabilities and stockholders' equity</t>
  </si>
  <si>
    <t>% of sales for these line items</t>
  </si>
  <si>
    <t>Liabilities</t>
  </si>
  <si>
    <t>%Sales</t>
  </si>
  <si>
    <t>Accounts payable</t>
  </si>
  <si>
    <t>Accrued expenses and other current liabilities</t>
  </si>
  <si>
    <t>Short-term debt</t>
  </si>
  <si>
    <t>Income taxes payable</t>
  </si>
  <si>
    <t>Total current liabilities</t>
  </si>
  <si>
    <t>Non-current liabilities</t>
  </si>
  <si>
    <t>Long-Term Debt</t>
  </si>
  <si>
    <t>Other liabilities</t>
  </si>
  <si>
    <t>Deferred income taxes</t>
  </si>
  <si>
    <t>Total non-current liabilities</t>
  </si>
  <si>
    <t>Total liabilities</t>
  </si>
  <si>
    <t>Stockholders' equity</t>
  </si>
  <si>
    <t>Common stock</t>
  </si>
  <si>
    <t>Retained earnings</t>
  </si>
  <si>
    <t>Total stockholders' equity</t>
  </si>
  <si>
    <t>Total liabilities and stockholders' equity</t>
  </si>
  <si>
    <t>Variables for Relative Historical Models</t>
  </si>
  <si>
    <t>AVERAGES</t>
  </si>
  <si>
    <t>Total Equity Growth Rate</t>
  </si>
  <si>
    <t>Book Value Per Share</t>
  </si>
  <si>
    <t>Goodwill as a % of Total Equity</t>
  </si>
  <si>
    <t>Intangible Assets as a % of Total Equity</t>
  </si>
  <si>
    <t>Tangible Book Value Per Share</t>
  </si>
  <si>
    <t>Variables for FCFF Model</t>
  </si>
  <si>
    <t xml:space="preserve">Thes are inputs into your FCFF model - make sure that the working capital formula is pulling the right line items. </t>
  </si>
  <si>
    <t>Change in WC as % of Sales</t>
  </si>
  <si>
    <t xml:space="preserve">Modified Working Capital </t>
  </si>
  <si>
    <t>Change in WC</t>
  </si>
  <si>
    <t>As % of Sales</t>
  </si>
  <si>
    <t>(Current Assets - Cash &amp; Equivalents - ST Invesments) - (Current Liabilities - ST Debt)</t>
  </si>
  <si>
    <t>Cash conversion cycle and % sales for some balance sheet items</t>
  </si>
  <si>
    <t>Days Sales Out (DSO)</t>
  </si>
  <si>
    <t>Days inv held (DIH)</t>
  </si>
  <si>
    <t>Prepd &amp; other CA (%sales)</t>
  </si>
  <si>
    <t>Days Pay out (DPO)</t>
  </si>
  <si>
    <t>Acc Liab (%of Sales)</t>
  </si>
  <si>
    <t>Other CL ( %of Sales)</t>
  </si>
  <si>
    <t>Int Assets/Sales</t>
  </si>
  <si>
    <t>Def cont / Sales</t>
  </si>
  <si>
    <t>Statement of Cash Flows</t>
  </si>
  <si>
    <t>Cash Flows From Operating Activities</t>
  </si>
  <si>
    <t>Depreciation</t>
  </si>
  <si>
    <t>Other, net</t>
  </si>
  <si>
    <t>Changes in operating assets and liabilities:</t>
  </si>
  <si>
    <t>(Inc.) / Dec in Receivables</t>
  </si>
  <si>
    <t>Change in op assets/liabilities come from balance sheet year over year</t>
  </si>
  <si>
    <t>(Inc.) / Dec in Other assets</t>
  </si>
  <si>
    <t>Inc/(Dec) in Accounts payable</t>
  </si>
  <si>
    <t>Inc/(Dec) in Other Current liabilities</t>
  </si>
  <si>
    <t>Net cash provided by operating activities</t>
  </si>
  <si>
    <t>Cash Flows From Investing Activities</t>
  </si>
  <si>
    <t>Purchases of corporate and client funds marketable securities</t>
  </si>
  <si>
    <t>Proceeds from the sales and maturities of corporate and client funds marketable securities</t>
  </si>
  <si>
    <t>Capital expenditures</t>
  </si>
  <si>
    <t>Additions to intangibles</t>
  </si>
  <si>
    <t>Proceeds from the sale of property, plant, and equipment and other assets</t>
  </si>
  <si>
    <t>Net cash provided by investing activities</t>
  </si>
  <si>
    <t>Cash Flows From Financing Activities</t>
  </si>
  <si>
    <t>Dividends paid</t>
  </si>
  <si>
    <t>Net cash provided by financing activities</t>
  </si>
  <si>
    <t>Effect of exchange rate changes</t>
  </si>
  <si>
    <t>Net change in cash</t>
  </si>
  <si>
    <t>Cash at beginning of period</t>
  </si>
  <si>
    <t>Cash and Cash Equivalents Held-for-sale, at Beginning of Period</t>
  </si>
  <si>
    <t>Cash at end of period</t>
  </si>
  <si>
    <t>Operating cash flow</t>
  </si>
  <si>
    <t>Capital expenditure</t>
  </si>
  <si>
    <t>Free cash flow</t>
  </si>
  <si>
    <t>Operating Cash Flow as a % of Sales</t>
  </si>
  <si>
    <t>Operating Cash Flow Per Share (CFOPS)</t>
  </si>
  <si>
    <t>Free Cash Flow as a % of Sales</t>
  </si>
  <si>
    <t>Free Cash Flow Per Share (FCFPS)</t>
  </si>
  <si>
    <t>Depreciation % of Sales</t>
  </si>
  <si>
    <t>CAPEX % of Sales (Absolute Value)</t>
  </si>
  <si>
    <t>Dividend Discount Model</t>
  </si>
  <si>
    <r>
      <rPr>
        <b/>
        <sz val="10"/>
        <color theme="1"/>
        <rFont val="Calibri"/>
        <family val="2"/>
      </rPr>
      <t>D</t>
    </r>
    <r>
      <rPr>
        <b/>
        <vertAlign val="subscript"/>
        <sz val="10"/>
        <color theme="1"/>
        <rFont val="Calibri"/>
        <family val="2"/>
      </rPr>
      <t>0</t>
    </r>
  </si>
  <si>
    <t>Dividend Discount Model - 2 Stage</t>
  </si>
  <si>
    <t>Dividend growth rate</t>
  </si>
  <si>
    <t>Dividend per Share</t>
  </si>
  <si>
    <t>Total Cash Flow</t>
  </si>
  <si>
    <t>Implied EPS</t>
  </si>
  <si>
    <t>Implied Payout Ratio</t>
  </si>
  <si>
    <t>DDM Present Value</t>
  </si>
  <si>
    <t>12M Price Target</t>
  </si>
  <si>
    <t>NOTES:</t>
  </si>
  <si>
    <t>** The DDM is best suited for large, low growth mature companies with a consistent history of dividends.</t>
  </si>
  <si>
    <t>** This model works best when the company has a relatively high payout ratio.</t>
  </si>
  <si>
    <t>** The DDM is best suited for large, mature companies with a consistent history of dividends.</t>
  </si>
  <si>
    <t>** Assumptions: Dividends are the correct metric for valuation purposes, g is perpetual, r is constant over time, g strictly less than r</t>
  </si>
  <si>
    <t>Low</t>
  </si>
  <si>
    <t>High</t>
  </si>
  <si>
    <t>Price</t>
  </si>
  <si>
    <t>Annual  EPS</t>
  </si>
  <si>
    <t>P/E Ratio</t>
  </si>
  <si>
    <t>Peer Group Average</t>
  </si>
  <si>
    <t>Peer Group Avg. P/E</t>
  </si>
  <si>
    <t xml:space="preserve">Low </t>
  </si>
  <si>
    <t>Standard Deviation</t>
  </si>
  <si>
    <t>Check the note in the cell "Historical Relative P/E" on the top left corner in Yellow
Be sure to check your data for outliers that may be skewing the results of the model and delete them. If you are not sure about a value, consult your SM
Potential outliers would be highlighted in RED (DO NOT leave a 0 in place of the deleted value!)</t>
  </si>
  <si>
    <t>Using Historical Averages</t>
  </si>
  <si>
    <t>Historical Peer Group Hi-Low Avg.</t>
  </si>
  <si>
    <t>Historical Target Firm Hi-Low Avg.</t>
  </si>
  <si>
    <t>Average P/E</t>
  </si>
  <si>
    <t>P/E (TTM)</t>
  </si>
  <si>
    <t>Forward EPS</t>
  </si>
  <si>
    <t>Current P/E Target Price</t>
  </si>
  <si>
    <t>Peer Group Avg. Expected Price</t>
  </si>
  <si>
    <t>Relative "Low" Target</t>
  </si>
  <si>
    <t>Relative "High" Target</t>
  </si>
  <si>
    <t>Relative P/E Target Price</t>
  </si>
  <si>
    <t>Annual  SPS</t>
  </si>
  <si>
    <t>P/S Ratio</t>
  </si>
  <si>
    <t>Peer Group Avg. P/S</t>
  </si>
  <si>
    <t>Average P/S</t>
  </si>
  <si>
    <t>P/S (TTM)</t>
  </si>
  <si>
    <t>2017E Forward SPS</t>
  </si>
  <si>
    <t>Current P/S Target Price</t>
  </si>
  <si>
    <t>Be sure to check your data for outliers that may be skewing the results of the model and delete them. If you are not sure about a value, consult your SM</t>
  </si>
  <si>
    <t>Relative P/S Target Price</t>
  </si>
  <si>
    <t>Annual  BPS</t>
  </si>
  <si>
    <t>P/B Ratio</t>
  </si>
  <si>
    <t>Peer Group Avg. P/B</t>
  </si>
  <si>
    <t>Average P/B</t>
  </si>
  <si>
    <t>P/B (TTM)</t>
  </si>
  <si>
    <t>2017E Forward BPS</t>
  </si>
  <si>
    <t>Current P/B Target Price</t>
  </si>
  <si>
    <t>Relative P/B Target Price</t>
  </si>
  <si>
    <t>Annual  TBVPS</t>
  </si>
  <si>
    <t>P/TBV Ratio</t>
  </si>
  <si>
    <t>Peer Group Avg. P/TBV</t>
  </si>
  <si>
    <t>Average P/TBV</t>
  </si>
  <si>
    <t>P/TBV (TTM)</t>
  </si>
  <si>
    <t>Forward TBVPS</t>
  </si>
  <si>
    <t>Be sure to check your data for outliers that may be skewing the results of the model and delete them. If you are not sure about a value, consult your SM
If cells G47 and G48 are BOTH negative the Model WILL NOT WORK properly and should not be utilized</t>
  </si>
  <si>
    <t>Current P/TBV Target Price</t>
  </si>
  <si>
    <t>Relative P/TBV Target Price</t>
  </si>
  <si>
    <t>Annual  FCFPS</t>
  </si>
  <si>
    <t>P/FCF Ratio</t>
  </si>
  <si>
    <t>Peer Group Avg. P/FCF</t>
  </si>
  <si>
    <t>Average P/FCF</t>
  </si>
  <si>
    <t>P/FCF (TTM)</t>
  </si>
  <si>
    <t>2017E Forward FCFPS</t>
  </si>
  <si>
    <t>Be sure to check your data for outliers that may be skewing the results of the model and delete them. If you are not sure about a value, consult your SM
Example: Cells I25 and J25 would be considered outliers and should be deleted (DO NOT leave a 0 in place of the deleted value</t>
  </si>
  <si>
    <t>Current P/FCF Target Price</t>
  </si>
  <si>
    <t>Relative P/FCF Target Price</t>
  </si>
  <si>
    <t>Annual  CFOPS</t>
  </si>
  <si>
    <t>P/CFO Ratio</t>
  </si>
  <si>
    <t>Peer Group Avg. P/CFO</t>
  </si>
  <si>
    <t>Average P/CFO</t>
  </si>
  <si>
    <t>P/CFO (TTM)</t>
  </si>
  <si>
    <t>2017E Forward CFOPS</t>
  </si>
  <si>
    <t>Current P/CFO Target Price</t>
  </si>
  <si>
    <t>Relative P/CFO Target Price</t>
  </si>
  <si>
    <t>TSM</t>
  </si>
  <si>
    <t>Ayush Goel &amp; Khushbu Dudani</t>
  </si>
  <si>
    <t>Taiwan SemiConductor Manufacturing Co. Ltd.</t>
  </si>
  <si>
    <t>Financial Year: January to December</t>
  </si>
  <si>
    <t>https://investor.tsmc.com/english/financial-reports</t>
  </si>
  <si>
    <t>Realized/ (Unrealized) GP on Sale to Associates</t>
  </si>
  <si>
    <t>Coversion Rate of 1 TD to USD</t>
  </si>
  <si>
    <t>($1 = 28.0050 Taiwan dollars)</t>
  </si>
  <si>
    <t xml:space="preserve">The world’s No. 1 foundry said Thursday it expects revenue of as much as $15.7 billion in the three months ended December, helping full-year sales grow by about 24% in dollar terms. Gross margin may be as high as 53%, with executives reiterating a long-term target of more than 50%. Analysts had expected average sales of $15.3 billion and margin of 51.4% for the December quarter. </t>
  </si>
  <si>
    <t>https://www.bloomberg.com/news/articles/2021-10-14/tsmc-quarterly-profit-beats-expectations-as-margins-recover</t>
  </si>
  <si>
    <t>Inventories</t>
  </si>
  <si>
    <t>Financial Assets</t>
  </si>
  <si>
    <t>Deferred Income Tax Assets</t>
  </si>
  <si>
    <t>Refundable Deposits</t>
  </si>
  <si>
    <t>Other Non current Assets</t>
  </si>
  <si>
    <t>Accrued payroll and Accrued profit sharing bonus to employees and compensation to directors and supervisors</t>
  </si>
  <si>
    <t>Long-term liabilities - current portion</t>
  </si>
  <si>
    <t>Provisions</t>
  </si>
  <si>
    <t>Payables to contractors and equipment suppliers</t>
  </si>
  <si>
    <t>Financial liabilities</t>
  </si>
  <si>
    <t>Bonds Payable</t>
  </si>
  <si>
    <t>Net defined benefit liability</t>
  </si>
  <si>
    <t>Guarantee Deposits</t>
  </si>
  <si>
    <t>Capital surplus</t>
  </si>
  <si>
    <t>Others</t>
  </si>
  <si>
    <t>Non Controlling Interests</t>
  </si>
  <si>
    <t>Right to use assets</t>
  </si>
  <si>
    <t>Cash Dividends Payable</t>
  </si>
  <si>
    <t>Lease Liabilities</t>
  </si>
  <si>
    <t>https://www.reuters.com/technology/taiwans-tsmc-posts-138-rise-q3-profit-global-chip-demand-surge-2021-10-14/</t>
  </si>
  <si>
    <t>Intel Corporation</t>
  </si>
  <si>
    <t>Texas Instruments</t>
  </si>
  <si>
    <t>Finance Cost</t>
  </si>
  <si>
    <t>Interest Income</t>
  </si>
  <si>
    <t>Impairment of assets</t>
  </si>
  <si>
    <t>Gain on foreign exchange, net</t>
  </si>
  <si>
    <t>Dividend Income</t>
  </si>
  <si>
    <t>Net income before Taxes</t>
  </si>
  <si>
    <t>Income taxes paid</t>
  </si>
  <si>
    <t>Broadcom</t>
  </si>
  <si>
    <t>]</t>
  </si>
  <si>
    <t>Share of Profits of Associates, Loss (gain) from disposal of subsidiaries, Unrealized gross profit on sales to associates</t>
  </si>
  <si>
    <t>Loss (gain) on sale of assets (including Financial Assets, Intangible Assets)</t>
  </si>
  <si>
    <t>Amortization expense</t>
  </si>
  <si>
    <t>Interest received</t>
  </si>
  <si>
    <t>Proceeds from the Government grants</t>
  </si>
  <si>
    <t>Dividends received</t>
  </si>
  <si>
    <t>Increase in prepayment for leases</t>
  </si>
  <si>
    <t>Refundable deposits (paid)/refunded</t>
  </si>
  <si>
    <t>Net (decrease)/increase in short term loan</t>
  </si>
  <si>
    <t>https://www.treasury.gov/resource-center/data-chart-center/interest-rates/pages/textview.aspx?data=yield</t>
  </si>
  <si>
    <t>Repayment of Bonds</t>
  </si>
  <si>
    <t>Repayment of debt</t>
  </si>
  <si>
    <t>Interest paid</t>
  </si>
  <si>
    <t>Guarantee deposit refunded</t>
  </si>
  <si>
    <t>Guarantee deposit received</t>
  </si>
  <si>
    <t>Donations from Shareholders</t>
  </si>
  <si>
    <t>Repayment of Principal portion of lease liabilities</t>
  </si>
  <si>
    <t>Proceeds from issuance of bonds</t>
  </si>
  <si>
    <t>Proceeds from short-term bills payable</t>
  </si>
  <si>
    <t>Repayments of short-term bills payable</t>
  </si>
  <si>
    <t>Proceeds from long term loan</t>
  </si>
  <si>
    <t>Amounts in Millions US $</t>
  </si>
  <si>
    <t>Qualcomm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</si>
</sst>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3" formatCode="_ * #,##0.00_ ;_ * \-#,##0.00_ ;_ * &quot;-&quot;??_ ;_ @_ "/>
    <numFmt numFmtId="164" formatCode="_(&quot;$&quot;* #,##0.00_);_(&quot;$&quot;* \(#,##0.00\);_(&quot;$&quot;* &quot;-&quot;??_);_(@_)"/>
    <numFmt numFmtId="165" formatCode="&quot;$&quot;#,##0.00"/>
    <numFmt numFmtId="166" formatCode="&quot;$&quot;#,##0.00_);\(&quot;$&quot;#,##0.00\)"/>
    <numFmt numFmtId="167" formatCode="0.0%"/>
    <numFmt numFmtId="168" formatCode="yyyy/m/d"/>
    <numFmt numFmtId="169" formatCode="_(* #,##0.00_);_(* \(#,##0.00\);_(* &quot;-&quot;??_);_(@_)"/>
    <numFmt numFmtId="170" formatCode="&quot;$&quot;#,##0.00_);[Red]\(&quot;$&quot;#,##0.00\)"/>
    <numFmt numFmtId="171" formatCode="0.0"/>
    <numFmt numFmtId="172" formatCode="_(* #,##0.000_);_(* \(#,##0.000\);_(* &quot;-&quot;??_);_(@_)"/>
    <numFmt numFmtId="173" formatCode="_(* #,##0_);_(* \(#,##0\);_(* &quot;-&quot;??_);_(@_)"/>
    <numFmt numFmtId="174" formatCode="_(&quot;$&quot;* #,##0.000_);_(&quot;$&quot;* \(#,##0.000\);_(&quot;$&quot;* &quot;-&quot;??_);_(@_)"/>
    <numFmt numFmtId="175" formatCode="0_);[Red]\(0\)"/>
    <numFmt numFmtId="176" formatCode="0.00_);[Red]\(0.00\)"/>
    <numFmt numFmtId="177" formatCode="#,##0.0000000000000"/>
    <numFmt numFmtId="178" formatCode="_ * #,##0_ ;_ * \-#,##0_ ;_ * &quot;-&quot;??_ ;_ @_ "/>
  </numFmts>
  <fonts count="72">
    <font>
      <sz val="10"/>
      <color rgb="FF000000"/>
      <name val="Verdana"/>
    </font>
    <font>
      <sz val="10"/>
      <color theme="1"/>
      <name val="Calibri"/>
      <family val="2"/>
    </font>
    <font>
      <sz val="10"/>
      <color theme="0"/>
      <name val="Calibri"/>
      <family val="2"/>
    </font>
    <font>
      <b/>
      <sz val="12"/>
      <color theme="1"/>
      <name val="Calibri"/>
      <family val="2"/>
    </font>
    <font>
      <sz val="10"/>
      <name val="Verdana"/>
      <family val="2"/>
    </font>
    <font>
      <b/>
      <sz val="12"/>
      <color rgb="FF3F3151"/>
      <name val="Calibri"/>
      <family val="2"/>
    </font>
    <font>
      <b/>
      <sz val="11"/>
      <color theme="1"/>
      <name val="Calibri"/>
      <family val="2"/>
    </font>
    <font>
      <sz val="11"/>
      <color rgb="FF5F497A"/>
      <name val="Calibri"/>
      <family val="2"/>
    </font>
    <font>
      <sz val="11"/>
      <color theme="1"/>
      <name val="Calibri"/>
      <family val="2"/>
    </font>
    <font>
      <sz val="10"/>
      <color rgb="FF5F497A"/>
      <name val="Calibri"/>
      <family val="2"/>
    </font>
    <font>
      <sz val="10"/>
      <color rgb="FFFF0000"/>
      <name val="Calibri"/>
      <family val="2"/>
    </font>
    <font>
      <b/>
      <sz val="10"/>
      <color theme="1"/>
      <name val="Calibri"/>
      <family val="2"/>
    </font>
    <font>
      <b/>
      <i/>
      <sz val="11"/>
      <color theme="1"/>
      <name val="Calibri"/>
      <family val="2"/>
    </font>
    <font>
      <b/>
      <sz val="12"/>
      <color rgb="FF000000"/>
      <name val="Calibri"/>
      <family val="2"/>
    </font>
    <font>
      <b/>
      <u/>
      <sz val="10"/>
      <color theme="1"/>
      <name val="Calibri"/>
      <family val="2"/>
    </font>
    <font>
      <b/>
      <sz val="16"/>
      <color theme="1"/>
      <name val="Calibri"/>
      <family val="2"/>
    </font>
    <font>
      <b/>
      <sz val="10"/>
      <color theme="0"/>
      <name val="Calibri"/>
      <family val="2"/>
    </font>
    <font>
      <sz val="12"/>
      <color rgb="FF5F497A"/>
      <name val="Calibri"/>
      <family val="2"/>
    </font>
    <font>
      <sz val="10"/>
      <color theme="1"/>
      <name val="Verdana"/>
      <family val="2"/>
    </font>
    <font>
      <sz val="10"/>
      <color rgb="FF000000"/>
      <name val="Calibri"/>
      <family val="2"/>
    </font>
    <font>
      <b/>
      <sz val="10"/>
      <color rgb="FF000000"/>
      <name val="Calibri"/>
      <family val="2"/>
    </font>
    <font>
      <b/>
      <sz val="10"/>
      <color rgb="FF5F497A"/>
      <name val="Calibri"/>
      <family val="2"/>
    </font>
    <font>
      <b/>
      <sz val="11"/>
      <color rgb="FF000000"/>
      <name val="Calibri"/>
      <family val="2"/>
    </font>
    <font>
      <u/>
      <sz val="10"/>
      <color theme="1"/>
      <name val="Calibri"/>
      <family val="2"/>
    </font>
    <font>
      <sz val="12"/>
      <color theme="1"/>
      <name val="Calibri"/>
      <family val="2"/>
    </font>
    <font>
      <sz val="11"/>
      <color rgb="FFFF0000"/>
      <name val="Calibri"/>
      <family val="2"/>
    </font>
    <font>
      <sz val="11"/>
      <color rgb="FFFFFFFF"/>
      <name val="Calibri"/>
      <family val="2"/>
    </font>
    <font>
      <sz val="8"/>
      <color theme="1"/>
      <name val="Calibri"/>
      <family val="2"/>
    </font>
    <font>
      <b/>
      <u/>
      <sz val="10"/>
      <color theme="1"/>
      <name val="Calibri"/>
      <family val="2"/>
    </font>
    <font>
      <u/>
      <sz val="10"/>
      <color theme="1"/>
      <name val="Calibri"/>
      <family val="2"/>
    </font>
    <font>
      <u/>
      <sz val="10"/>
      <color theme="1"/>
      <name val="Calibri"/>
      <family val="2"/>
    </font>
    <font>
      <b/>
      <u/>
      <sz val="11"/>
      <color rgb="FF000000"/>
      <name val="Calibri"/>
      <family val="2"/>
    </font>
    <font>
      <u/>
      <sz val="10"/>
      <color theme="1"/>
      <name val="Calibri"/>
      <family val="2"/>
    </font>
    <font>
      <sz val="11"/>
      <color rgb="FF000000"/>
      <name val="Calibri"/>
      <family val="2"/>
    </font>
    <font>
      <b/>
      <u/>
      <sz val="10"/>
      <color theme="1"/>
      <name val="Calibri"/>
      <family val="2"/>
    </font>
    <font>
      <u/>
      <sz val="10"/>
      <color theme="1"/>
      <name val="Calibri"/>
      <family val="2"/>
    </font>
    <font>
      <u/>
      <sz val="10"/>
      <color theme="1"/>
      <name val="Calibri"/>
      <family val="2"/>
    </font>
    <font>
      <u/>
      <sz val="10"/>
      <color theme="1"/>
      <name val="Calibri"/>
      <family val="2"/>
    </font>
    <font>
      <u/>
      <sz val="10"/>
      <color theme="1"/>
      <name val="Calibri"/>
      <family val="2"/>
    </font>
    <font>
      <b/>
      <u/>
      <sz val="10"/>
      <color rgb="FF000000"/>
      <name val="Calibri"/>
      <family val="2"/>
    </font>
    <font>
      <b/>
      <u/>
      <sz val="10"/>
      <color rgb="FF000000"/>
      <name val="Calibri"/>
      <family val="2"/>
    </font>
    <font>
      <b/>
      <sz val="9"/>
      <color rgb="FF000000"/>
      <name val="Calibri"/>
      <family val="2"/>
    </font>
    <font>
      <sz val="10"/>
      <color theme="1"/>
      <name val="Calibri"/>
      <family val="2"/>
    </font>
    <font>
      <i/>
      <sz val="10"/>
      <color theme="1"/>
      <name val="Calibri"/>
      <family val="2"/>
    </font>
    <font>
      <b/>
      <sz val="10"/>
      <color rgb="FF3F3151"/>
      <name val="Calibri"/>
      <family val="2"/>
    </font>
    <font>
      <sz val="10"/>
      <color rgb="FF000000"/>
      <name val="Veranda"/>
    </font>
    <font>
      <b/>
      <sz val="10"/>
      <color rgb="FF000000"/>
      <name val="Veranda"/>
    </font>
    <font>
      <b/>
      <sz val="10"/>
      <color theme="1"/>
      <name val="Veranda"/>
    </font>
    <font>
      <sz val="10"/>
      <color rgb="FF5F497A"/>
      <name val="Veranda"/>
    </font>
    <font>
      <sz val="10"/>
      <color theme="1"/>
      <name val="Veranda"/>
    </font>
    <font>
      <b/>
      <u/>
      <sz val="10"/>
      <color theme="1"/>
      <name val="Veranda"/>
    </font>
    <font>
      <sz val="10"/>
      <color rgb="FFFF0000"/>
      <name val="Veranda"/>
    </font>
    <font>
      <b/>
      <sz val="10"/>
      <color rgb="FF000000"/>
      <name val="Verdana"/>
      <family val="2"/>
    </font>
    <font>
      <b/>
      <u/>
      <sz val="10"/>
      <color theme="0"/>
      <name val="Calibri"/>
      <family val="2"/>
    </font>
    <font>
      <b/>
      <vertAlign val="subscript"/>
      <sz val="10"/>
      <color theme="1"/>
      <name val="Calibri"/>
      <family val="2"/>
    </font>
    <font>
      <u/>
      <sz val="10"/>
      <color theme="10"/>
      <name val="Verdana"/>
      <family val="2"/>
    </font>
    <font>
      <sz val="10"/>
      <color rgb="FF000000"/>
      <name val="Verdana"/>
      <family val="2"/>
    </font>
    <font>
      <sz val="10"/>
      <color rgb="FF000000"/>
      <name val="Calibri"/>
      <family val="2"/>
      <scheme val="major"/>
    </font>
    <font>
      <sz val="10"/>
      <color theme="1"/>
      <name val="Calibri"/>
      <family val="2"/>
      <scheme val="major"/>
    </font>
    <font>
      <sz val="10"/>
      <color rgb="FF5F497A"/>
      <name val="Calibri"/>
      <family val="2"/>
      <scheme val="major"/>
    </font>
    <font>
      <b/>
      <sz val="10"/>
      <color rgb="FF000000"/>
      <name val="Calibri"/>
      <family val="2"/>
      <scheme val="major"/>
    </font>
    <font>
      <sz val="9"/>
      <color theme="1"/>
      <name val="Calibri"/>
      <family val="2"/>
      <scheme val="major"/>
    </font>
    <font>
      <b/>
      <sz val="10"/>
      <color theme="1"/>
      <name val="Calibri"/>
      <family val="2"/>
      <scheme val="major"/>
    </font>
    <font>
      <b/>
      <sz val="10"/>
      <color rgb="FF5F497A"/>
      <name val="Calibri"/>
      <family val="2"/>
      <scheme val="major"/>
    </font>
    <font>
      <b/>
      <sz val="11"/>
      <color rgb="FF000000"/>
      <name val="Calibri"/>
      <family val="2"/>
      <scheme val="major"/>
    </font>
    <font>
      <b/>
      <u/>
      <sz val="11"/>
      <color rgb="FF000000"/>
      <name val="Calibri"/>
      <family val="2"/>
      <scheme val="major"/>
    </font>
    <font>
      <sz val="11"/>
      <color theme="1"/>
      <name val="Calibri"/>
      <family val="2"/>
      <scheme val="major"/>
    </font>
    <font>
      <u/>
      <sz val="10"/>
      <color theme="1"/>
      <name val="Calibri"/>
      <family val="2"/>
      <scheme val="major"/>
    </font>
    <font>
      <i/>
      <sz val="11"/>
      <color theme="1"/>
      <name val="Calibri"/>
      <family val="2"/>
    </font>
    <font>
      <b/>
      <sz val="11"/>
      <color rgb="FF7030A0"/>
      <name val="Calibri"/>
      <family val="2"/>
    </font>
    <font>
      <sz val="10"/>
      <color rgb="FF000000"/>
      <name val="Verdana"/>
      <family val="2"/>
    </font>
    <font>
      <u/>
      <sz val="8"/>
      <color theme="10"/>
      <name val="Cambria"/>
      <family val="1"/>
    </font>
  </fonts>
  <fills count="19">
    <fill>
      <patternFill patternType="none"/>
    </fill>
    <fill>
      <patternFill patternType="gray125"/>
    </fill>
    <fill>
      <patternFill patternType="solid">
        <fgColor rgb="FFFFFFCC"/>
        <bgColor rgb="FFFFFFCC"/>
      </patternFill>
    </fill>
    <fill>
      <patternFill patternType="solid">
        <fgColor rgb="FFFFFFFF"/>
        <bgColor rgb="FFFFFFFF"/>
      </patternFill>
    </fill>
    <fill>
      <patternFill patternType="solid">
        <fgColor rgb="FFD6E3BC"/>
        <bgColor rgb="FFD6E3BC"/>
      </patternFill>
    </fill>
    <fill>
      <patternFill patternType="solid">
        <fgColor theme="0"/>
        <bgColor theme="0"/>
      </patternFill>
    </fill>
    <fill>
      <patternFill patternType="solid">
        <fgColor rgb="FF99CCFF"/>
        <bgColor rgb="FF99CCFF"/>
      </patternFill>
    </fill>
    <fill>
      <patternFill patternType="solid">
        <fgColor theme="1"/>
        <bgColor theme="1"/>
      </patternFill>
    </fill>
    <fill>
      <patternFill patternType="solid">
        <fgColor rgb="FFCCCCFF"/>
        <bgColor rgb="FFCCCCFF"/>
      </patternFill>
    </fill>
    <fill>
      <patternFill patternType="solid">
        <fgColor rgb="FFFFFF00"/>
        <bgColor rgb="FFFFFF00"/>
      </patternFill>
    </fill>
    <fill>
      <patternFill patternType="solid">
        <fgColor rgb="FFFDE9D9"/>
        <bgColor rgb="FFFDE9D9"/>
      </patternFill>
    </fill>
    <fill>
      <patternFill patternType="solid">
        <fgColor rgb="FFFBD4B4"/>
        <bgColor rgb="FFFBD4B4"/>
      </patternFill>
    </fill>
    <fill>
      <patternFill patternType="solid">
        <fgColor rgb="FFC0C0C0"/>
        <bgColor rgb="FFC0C0C0"/>
      </patternFill>
    </fill>
    <fill>
      <patternFill patternType="solid">
        <fgColor rgb="FFC6D9F0"/>
        <bgColor rgb="FFC6D9F0"/>
      </patternFill>
    </fill>
    <fill>
      <patternFill patternType="solid">
        <fgColor rgb="FFB8CCE4"/>
        <bgColor rgb="FFB8CCE4"/>
      </patternFill>
    </fill>
    <fill>
      <patternFill patternType="solid">
        <fgColor rgb="FFB6DDE8"/>
        <bgColor rgb="FFB6DDE8"/>
      </patternFill>
    </fill>
    <fill>
      <patternFill patternType="solid">
        <fgColor rgb="FFBFBFBF"/>
        <bgColor rgb="FFBFBFBF"/>
      </patternFill>
    </fill>
    <fill>
      <patternFill patternType="solid">
        <fgColor rgb="FF8DB3E2"/>
        <bgColor rgb="FF8DB3E2"/>
      </patternFill>
    </fill>
    <fill>
      <patternFill patternType="solid">
        <fgColor rgb="FFFFC000"/>
        <bgColor rgb="FFFFFFCC"/>
      </patternFill>
    </fill>
  </fills>
  <borders count="152">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top/>
      <bottom/>
      <diagonal/>
    </border>
    <border>
      <left style="medium">
        <color rgb="FF000000"/>
      </left>
      <right/>
      <top/>
      <bottom/>
      <diagonal/>
    </border>
    <border>
      <left/>
      <right/>
      <top/>
      <bottom/>
      <diagonal/>
    </border>
    <border>
      <left/>
      <right style="medium">
        <color rgb="FF000000"/>
      </right>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double">
        <color rgb="FF000000"/>
      </bottom>
      <diagonal/>
    </border>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top style="thin">
        <color rgb="FF000000"/>
      </top>
      <bottom/>
      <diagonal/>
    </border>
    <border>
      <left/>
      <right/>
      <top style="thin">
        <color rgb="FF000000"/>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right style="medium">
        <color rgb="FF000000"/>
      </right>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style="medium">
        <color rgb="FF000000"/>
      </right>
      <top/>
      <bottom style="double">
        <color rgb="FF000000"/>
      </bottom>
      <diagonal/>
    </border>
    <border>
      <left style="medium">
        <color rgb="FF000000"/>
      </left>
      <right/>
      <top/>
      <bottom style="double">
        <color rgb="FF000000"/>
      </bottom>
      <diagonal/>
    </border>
    <border>
      <left/>
      <right/>
      <top/>
      <bottom style="double">
        <color rgb="FF000000"/>
      </bottom>
      <diagonal/>
    </border>
    <border>
      <left/>
      <right style="medium">
        <color rgb="FF000000"/>
      </right>
      <top/>
      <bottom style="double">
        <color rgb="FF000000"/>
      </bottom>
      <diagonal/>
    </border>
    <border>
      <left style="medium">
        <color rgb="FF000000"/>
      </left>
      <right style="medium">
        <color rgb="FF000000"/>
      </right>
      <top/>
      <bottom style="double">
        <color rgb="FF000000"/>
      </bottom>
      <diagonal/>
    </border>
    <border>
      <left/>
      <right/>
      <top style="double">
        <color rgb="FF000000"/>
      </top>
      <bottom style="medium">
        <color rgb="FF000000"/>
      </bottom>
      <diagonal/>
    </border>
    <border>
      <left/>
      <right style="medium">
        <color rgb="FF000000"/>
      </right>
      <top style="double">
        <color rgb="FF000000"/>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style="thin">
        <color rgb="FF000000"/>
      </top>
      <bottom style="double">
        <color rgb="FF000000"/>
      </bottom>
      <diagonal/>
    </border>
    <border>
      <left style="medium">
        <color rgb="FF000000"/>
      </left>
      <right/>
      <top/>
      <bottom style="double">
        <color rgb="FF000000"/>
      </bottom>
      <diagonal/>
    </border>
    <border>
      <left style="medium">
        <color rgb="FF000000"/>
      </left>
      <right style="medium">
        <color rgb="FF000000"/>
      </right>
      <top/>
      <bottom style="double">
        <color rgb="FF000000"/>
      </bottom>
      <diagonal/>
    </border>
    <border>
      <left/>
      <right style="medium">
        <color rgb="FF000000"/>
      </right>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double">
        <color rgb="FF000000"/>
      </bottom>
      <diagonal/>
    </border>
    <border>
      <left style="medium">
        <color rgb="FF000000"/>
      </left>
      <right/>
      <top style="double">
        <color rgb="FF000000"/>
      </top>
      <bottom style="medium">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top style="medium">
        <color rgb="FF000000"/>
      </top>
      <bottom/>
      <diagonal/>
    </border>
    <border>
      <left/>
      <right style="medium">
        <color rgb="FF000000"/>
      </right>
      <top style="medium">
        <color rgb="FF000000"/>
      </top>
      <bottom/>
      <diagonal/>
    </border>
    <border>
      <left style="thin">
        <color theme="1"/>
      </left>
      <right style="thin">
        <color theme="1"/>
      </right>
      <top style="thin">
        <color theme="1"/>
      </top>
      <bottom style="thin">
        <color theme="1"/>
      </bottom>
      <diagonal/>
    </border>
    <border>
      <left style="medium">
        <color theme="1"/>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medium">
        <color theme="1"/>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style="thin">
        <color theme="1"/>
      </right>
      <top/>
      <bottom/>
      <diagonal/>
    </border>
    <border>
      <left/>
      <right style="thin">
        <color rgb="FF000000"/>
      </right>
      <top/>
      <bottom/>
      <diagonal/>
    </border>
    <border>
      <left style="thin">
        <color theme="1"/>
      </left>
      <right style="thin">
        <color theme="1"/>
      </right>
      <top/>
      <bottom style="thin">
        <color theme="1"/>
      </bottom>
      <diagonal/>
    </border>
    <border>
      <left style="medium">
        <color rgb="FF000000"/>
      </left>
      <right style="thin">
        <color theme="1"/>
      </right>
      <top style="medium">
        <color rgb="FF000000"/>
      </top>
      <bottom style="thin">
        <color theme="1"/>
      </bottom>
      <diagonal/>
    </border>
    <border>
      <left style="thin">
        <color theme="1"/>
      </left>
      <right style="thin">
        <color theme="1"/>
      </right>
      <top style="medium">
        <color rgb="FF000000"/>
      </top>
      <bottom style="thin">
        <color theme="1"/>
      </bottom>
      <diagonal/>
    </border>
    <border>
      <left style="thin">
        <color theme="1"/>
      </left>
      <right style="medium">
        <color rgb="FF000000"/>
      </right>
      <top style="medium">
        <color rgb="FF000000"/>
      </top>
      <bottom style="thin">
        <color theme="1"/>
      </bottom>
      <diagonal/>
    </border>
    <border>
      <left style="thin">
        <color theme="1"/>
      </left>
      <right/>
      <top style="thin">
        <color theme="1"/>
      </top>
      <bottom style="thin">
        <color theme="1"/>
      </bottom>
      <diagonal/>
    </border>
    <border>
      <left style="medium">
        <color rgb="FF000000"/>
      </left>
      <right/>
      <top style="thin">
        <color theme="1"/>
      </top>
      <bottom style="thin">
        <color theme="1"/>
      </bottom>
      <diagonal/>
    </border>
    <border>
      <left/>
      <right style="medium">
        <color rgb="FF000000"/>
      </right>
      <top style="thin">
        <color theme="1"/>
      </top>
      <bottom style="thin">
        <color theme="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style="thin">
        <color rgb="FF000000"/>
      </left>
      <right/>
      <top/>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theme="1"/>
      </bottom>
      <diagonal/>
    </border>
    <border>
      <left style="medium">
        <color theme="1"/>
      </left>
      <right style="medium">
        <color theme="1"/>
      </right>
      <top style="medium">
        <color theme="1"/>
      </top>
      <bottom style="medium">
        <color theme="1"/>
      </bottom>
      <diagonal/>
    </border>
    <border>
      <left/>
      <right style="thin">
        <color rgb="FF000000"/>
      </right>
      <top/>
      <bottom/>
      <diagonal/>
    </border>
    <border>
      <left/>
      <right style="thin">
        <color rgb="FF000000"/>
      </right>
      <top/>
      <bottom/>
      <diagonal/>
    </border>
    <border>
      <left/>
      <right/>
      <top/>
      <bottom style="thin">
        <color rgb="FF000000"/>
      </bottom>
      <diagonal/>
    </border>
    <border>
      <left/>
      <right/>
      <top/>
      <bottom style="thin">
        <color theme="1"/>
      </bottom>
      <diagonal/>
    </border>
    <border>
      <left/>
      <right style="thin">
        <color rgb="FF000000"/>
      </right>
      <top/>
      <bottom style="thin">
        <color theme="1"/>
      </bottom>
      <diagonal/>
    </border>
    <border>
      <left style="medium">
        <color rgb="FF000000"/>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0" fontId="55" fillId="0" borderId="0" applyNumberFormat="0" applyFill="0" applyBorder="0" applyAlignment="0" applyProtection="0"/>
    <xf numFmtId="9" fontId="56" fillId="0" borderId="0" applyFont="0" applyFill="0" applyBorder="0" applyAlignment="0" applyProtection="0"/>
    <xf numFmtId="43" fontId="70" fillId="0" borderId="0" applyFont="0" applyFill="0" applyBorder="0" applyAlignment="0" applyProtection="0"/>
  </cellStyleXfs>
  <cellXfs count="770">
    <xf numFmtId="0" fontId="0" fillId="0" borderId="0" xfId="0" applyFont="1" applyAlignment="1"/>
    <xf numFmtId="0" fontId="1" fillId="0" borderId="0" xfId="0" applyFont="1"/>
    <xf numFmtId="0" fontId="2" fillId="0" borderId="0" xfId="0" applyFont="1"/>
    <xf numFmtId="0" fontId="6" fillId="0" borderId="12" xfId="0" applyFont="1" applyBorder="1" applyAlignment="1">
      <alignment horizontal="center"/>
    </xf>
    <xf numFmtId="164" fontId="7" fillId="2" borderId="13" xfId="0" applyNumberFormat="1" applyFont="1" applyFill="1" applyBorder="1"/>
    <xf numFmtId="0" fontId="8" fillId="3" borderId="14" xfId="0" applyFont="1" applyFill="1" applyBorder="1"/>
    <xf numFmtId="0" fontId="8" fillId="3" borderId="15" xfId="0" applyFont="1" applyFill="1" applyBorder="1"/>
    <xf numFmtId="0" fontId="8" fillId="3" borderId="15" xfId="0" applyFont="1" applyFill="1" applyBorder="1" applyAlignment="1">
      <alignment horizontal="center"/>
    </xf>
    <xf numFmtId="0" fontId="8" fillId="3" borderId="13" xfId="0" applyFont="1" applyFill="1" applyBorder="1" applyAlignment="1">
      <alignment horizontal="center"/>
    </xf>
    <xf numFmtId="164" fontId="7" fillId="2" borderId="13" xfId="0" applyNumberFormat="1" applyFont="1" applyFill="1" applyBorder="1" applyAlignment="1"/>
    <xf numFmtId="165" fontId="8" fillId="4" borderId="15" xfId="0" applyNumberFormat="1" applyFont="1" applyFill="1" applyBorder="1" applyAlignment="1">
      <alignment horizontal="center"/>
    </xf>
    <xf numFmtId="0" fontId="6" fillId="0" borderId="5" xfId="0" applyFont="1" applyBorder="1" applyAlignment="1">
      <alignment horizontal="center"/>
    </xf>
    <xf numFmtId="164" fontId="7" fillId="2" borderId="18" xfId="0" applyNumberFormat="1" applyFont="1" applyFill="1" applyBorder="1"/>
    <xf numFmtId="165" fontId="9" fillId="0" borderId="0" xfId="0" applyNumberFormat="1" applyFont="1" applyAlignment="1">
      <alignment horizontal="center"/>
    </xf>
    <xf numFmtId="9" fontId="10" fillId="5" borderId="13" xfId="0" applyNumberFormat="1" applyFont="1" applyFill="1" applyBorder="1" applyAlignment="1">
      <alignment horizontal="center"/>
    </xf>
    <xf numFmtId="0" fontId="11" fillId="0" borderId="19" xfId="0" applyFont="1" applyBorder="1" applyAlignment="1">
      <alignment horizontal="center"/>
    </xf>
    <xf numFmtId="164" fontId="9" fillId="2" borderId="20" xfId="0" applyNumberFormat="1" applyFont="1" applyFill="1" applyBorder="1"/>
    <xf numFmtId="9" fontId="10" fillId="3" borderId="13" xfId="0" applyNumberFormat="1" applyFont="1" applyFill="1" applyBorder="1" applyAlignment="1">
      <alignment horizontal="center"/>
    </xf>
    <xf numFmtId="0" fontId="11" fillId="0" borderId="21" xfId="0" applyFont="1" applyBorder="1" applyAlignment="1">
      <alignment horizontal="center"/>
    </xf>
    <xf numFmtId="164" fontId="9" fillId="2" borderId="22" xfId="0" applyNumberFormat="1" applyFont="1" applyFill="1" applyBorder="1"/>
    <xf numFmtId="0" fontId="9" fillId="0" borderId="0" xfId="0" applyFont="1"/>
    <xf numFmtId="0" fontId="7" fillId="0" borderId="0" xfId="0" applyFont="1"/>
    <xf numFmtId="9" fontId="9" fillId="2" borderId="13" xfId="0" applyNumberFormat="1" applyFont="1" applyFill="1" applyBorder="1" applyAlignment="1">
      <alignment horizontal="center"/>
    </xf>
    <xf numFmtId="0" fontId="1" fillId="3" borderId="14" xfId="0" applyFont="1" applyFill="1" applyBorder="1" applyAlignment="1">
      <alignment horizontal="center"/>
    </xf>
    <xf numFmtId="0" fontId="1" fillId="3" borderId="15" xfId="0" applyFont="1" applyFill="1" applyBorder="1" applyAlignment="1">
      <alignment horizontal="center"/>
    </xf>
    <xf numFmtId="165" fontId="1" fillId="3" borderId="15" xfId="0" applyNumberFormat="1" applyFont="1" applyFill="1" applyBorder="1" applyAlignment="1">
      <alignment horizontal="center"/>
    </xf>
    <xf numFmtId="9" fontId="1" fillId="3" borderId="13" xfId="0" applyNumberFormat="1" applyFont="1" applyFill="1" applyBorder="1" applyAlignment="1">
      <alignment horizontal="center"/>
    </xf>
    <xf numFmtId="0" fontId="1" fillId="3" borderId="14" xfId="0" applyFont="1" applyFill="1" applyBorder="1"/>
    <xf numFmtId="0" fontId="1" fillId="3" borderId="15" xfId="0" applyFont="1" applyFill="1" applyBorder="1"/>
    <xf numFmtId="166" fontId="1" fillId="3" borderId="15" xfId="0" applyNumberFormat="1" applyFont="1" applyFill="1" applyBorder="1" applyAlignment="1">
      <alignment horizontal="center"/>
    </xf>
    <xf numFmtId="9" fontId="12" fillId="3" borderId="13" xfId="0" applyNumberFormat="1" applyFont="1" applyFill="1" applyBorder="1" applyAlignment="1">
      <alignment horizontal="center"/>
    </xf>
    <xf numFmtId="166" fontId="7" fillId="2" borderId="24" xfId="0" applyNumberFormat="1" applyFont="1" applyFill="1" applyBorder="1" applyAlignment="1">
      <alignment horizontal="center"/>
    </xf>
    <xf numFmtId="9" fontId="1" fillId="3" borderId="13" xfId="0" applyNumberFormat="1" applyFont="1" applyFill="1" applyBorder="1"/>
    <xf numFmtId="0" fontId="1" fillId="0" borderId="0" xfId="0" applyFont="1" applyAlignment="1">
      <alignment vertical="top" wrapText="1"/>
    </xf>
    <xf numFmtId="166" fontId="13" fillId="6" borderId="27" xfId="0" applyNumberFormat="1" applyFont="1" applyFill="1" applyBorder="1" applyAlignment="1">
      <alignment horizontal="center"/>
    </xf>
    <xf numFmtId="167" fontId="13" fillId="3" borderId="28" xfId="0" applyNumberFormat="1" applyFont="1" applyFill="1" applyBorder="1" applyAlignment="1">
      <alignment horizontal="center"/>
    </xf>
    <xf numFmtId="0" fontId="1" fillId="3" borderId="29" xfId="0" applyFont="1" applyFill="1" applyBorder="1"/>
    <xf numFmtId="167" fontId="13" fillId="3" borderId="24" xfId="0" applyNumberFormat="1" applyFont="1" applyFill="1" applyBorder="1" applyAlignment="1">
      <alignment horizontal="center"/>
    </xf>
    <xf numFmtId="0" fontId="1" fillId="0" borderId="30" xfId="0" applyFont="1" applyBorder="1"/>
    <xf numFmtId="167" fontId="1" fillId="0" borderId="0" xfId="0" applyNumberFormat="1" applyFont="1" applyAlignment="1">
      <alignment vertical="top" wrapText="1"/>
    </xf>
    <xf numFmtId="168" fontId="1" fillId="0" borderId="0" xfId="0" applyNumberFormat="1" applyFont="1" applyAlignment="1">
      <alignment vertical="top" wrapText="1"/>
    </xf>
    <xf numFmtId="0" fontId="18" fillId="0" borderId="0" xfId="0" applyFont="1"/>
    <xf numFmtId="10" fontId="18" fillId="0" borderId="0" xfId="0" applyNumberFormat="1" applyFont="1"/>
    <xf numFmtId="0" fontId="19" fillId="0" borderId="0" xfId="0" applyFont="1"/>
    <xf numFmtId="0" fontId="1" fillId="0" borderId="0" xfId="0" applyFont="1" applyAlignment="1">
      <alignment horizontal="center" vertical="center"/>
    </xf>
    <xf numFmtId="167" fontId="19" fillId="0" borderId="0" xfId="0" applyNumberFormat="1" applyFont="1"/>
    <xf numFmtId="167" fontId="19" fillId="0" borderId="0" xfId="0" applyNumberFormat="1" applyFont="1" applyAlignment="1">
      <alignment horizontal="center"/>
    </xf>
    <xf numFmtId="0" fontId="20" fillId="0" borderId="0" xfId="0" applyFont="1"/>
    <xf numFmtId="0" fontId="20" fillId="0" borderId="0" xfId="0" applyFont="1" applyAlignment="1">
      <alignment horizontal="center"/>
    </xf>
    <xf numFmtId="0" fontId="19" fillId="0" borderId="0" xfId="0" applyFont="1" applyAlignment="1">
      <alignment horizontal="center"/>
    </xf>
    <xf numFmtId="164" fontId="1" fillId="0" borderId="0" xfId="0" applyNumberFormat="1" applyFont="1"/>
    <xf numFmtId="0" fontId="22" fillId="0" borderId="0" xfId="0" applyFont="1"/>
    <xf numFmtId="164" fontId="19" fillId="0" borderId="0" xfId="0" applyNumberFormat="1" applyFont="1"/>
    <xf numFmtId="164" fontId="1" fillId="0" borderId="39" xfId="0" applyNumberFormat="1" applyFont="1" applyBorder="1"/>
    <xf numFmtId="167" fontId="1" fillId="0" borderId="0" xfId="0" applyNumberFormat="1" applyFont="1"/>
    <xf numFmtId="164" fontId="11" fillId="0" borderId="0" xfId="0" applyNumberFormat="1" applyFont="1"/>
    <xf numFmtId="0" fontId="1" fillId="0" borderId="0" xfId="0" applyFont="1" applyAlignment="1">
      <alignment horizontal="right"/>
    </xf>
    <xf numFmtId="10" fontId="1" fillId="0" borderId="0" xfId="0" applyNumberFormat="1" applyFont="1"/>
    <xf numFmtId="0" fontId="19" fillId="0" borderId="0" xfId="0" applyFont="1" applyAlignment="1">
      <alignment horizontal="right"/>
    </xf>
    <xf numFmtId="0" fontId="19" fillId="0" borderId="39" xfId="0" applyFont="1" applyBorder="1"/>
    <xf numFmtId="0" fontId="1" fillId="0" borderId="39" xfId="0" applyFont="1" applyBorder="1"/>
    <xf numFmtId="0" fontId="11" fillId="0" borderId="0" xfId="0" applyFont="1" applyAlignment="1">
      <alignment horizontal="right"/>
    </xf>
    <xf numFmtId="38" fontId="1" fillId="0" borderId="0" xfId="0" applyNumberFormat="1" applyFont="1"/>
    <xf numFmtId="0" fontId="23" fillId="0" borderId="0" xfId="0" applyFont="1"/>
    <xf numFmtId="0" fontId="11" fillId="0" borderId="0" xfId="0" applyFont="1"/>
    <xf numFmtId="9" fontId="1" fillId="0" borderId="0" xfId="0" applyNumberFormat="1" applyFont="1"/>
    <xf numFmtId="0" fontId="8" fillId="0" borderId="0" xfId="0" applyFont="1"/>
    <xf numFmtId="0" fontId="8" fillId="8" borderId="38" xfId="0" applyFont="1" applyFill="1" applyBorder="1" applyAlignment="1">
      <alignment horizontal="center"/>
    </xf>
    <xf numFmtId="0" fontId="8" fillId="9" borderId="38" xfId="0" applyFont="1" applyFill="1" applyBorder="1" applyAlignment="1">
      <alignment horizontal="center"/>
    </xf>
    <xf numFmtId="0" fontId="8" fillId="0" borderId="0" xfId="0" applyFont="1" applyAlignment="1"/>
    <xf numFmtId="0" fontId="6" fillId="0" borderId="0" xfId="0" applyFont="1"/>
    <xf numFmtId="164" fontId="8" fillId="0" borderId="0" xfId="0" applyNumberFormat="1" applyFont="1"/>
    <xf numFmtId="9" fontId="8" fillId="0" borderId="0" xfId="0" applyNumberFormat="1" applyFont="1"/>
    <xf numFmtId="4" fontId="8" fillId="0" borderId="0" xfId="0" applyNumberFormat="1" applyFont="1"/>
    <xf numFmtId="0" fontId="8" fillId="10" borderId="15" xfId="0" applyFont="1" applyFill="1" applyBorder="1"/>
    <xf numFmtId="0" fontId="8" fillId="10" borderId="41" xfId="0" applyFont="1" applyFill="1" applyBorder="1"/>
    <xf numFmtId="0" fontId="8" fillId="10" borderId="36" xfId="0" applyFont="1" applyFill="1" applyBorder="1"/>
    <xf numFmtId="0" fontId="8" fillId="10" borderId="17" xfId="0" applyFont="1" applyFill="1" applyBorder="1"/>
    <xf numFmtId="0" fontId="8" fillId="8" borderId="46" xfId="0" applyFont="1" applyFill="1" applyBorder="1" applyAlignment="1">
      <alignment horizontal="center"/>
    </xf>
    <xf numFmtId="0" fontId="8" fillId="8" borderId="47" xfId="0" applyFont="1" applyFill="1" applyBorder="1" applyAlignment="1">
      <alignment horizontal="center"/>
    </xf>
    <xf numFmtId="0" fontId="8" fillId="8" borderId="48" xfId="0" applyFont="1" applyFill="1" applyBorder="1" applyAlignment="1">
      <alignment horizontal="center"/>
    </xf>
    <xf numFmtId="0" fontId="8" fillId="9" borderId="49" xfId="0" applyFont="1" applyFill="1" applyBorder="1" applyAlignment="1">
      <alignment horizontal="center"/>
    </xf>
    <xf numFmtId="0" fontId="8" fillId="9" borderId="47" xfId="0" applyFont="1" applyFill="1" applyBorder="1" applyAlignment="1">
      <alignment horizontal="center"/>
    </xf>
    <xf numFmtId="0" fontId="8" fillId="10" borderId="15" xfId="0" applyFont="1" applyFill="1" applyBorder="1" applyAlignment="1">
      <alignment horizontal="left"/>
    </xf>
    <xf numFmtId="0" fontId="24" fillId="0" borderId="0" xfId="0" applyFont="1"/>
    <xf numFmtId="167" fontId="8" fillId="0" borderId="12" xfId="0" applyNumberFormat="1" applyFont="1" applyBorder="1"/>
    <xf numFmtId="167" fontId="8" fillId="0" borderId="0" xfId="0" applyNumberFormat="1" applyFont="1"/>
    <xf numFmtId="167" fontId="8" fillId="0" borderId="50" xfId="0" applyNumberFormat="1" applyFont="1" applyBorder="1"/>
    <xf numFmtId="167" fontId="8" fillId="0" borderId="51" xfId="0" applyNumberFormat="1" applyFont="1" applyBorder="1"/>
    <xf numFmtId="167" fontId="8" fillId="0" borderId="52" xfId="0" applyNumberFormat="1" applyFont="1" applyBorder="1"/>
    <xf numFmtId="167" fontId="8" fillId="7" borderId="14" xfId="0" applyNumberFormat="1" applyFont="1" applyFill="1" applyBorder="1"/>
    <xf numFmtId="167" fontId="8" fillId="7" borderId="15" xfId="0" applyNumberFormat="1" applyFont="1" applyFill="1" applyBorder="1"/>
    <xf numFmtId="167" fontId="8" fillId="7" borderId="13" xfId="0" applyNumberFormat="1" applyFont="1" applyFill="1" applyBorder="1"/>
    <xf numFmtId="167" fontId="8" fillId="10" borderId="15" xfId="0" applyNumberFormat="1" applyFont="1" applyFill="1" applyBorder="1" applyAlignment="1">
      <alignment horizontal="left"/>
    </xf>
    <xf numFmtId="164" fontId="7" fillId="2" borderId="14" xfId="0" applyNumberFormat="1" applyFont="1" applyFill="1" applyBorder="1"/>
    <xf numFmtId="164" fontId="7" fillId="2" borderId="15" xfId="0" applyNumberFormat="1" applyFont="1" applyFill="1" applyBorder="1"/>
    <xf numFmtId="170" fontId="7" fillId="2" borderId="13" xfId="0" applyNumberFormat="1" applyFont="1" applyFill="1" applyBorder="1"/>
    <xf numFmtId="164" fontId="7" fillId="2" borderId="14" xfId="0" applyNumberFormat="1" applyFont="1" applyFill="1" applyBorder="1" applyAlignment="1"/>
    <xf numFmtId="164" fontId="7" fillId="2" borderId="15" xfId="0" applyNumberFormat="1" applyFont="1" applyFill="1" applyBorder="1" applyAlignment="1"/>
    <xf numFmtId="164" fontId="8" fillId="10" borderId="15" xfId="0" applyNumberFormat="1" applyFont="1" applyFill="1" applyBorder="1"/>
    <xf numFmtId="167" fontId="7" fillId="2" borderId="28" xfId="0" applyNumberFormat="1" applyFont="1" applyFill="1" applyBorder="1" applyAlignment="1">
      <alignment horizontal="center"/>
    </xf>
    <xf numFmtId="167" fontId="7" fillId="2" borderId="13" xfId="0" applyNumberFormat="1" applyFont="1" applyFill="1" applyBorder="1" applyAlignment="1">
      <alignment horizontal="center"/>
    </xf>
    <xf numFmtId="0" fontId="24" fillId="0" borderId="39" xfId="0" applyFont="1" applyBorder="1"/>
    <xf numFmtId="164" fontId="8" fillId="0" borderId="39" xfId="0" applyNumberFormat="1" applyFont="1" applyBorder="1"/>
    <xf numFmtId="167" fontId="7" fillId="2" borderId="56" xfId="0" applyNumberFormat="1" applyFont="1" applyFill="1" applyBorder="1" applyAlignment="1">
      <alignment horizontal="center"/>
    </xf>
    <xf numFmtId="167" fontId="7" fillId="2" borderId="55" xfId="0" applyNumberFormat="1" applyFont="1" applyFill="1" applyBorder="1" applyAlignment="1">
      <alignment horizontal="center"/>
    </xf>
    <xf numFmtId="167" fontId="25" fillId="10" borderId="15" xfId="0" applyNumberFormat="1" applyFont="1" applyFill="1" applyBorder="1" applyAlignment="1">
      <alignment horizontal="left"/>
    </xf>
    <xf numFmtId="164" fontId="8" fillId="0" borderId="12" xfId="0" applyNumberFormat="1" applyFont="1" applyBorder="1"/>
    <xf numFmtId="164" fontId="8" fillId="0" borderId="57" xfId="0" applyNumberFormat="1" applyFont="1" applyBorder="1"/>
    <xf numFmtId="167" fontId="25" fillId="7" borderId="29" xfId="0" applyNumberFormat="1" applyFont="1" applyFill="1" applyBorder="1" applyAlignment="1">
      <alignment horizontal="center"/>
    </xf>
    <xf numFmtId="167" fontId="25" fillId="7" borderId="13" xfId="0" applyNumberFormat="1" applyFont="1" applyFill="1" applyBorder="1" applyAlignment="1">
      <alignment horizontal="center"/>
    </xf>
    <xf numFmtId="0" fontId="24" fillId="0" borderId="57" xfId="0" applyFont="1" applyBorder="1"/>
    <xf numFmtId="167" fontId="7" fillId="2" borderId="29" xfId="0" applyNumberFormat="1" applyFont="1" applyFill="1" applyBorder="1" applyAlignment="1">
      <alignment horizontal="center"/>
    </xf>
    <xf numFmtId="4" fontId="7" fillId="2" borderId="54" xfId="0" applyNumberFormat="1" applyFont="1" applyFill="1" applyBorder="1"/>
    <xf numFmtId="4" fontId="7" fillId="2" borderId="55" xfId="0" applyNumberFormat="1" applyFont="1" applyFill="1" applyBorder="1"/>
    <xf numFmtId="4" fontId="7" fillId="2" borderId="53" xfId="0" applyNumberFormat="1" applyFont="1" applyFill="1" applyBorder="1"/>
    <xf numFmtId="169" fontId="7" fillId="2" borderId="53" xfId="0" applyNumberFormat="1" applyFont="1" applyFill="1" applyBorder="1"/>
    <xf numFmtId="169" fontId="7" fillId="2" borderId="54" xfId="0" applyNumberFormat="1" applyFont="1" applyFill="1" applyBorder="1"/>
    <xf numFmtId="169" fontId="7" fillId="2" borderId="55" xfId="0" applyNumberFormat="1" applyFont="1" applyFill="1" applyBorder="1"/>
    <xf numFmtId="169" fontId="7" fillId="2" borderId="54" xfId="0" applyNumberFormat="1" applyFont="1" applyFill="1" applyBorder="1" applyAlignment="1"/>
    <xf numFmtId="164" fontId="8" fillId="0" borderId="51" xfId="0" applyNumberFormat="1" applyFont="1" applyBorder="1"/>
    <xf numFmtId="164" fontId="8" fillId="0" borderId="52" xfId="0" applyNumberFormat="1" applyFont="1" applyBorder="1"/>
    <xf numFmtId="170" fontId="8" fillId="0" borderId="50" xfId="0" applyNumberFormat="1" applyFont="1" applyBorder="1"/>
    <xf numFmtId="164" fontId="8" fillId="0" borderId="50" xfId="0" applyNumberFormat="1" applyFont="1" applyBorder="1"/>
    <xf numFmtId="167" fontId="25" fillId="7" borderId="58" xfId="0" applyNumberFormat="1" applyFont="1" applyFill="1" applyBorder="1" applyAlignment="1">
      <alignment horizontal="center"/>
    </xf>
    <xf numFmtId="167" fontId="25" fillId="7" borderId="59" xfId="0" applyNumberFormat="1" applyFont="1" applyFill="1" applyBorder="1" applyAlignment="1">
      <alignment horizontal="center"/>
    </xf>
    <xf numFmtId="0" fontId="24" fillId="0" borderId="60" xfId="0" applyFont="1" applyBorder="1"/>
    <xf numFmtId="169" fontId="7" fillId="2" borderId="61" xfId="0" applyNumberFormat="1" applyFont="1" applyFill="1" applyBorder="1" applyAlignment="1"/>
    <xf numFmtId="169" fontId="7" fillId="2" borderId="62" xfId="0" applyNumberFormat="1" applyFont="1" applyFill="1" applyBorder="1"/>
    <xf numFmtId="169" fontId="7" fillId="2" borderId="61" xfId="0" applyNumberFormat="1" applyFont="1" applyFill="1" applyBorder="1"/>
    <xf numFmtId="169" fontId="7" fillId="2" borderId="63" xfId="0" applyNumberFormat="1" applyFont="1" applyFill="1" applyBorder="1"/>
    <xf numFmtId="164" fontId="8" fillId="0" borderId="0" xfId="0" applyNumberFormat="1" applyFont="1" applyAlignment="1"/>
    <xf numFmtId="167" fontId="7" fillId="2" borderId="64" xfId="0" applyNumberFormat="1" applyFont="1" applyFill="1" applyBorder="1" applyAlignment="1">
      <alignment horizontal="center"/>
    </xf>
    <xf numFmtId="0" fontId="24" fillId="0" borderId="8" xfId="0" applyFont="1" applyBorder="1"/>
    <xf numFmtId="164" fontId="8" fillId="0" borderId="5" xfId="0" applyNumberFormat="1" applyFont="1" applyBorder="1"/>
    <xf numFmtId="164" fontId="8" fillId="0" borderId="65" xfId="0" applyNumberFormat="1" applyFont="1" applyBorder="1"/>
    <xf numFmtId="164" fontId="8" fillId="0" borderId="66" xfId="0" applyNumberFormat="1" applyFont="1" applyBorder="1"/>
    <xf numFmtId="167" fontId="8" fillId="7" borderId="27" xfId="0" applyNumberFormat="1" applyFont="1" applyFill="1" applyBorder="1" applyAlignment="1">
      <alignment horizontal="center"/>
    </xf>
    <xf numFmtId="167" fontId="8" fillId="7" borderId="67" xfId="0" applyNumberFormat="1" applyFont="1" applyFill="1" applyBorder="1" applyAlignment="1">
      <alignment horizontal="center"/>
    </xf>
    <xf numFmtId="167" fontId="8" fillId="7" borderId="18" xfId="0" applyNumberFormat="1" applyFont="1" applyFill="1" applyBorder="1" applyAlignment="1">
      <alignment horizontal="center"/>
    </xf>
    <xf numFmtId="0" fontId="8" fillId="0" borderId="0" xfId="0" applyFont="1" applyAlignment="1">
      <alignment horizontal="left"/>
    </xf>
    <xf numFmtId="165" fontId="7" fillId="2" borderId="15" xfId="0" applyNumberFormat="1" applyFont="1" applyFill="1" applyBorder="1"/>
    <xf numFmtId="165" fontId="8" fillId="0" borderId="0" xfId="0" applyNumberFormat="1" applyFont="1"/>
    <xf numFmtId="171" fontId="8" fillId="0" borderId="0" xfId="0" applyNumberFormat="1" applyFont="1"/>
    <xf numFmtId="0" fontId="26" fillId="0" borderId="0" xfId="0" applyFont="1"/>
    <xf numFmtId="0" fontId="8" fillId="11" borderId="15" xfId="0" applyFont="1" applyFill="1" applyBorder="1"/>
    <xf numFmtId="0" fontId="3" fillId="11" borderId="15" xfId="0" applyFont="1" applyFill="1" applyBorder="1" applyAlignment="1">
      <alignment vertical="center"/>
    </xf>
    <xf numFmtId="0" fontId="6" fillId="11" borderId="15" xfId="0" applyFont="1" applyFill="1" applyBorder="1" applyAlignment="1">
      <alignment horizontal="left"/>
    </xf>
    <xf numFmtId="0" fontId="8" fillId="11" borderId="36" xfId="0" applyFont="1" applyFill="1" applyBorder="1"/>
    <xf numFmtId="0" fontId="8" fillId="9" borderId="31" xfId="0" applyFont="1" applyFill="1" applyBorder="1" applyAlignment="1">
      <alignment horizontal="center"/>
    </xf>
    <xf numFmtId="0" fontId="8" fillId="0" borderId="12" xfId="0" applyFont="1" applyBorder="1" applyAlignment="1">
      <alignment horizontal="center"/>
    </xf>
    <xf numFmtId="167" fontId="8" fillId="0" borderId="12" xfId="0" applyNumberFormat="1" applyFont="1" applyBorder="1" applyAlignment="1">
      <alignment horizontal="center"/>
    </xf>
    <xf numFmtId="167" fontId="8" fillId="0" borderId="68" xfId="0" applyNumberFormat="1" applyFont="1" applyBorder="1" applyAlignment="1">
      <alignment horizontal="center"/>
    </xf>
    <xf numFmtId="0" fontId="8" fillId="0" borderId="39" xfId="0" applyFont="1" applyBorder="1"/>
    <xf numFmtId="167" fontId="8" fillId="0" borderId="69" xfId="0" applyNumberFormat="1" applyFont="1" applyBorder="1" applyAlignment="1">
      <alignment horizontal="center"/>
    </xf>
    <xf numFmtId="167" fontId="8" fillId="0" borderId="70" xfId="0" applyNumberFormat="1" applyFont="1" applyBorder="1" applyAlignment="1">
      <alignment horizontal="center"/>
    </xf>
    <xf numFmtId="0" fontId="8" fillId="0" borderId="57" xfId="0" applyFont="1" applyBorder="1"/>
    <xf numFmtId="10" fontId="8" fillId="0" borderId="0" xfId="0" applyNumberFormat="1" applyFont="1"/>
    <xf numFmtId="0" fontId="8" fillId="0" borderId="71" xfId="0" applyFont="1" applyBorder="1"/>
    <xf numFmtId="167" fontId="8" fillId="0" borderId="72" xfId="0" applyNumberFormat="1" applyFont="1" applyBorder="1" applyAlignment="1">
      <alignment horizontal="center"/>
    </xf>
    <xf numFmtId="167" fontId="8" fillId="0" borderId="73" xfId="0" applyNumberFormat="1" applyFont="1" applyBorder="1" applyAlignment="1">
      <alignment horizontal="center"/>
    </xf>
    <xf numFmtId="164" fontId="8" fillId="11" borderId="15" xfId="0" applyNumberFormat="1" applyFont="1" applyFill="1" applyBorder="1"/>
    <xf numFmtId="9" fontId="8" fillId="11" borderId="15" xfId="0" applyNumberFormat="1" applyFont="1" applyFill="1" applyBorder="1"/>
    <xf numFmtId="167" fontId="8" fillId="11" borderId="15" xfId="0" applyNumberFormat="1" applyFont="1" applyFill="1" applyBorder="1" applyAlignment="1">
      <alignment horizontal="center"/>
    </xf>
    <xf numFmtId="0" fontId="3" fillId="11" borderId="15" xfId="0" applyFont="1" applyFill="1" applyBorder="1" applyAlignment="1">
      <alignment horizontal="left" vertical="center"/>
    </xf>
    <xf numFmtId="0" fontId="8" fillId="11" borderId="15" xfId="0" applyFont="1" applyFill="1" applyBorder="1" applyAlignment="1">
      <alignment horizontal="left"/>
    </xf>
    <xf numFmtId="0" fontId="3" fillId="11" borderId="15" xfId="0" applyFont="1" applyFill="1" applyBorder="1" applyAlignment="1">
      <alignment horizontal="left"/>
    </xf>
    <xf numFmtId="0" fontId="8" fillId="11" borderId="15" xfId="0" applyFont="1" applyFill="1" applyBorder="1" applyAlignment="1">
      <alignment vertical="center"/>
    </xf>
    <xf numFmtId="0" fontId="8" fillId="0" borderId="0" xfId="0" applyFont="1" applyAlignment="1">
      <alignment vertical="center"/>
    </xf>
    <xf numFmtId="0" fontId="8" fillId="0" borderId="12" xfId="0" applyFont="1" applyBorder="1"/>
    <xf numFmtId="167" fontId="8" fillId="0" borderId="57" xfId="0" applyNumberFormat="1" applyFont="1" applyBorder="1"/>
    <xf numFmtId="164" fontId="8" fillId="0" borderId="74" xfId="0" applyNumberFormat="1" applyFont="1" applyBorder="1"/>
    <xf numFmtId="164" fontId="8" fillId="0" borderId="69" xfId="0" applyNumberFormat="1" applyFont="1" applyBorder="1"/>
    <xf numFmtId="164" fontId="8" fillId="0" borderId="75" xfId="0" applyNumberFormat="1" applyFont="1" applyBorder="1"/>
    <xf numFmtId="0" fontId="8" fillId="0" borderId="40" xfId="0" applyFont="1" applyBorder="1"/>
    <xf numFmtId="164" fontId="8" fillId="0" borderId="76" xfId="0" applyNumberFormat="1" applyFont="1" applyBorder="1"/>
    <xf numFmtId="164" fontId="8" fillId="0" borderId="71" xfId="0" applyNumberFormat="1" applyFont="1" applyBorder="1"/>
    <xf numFmtId="164" fontId="8" fillId="0" borderId="60" xfId="0" applyNumberFormat="1" applyFont="1" applyBorder="1"/>
    <xf numFmtId="164" fontId="8" fillId="0" borderId="77" xfId="0" applyNumberFormat="1" applyFont="1" applyBorder="1"/>
    <xf numFmtId="164" fontId="8" fillId="0" borderId="6" xfId="0" applyNumberFormat="1" applyFont="1" applyBorder="1"/>
    <xf numFmtId="164" fontId="8" fillId="0" borderId="8" xfId="0" applyNumberFormat="1" applyFont="1" applyBorder="1"/>
    <xf numFmtId="0" fontId="11" fillId="0" borderId="31" xfId="0" applyFont="1" applyBorder="1" applyAlignment="1">
      <alignment horizontal="center" vertical="center"/>
    </xf>
    <xf numFmtId="166" fontId="1" fillId="0" borderId="32" xfId="0" applyNumberFormat="1" applyFont="1" applyBorder="1" applyAlignment="1">
      <alignment horizontal="center" vertical="center"/>
    </xf>
    <xf numFmtId="167" fontId="1" fillId="9" borderId="38" xfId="0" applyNumberFormat="1" applyFont="1" applyFill="1" applyBorder="1" applyAlignment="1">
      <alignment horizontal="center"/>
    </xf>
    <xf numFmtId="167" fontId="9" fillId="2" borderId="38" xfId="0" applyNumberFormat="1" applyFont="1" applyFill="1" applyBorder="1" applyAlignment="1">
      <alignment horizontal="center"/>
    </xf>
    <xf numFmtId="0" fontId="1" fillId="0" borderId="5" xfId="0" applyFont="1" applyBorder="1"/>
    <xf numFmtId="10" fontId="9" fillId="2" borderId="18" xfId="0" applyNumberFormat="1" applyFont="1" applyFill="1" applyBorder="1" applyAlignment="1"/>
    <xf numFmtId="0" fontId="22" fillId="0" borderId="1" xfId="0" applyFont="1" applyBorder="1"/>
    <xf numFmtId="0" fontId="22" fillId="0" borderId="2" xfId="0" applyFont="1" applyBorder="1"/>
    <xf numFmtId="0" fontId="22" fillId="12" borderId="87" xfId="0" applyFont="1" applyFill="1" applyBorder="1"/>
    <xf numFmtId="0" fontId="22" fillId="12" borderId="88" xfId="0" applyFont="1" applyFill="1" applyBorder="1"/>
    <xf numFmtId="0" fontId="1" fillId="0" borderId="78" xfId="0" applyFont="1" applyBorder="1"/>
    <xf numFmtId="2" fontId="9" fillId="2" borderId="89" xfId="0" applyNumberFormat="1" applyFont="1" applyFill="1" applyBorder="1"/>
    <xf numFmtId="0" fontId="1" fillId="0" borderId="12" xfId="0" applyFont="1" applyBorder="1"/>
    <xf numFmtId="0" fontId="22" fillId="12" borderId="15" xfId="0" applyFont="1" applyFill="1" applyBorder="1"/>
    <xf numFmtId="0" fontId="22" fillId="12" borderId="13" xfId="0" applyFont="1" applyFill="1" applyBorder="1"/>
    <xf numFmtId="0" fontId="1" fillId="0" borderId="81" xfId="0" applyFont="1" applyBorder="1"/>
    <xf numFmtId="0" fontId="1" fillId="0" borderId="82" xfId="0" applyFont="1" applyBorder="1"/>
    <xf numFmtId="0" fontId="1" fillId="0" borderId="82" xfId="0" applyFont="1" applyBorder="1" applyAlignment="1">
      <alignment horizontal="center" vertical="center"/>
    </xf>
    <xf numFmtId="0" fontId="1" fillId="0" borderId="83" xfId="0" applyFont="1" applyBorder="1" applyAlignment="1">
      <alignment horizontal="center" vertical="center"/>
    </xf>
    <xf numFmtId="0" fontId="1" fillId="0" borderId="19" xfId="0" applyFont="1" applyBorder="1"/>
    <xf numFmtId="164" fontId="1" fillId="0" borderId="89" xfId="0" applyNumberFormat="1" applyFont="1" applyBorder="1"/>
    <xf numFmtId="164" fontId="1" fillId="12" borderId="15" xfId="0" applyNumberFormat="1" applyFont="1" applyFill="1" applyBorder="1"/>
    <xf numFmtId="164" fontId="1" fillId="12" borderId="13" xfId="0" applyNumberFormat="1" applyFont="1" applyFill="1" applyBorder="1"/>
    <xf numFmtId="0" fontId="1" fillId="0" borderId="90" xfId="0" applyFont="1" applyBorder="1"/>
    <xf numFmtId="0" fontId="1" fillId="0" borderId="94" xfId="0" applyFont="1" applyBorder="1" applyAlignment="1">
      <alignment horizontal="center" vertical="center"/>
    </xf>
    <xf numFmtId="0" fontId="1" fillId="0" borderId="21" xfId="0" applyFont="1" applyBorder="1"/>
    <xf numFmtId="0" fontId="27" fillId="0" borderId="0" xfId="0" applyFont="1"/>
    <xf numFmtId="0" fontId="9" fillId="2" borderId="89" xfId="0" applyFont="1" applyFill="1" applyBorder="1" applyAlignment="1"/>
    <xf numFmtId="10" fontId="1" fillId="0" borderId="0" xfId="0" applyNumberFormat="1" applyFont="1" applyAlignment="1">
      <alignment horizontal="center"/>
    </xf>
    <xf numFmtId="170" fontId="1" fillId="0" borderId="0" xfId="0" applyNumberFormat="1" applyFont="1" applyAlignment="1">
      <alignment horizontal="center" vertical="center"/>
    </xf>
    <xf numFmtId="167" fontId="1" fillId="0" borderId="89" xfId="0" applyNumberFormat="1" applyFont="1" applyBorder="1" applyAlignment="1">
      <alignment horizontal="center" vertical="center"/>
    </xf>
    <xf numFmtId="10" fontId="9" fillId="2" borderId="89" xfId="0" applyNumberFormat="1" applyFont="1" applyFill="1" applyBorder="1" applyAlignment="1"/>
    <xf numFmtId="0" fontId="22" fillId="0" borderId="90" xfId="0" applyFont="1" applyBorder="1"/>
    <xf numFmtId="2" fontId="1" fillId="0" borderId="89" xfId="0" applyNumberFormat="1" applyFont="1" applyBorder="1" applyAlignment="1">
      <alignment horizontal="center" vertical="center"/>
    </xf>
    <xf numFmtId="2" fontId="1" fillId="11" borderId="89" xfId="0" applyNumberFormat="1" applyFont="1" applyFill="1" applyBorder="1" applyAlignment="1">
      <alignment horizontal="center" vertical="center"/>
    </xf>
    <xf numFmtId="0" fontId="11" fillId="0" borderId="21" xfId="0" applyFont="1" applyBorder="1"/>
    <xf numFmtId="10" fontId="21" fillId="0" borderId="80" xfId="0" applyNumberFormat="1" applyFont="1" applyBorder="1"/>
    <xf numFmtId="0" fontId="1" fillId="0" borderId="69" xfId="0" applyFont="1" applyBorder="1"/>
    <xf numFmtId="164" fontId="1" fillId="12" borderId="54" xfId="0" applyNumberFormat="1" applyFont="1" applyFill="1" applyBorder="1"/>
    <xf numFmtId="164" fontId="1" fillId="12" borderId="55" xfId="0" applyNumberFormat="1" applyFont="1" applyFill="1" applyBorder="1"/>
    <xf numFmtId="2" fontId="11" fillId="13" borderId="89" xfId="0" applyNumberFormat="1" applyFont="1" applyFill="1" applyBorder="1" applyAlignment="1">
      <alignment horizontal="center" vertical="center"/>
    </xf>
    <xf numFmtId="10" fontId="1" fillId="0" borderId="79" xfId="0" applyNumberFormat="1" applyFont="1" applyBorder="1"/>
    <xf numFmtId="0" fontId="11" fillId="0" borderId="12" xfId="0" applyFont="1" applyBorder="1"/>
    <xf numFmtId="10" fontId="1" fillId="0" borderId="100" xfId="0" applyNumberFormat="1" applyFont="1" applyBorder="1"/>
    <xf numFmtId="10" fontId="9" fillId="2" borderId="38" xfId="0" applyNumberFormat="1" applyFont="1" applyFill="1" applyBorder="1"/>
    <xf numFmtId="164" fontId="1" fillId="0" borderId="57" xfId="0" applyNumberFormat="1" applyFont="1" applyBorder="1"/>
    <xf numFmtId="10" fontId="11" fillId="0" borderId="80" xfId="0" applyNumberFormat="1" applyFont="1" applyBorder="1"/>
    <xf numFmtId="170" fontId="1" fillId="0" borderId="0" xfId="0" applyNumberFormat="1" applyFont="1"/>
    <xf numFmtId="164" fontId="1" fillId="9" borderId="89" xfId="0" applyNumberFormat="1" applyFont="1" applyFill="1" applyBorder="1"/>
    <xf numFmtId="0" fontId="11" fillId="0" borderId="98" xfId="0" applyFont="1" applyBorder="1" applyAlignment="1">
      <alignment horizontal="center" vertical="center"/>
    </xf>
    <xf numFmtId="0" fontId="22" fillId="0" borderId="31" xfId="0" applyFont="1" applyBorder="1"/>
    <xf numFmtId="10" fontId="22" fillId="0" borderId="32" xfId="0" applyNumberFormat="1" applyFont="1" applyBorder="1"/>
    <xf numFmtId="172" fontId="1" fillId="0" borderId="0" xfId="0" applyNumberFormat="1" applyFont="1"/>
    <xf numFmtId="0" fontId="1" fillId="0" borderId="57" xfId="0" applyFont="1" applyBorder="1"/>
    <xf numFmtId="0" fontId="11" fillId="0" borderId="5" xfId="0" applyFont="1" applyBorder="1"/>
    <xf numFmtId="170" fontId="22" fillId="6" borderId="24" xfId="0" applyNumberFormat="1" applyFont="1" applyFill="1" applyBorder="1"/>
    <xf numFmtId="0" fontId="1" fillId="0" borderId="6" xfId="0" applyFont="1" applyBorder="1"/>
    <xf numFmtId="0" fontId="1" fillId="0" borderId="8" xfId="0" applyFont="1" applyBorder="1"/>
    <xf numFmtId="0" fontId="11" fillId="0" borderId="89" xfId="0" applyFont="1" applyBorder="1" applyAlignment="1">
      <alignment horizontal="center"/>
    </xf>
    <xf numFmtId="0" fontId="11" fillId="0" borderId="91" xfId="0" applyFont="1" applyBorder="1" applyAlignment="1">
      <alignment horizontal="center"/>
    </xf>
    <xf numFmtId="0" fontId="11" fillId="0" borderId="102" xfId="0" applyFont="1" applyBorder="1" applyAlignment="1">
      <alignment horizontal="center"/>
    </xf>
    <xf numFmtId="0" fontId="11" fillId="0" borderId="103" xfId="0" applyFont="1" applyBorder="1" applyAlignment="1">
      <alignment horizontal="center"/>
    </xf>
    <xf numFmtId="0" fontId="11" fillId="0" borderId="104" xfId="0" applyFont="1" applyBorder="1" applyAlignment="1">
      <alignment horizontal="center"/>
    </xf>
    <xf numFmtId="0" fontId="28" fillId="0" borderId="0" xfId="0" applyFont="1"/>
    <xf numFmtId="167" fontId="1" fillId="9" borderId="89" xfId="0" applyNumberFormat="1" applyFont="1" applyFill="1" applyBorder="1" applyAlignment="1">
      <alignment horizontal="center"/>
    </xf>
    <xf numFmtId="167" fontId="9" fillId="2" borderId="105" xfId="0" applyNumberFormat="1" applyFont="1" applyFill="1" applyBorder="1" applyAlignment="1">
      <alignment horizontal="center"/>
    </xf>
    <xf numFmtId="167" fontId="9" fillId="2" borderId="91" xfId="0" applyNumberFormat="1" applyFont="1" applyFill="1" applyBorder="1" applyAlignment="1">
      <alignment horizontal="center"/>
    </xf>
    <xf numFmtId="0" fontId="1" fillId="0" borderId="94" xfId="0" applyFont="1" applyBorder="1"/>
    <xf numFmtId="10" fontId="29" fillId="0" borderId="0" xfId="0" applyNumberFormat="1" applyFont="1" applyAlignment="1">
      <alignment horizontal="left"/>
    </xf>
    <xf numFmtId="0" fontId="30" fillId="0" borderId="0" xfId="0" applyFont="1" applyAlignment="1">
      <alignment horizontal="left"/>
    </xf>
    <xf numFmtId="0" fontId="31" fillId="0" borderId="0" xfId="0" applyFont="1"/>
    <xf numFmtId="9" fontId="32" fillId="0" borderId="0" xfId="0" applyNumberFormat="1" applyFont="1" applyAlignment="1">
      <alignment horizontal="left"/>
    </xf>
    <xf numFmtId="0" fontId="33" fillId="0" borderId="0" xfId="0" applyFont="1"/>
    <xf numFmtId="0" fontId="34" fillId="0" borderId="0" xfId="0" applyFont="1" applyAlignment="1">
      <alignment horizontal="right"/>
    </xf>
    <xf numFmtId="173" fontId="1" fillId="0" borderId="0" xfId="0" applyNumberFormat="1" applyFont="1"/>
    <xf numFmtId="173" fontId="35" fillId="0" borderId="0" xfId="0" applyNumberFormat="1" applyFont="1"/>
    <xf numFmtId="0" fontId="36" fillId="0" borderId="90" xfId="0" applyFont="1" applyBorder="1"/>
    <xf numFmtId="10" fontId="1" fillId="0" borderId="89" xfId="0" applyNumberFormat="1" applyFont="1" applyBorder="1" applyAlignment="1">
      <alignment horizontal="center" vertical="center"/>
    </xf>
    <xf numFmtId="2" fontId="11" fillId="14" borderId="89" xfId="0" applyNumberFormat="1" applyFont="1" applyFill="1" applyBorder="1" applyAlignment="1">
      <alignment horizontal="center" vertical="center"/>
    </xf>
    <xf numFmtId="0" fontId="37" fillId="0" borderId="84" xfId="0" applyFont="1" applyBorder="1"/>
    <xf numFmtId="0" fontId="38" fillId="0" borderId="85" xfId="0" applyFont="1" applyBorder="1"/>
    <xf numFmtId="0" fontId="1" fillId="0" borderId="85" xfId="0" applyFont="1" applyBorder="1"/>
    <xf numFmtId="0" fontId="1" fillId="0" borderId="86" xfId="0" applyFont="1" applyBorder="1"/>
    <xf numFmtId="0" fontId="16" fillId="0" borderId="0" xfId="0" applyFont="1" applyAlignment="1">
      <alignment vertical="top" wrapText="1"/>
    </xf>
    <xf numFmtId="0" fontId="11" fillId="0" borderId="0" xfId="0" applyFont="1" applyAlignment="1">
      <alignment vertical="top" wrapText="1"/>
    </xf>
    <xf numFmtId="0" fontId="1" fillId="11" borderId="15" xfId="0" applyFont="1" applyFill="1" applyBorder="1"/>
    <xf numFmtId="0" fontId="11" fillId="0" borderId="0" xfId="0" applyFont="1" applyAlignment="1">
      <alignment horizontal="center"/>
    </xf>
    <xf numFmtId="0" fontId="20" fillId="0" borderId="31" xfId="0" applyFont="1" applyBorder="1"/>
    <xf numFmtId="0" fontId="19" fillId="0" borderId="116" xfId="0" applyFont="1" applyBorder="1" applyAlignment="1">
      <alignment horizontal="center" vertical="center"/>
    </xf>
    <xf numFmtId="0" fontId="20" fillId="0" borderId="32" xfId="0" applyFont="1" applyBorder="1" applyAlignment="1">
      <alignment horizontal="center" vertical="center"/>
    </xf>
    <xf numFmtId="0" fontId="19" fillId="0" borderId="19" xfId="0" applyFont="1" applyBorder="1"/>
    <xf numFmtId="0" fontId="21" fillId="2" borderId="15" xfId="0" applyFont="1" applyFill="1" applyBorder="1" applyAlignment="1">
      <alignment horizontal="center" vertical="center"/>
    </xf>
    <xf numFmtId="0" fontId="21" fillId="2" borderId="20" xfId="0" applyFont="1" applyFill="1" applyBorder="1" applyAlignment="1">
      <alignment horizontal="center" vertical="center"/>
    </xf>
    <xf numFmtId="0" fontId="1" fillId="0" borderId="0" xfId="0" applyFont="1" applyAlignment="1"/>
    <xf numFmtId="0" fontId="11" fillId="0" borderId="19" xfId="0" applyFont="1" applyBorder="1"/>
    <xf numFmtId="0" fontId="1" fillId="0" borderId="100" xfId="0" applyFont="1" applyBorder="1"/>
    <xf numFmtId="164" fontId="9" fillId="2" borderId="15" xfId="0" applyNumberFormat="1" applyFont="1" applyFill="1" applyBorder="1"/>
    <xf numFmtId="164" fontId="1" fillId="0" borderId="100" xfId="0" applyNumberFormat="1" applyFont="1" applyBorder="1"/>
    <xf numFmtId="10" fontId="11" fillId="0" borderId="0" xfId="0" applyNumberFormat="1" applyFont="1"/>
    <xf numFmtId="164" fontId="20" fillId="0" borderId="0" xfId="0" applyNumberFormat="1" applyFont="1"/>
    <xf numFmtId="0" fontId="1" fillId="10" borderId="15" xfId="0" applyFont="1" applyFill="1" applyBorder="1"/>
    <xf numFmtId="164" fontId="11" fillId="0" borderId="100" xfId="0" applyNumberFormat="1" applyFont="1" applyBorder="1"/>
    <xf numFmtId="0" fontId="20" fillId="0" borderId="19" xfId="0" applyFont="1" applyBorder="1"/>
    <xf numFmtId="38" fontId="20" fillId="0" borderId="0" xfId="0" applyNumberFormat="1" applyFont="1"/>
    <xf numFmtId="0" fontId="20" fillId="0" borderId="21" xfId="0" applyFont="1" applyBorder="1"/>
    <xf numFmtId="0" fontId="1" fillId="0" borderId="80" xfId="0" applyFont="1" applyBorder="1"/>
    <xf numFmtId="0" fontId="20" fillId="0" borderId="12" xfId="0" applyFont="1" applyBorder="1"/>
    <xf numFmtId="0" fontId="11" fillId="0" borderId="57" xfId="0" applyFont="1" applyBorder="1" applyAlignment="1">
      <alignment horizontal="center"/>
    </xf>
    <xf numFmtId="38" fontId="20" fillId="0" borderId="0" xfId="0" applyNumberFormat="1" applyFont="1" applyAlignment="1">
      <alignment horizontal="center"/>
    </xf>
    <xf numFmtId="167" fontId="16" fillId="7" borderId="118" xfId="0" applyNumberFormat="1" applyFont="1" applyFill="1" applyBorder="1" applyAlignment="1">
      <alignment horizontal="center"/>
    </xf>
    <xf numFmtId="167" fontId="11" fillId="0" borderId="68" xfId="0" applyNumberFormat="1" applyFont="1" applyBorder="1" applyAlignment="1">
      <alignment horizontal="center"/>
    </xf>
    <xf numFmtId="164" fontId="11" fillId="0" borderId="0" xfId="0" applyNumberFormat="1" applyFont="1" applyAlignment="1">
      <alignment horizontal="center"/>
    </xf>
    <xf numFmtId="164" fontId="16" fillId="7" borderId="29" xfId="0" applyNumberFormat="1" applyFont="1" applyFill="1" applyBorder="1" applyAlignment="1">
      <alignment horizontal="center"/>
    </xf>
    <xf numFmtId="40" fontId="20" fillId="0" borderId="0" xfId="0" applyNumberFormat="1" applyFont="1" applyAlignment="1">
      <alignment horizontal="center"/>
    </xf>
    <xf numFmtId="0" fontId="1" fillId="0" borderId="68" xfId="0" applyFont="1" applyBorder="1" applyAlignment="1">
      <alignment horizontal="center"/>
    </xf>
    <xf numFmtId="38" fontId="1" fillId="0" borderId="0" xfId="0" applyNumberFormat="1" applyFont="1" applyAlignment="1">
      <alignment horizontal="center"/>
    </xf>
    <xf numFmtId="167" fontId="20" fillId="0" borderId="0" xfId="0" applyNumberFormat="1" applyFont="1" applyAlignment="1">
      <alignment horizontal="center"/>
    </xf>
    <xf numFmtId="0" fontId="1" fillId="0" borderId="0" xfId="0" applyFont="1" applyAlignment="1">
      <alignment horizontal="center"/>
    </xf>
    <xf numFmtId="0" fontId="20" fillId="0" borderId="5" xfId="0" applyFont="1" applyBorder="1"/>
    <xf numFmtId="38" fontId="20" fillId="0" borderId="6" xfId="0" applyNumberFormat="1" applyFont="1" applyBorder="1"/>
    <xf numFmtId="38" fontId="19" fillId="0" borderId="6" xfId="0" applyNumberFormat="1" applyFont="1" applyBorder="1"/>
    <xf numFmtId="38" fontId="19" fillId="0" borderId="2" xfId="0" applyNumberFormat="1" applyFont="1" applyBorder="1"/>
    <xf numFmtId="38" fontId="20" fillId="0" borderId="2" xfId="0" applyNumberFormat="1" applyFont="1" applyBorder="1"/>
    <xf numFmtId="0" fontId="1" fillId="0" borderId="2" xfId="0" applyFont="1" applyBorder="1"/>
    <xf numFmtId="0" fontId="20" fillId="9" borderId="14" xfId="0" applyFont="1" applyFill="1" applyBorder="1"/>
    <xf numFmtId="38" fontId="20" fillId="9" borderId="15" xfId="0" applyNumberFormat="1" applyFont="1" applyFill="1" applyBorder="1"/>
    <xf numFmtId="38" fontId="19" fillId="9" borderId="15" xfId="0" applyNumberFormat="1" applyFont="1" applyFill="1" applyBorder="1"/>
    <xf numFmtId="0" fontId="1" fillId="9" borderId="15" xfId="0" applyFont="1" applyFill="1" applyBorder="1"/>
    <xf numFmtId="0" fontId="1" fillId="0" borderId="68" xfId="0" applyFont="1" applyBorder="1"/>
    <xf numFmtId="0" fontId="39" fillId="0" borderId="12" xfId="0" applyFont="1" applyBorder="1"/>
    <xf numFmtId="38" fontId="40" fillId="0" borderId="0" xfId="0" applyNumberFormat="1" applyFont="1"/>
    <xf numFmtId="174" fontId="1" fillId="0" borderId="0" xfId="0" applyNumberFormat="1" applyFont="1"/>
    <xf numFmtId="0" fontId="1" fillId="0" borderId="0" xfId="0" applyFont="1" applyAlignment="1">
      <alignment horizontal="right" wrapText="1"/>
    </xf>
    <xf numFmtId="167" fontId="1" fillId="0" borderId="0" xfId="0" applyNumberFormat="1" applyFont="1" applyAlignment="1">
      <alignment horizontal="center"/>
    </xf>
    <xf numFmtId="0" fontId="41" fillId="0" borderId="0" xfId="0" applyFont="1" applyAlignment="1">
      <alignment horizontal="left" vertical="center" readingOrder="1"/>
    </xf>
    <xf numFmtId="175" fontId="1" fillId="0" borderId="0" xfId="0" applyNumberFormat="1" applyFont="1"/>
    <xf numFmtId="175" fontId="1" fillId="0" borderId="52" xfId="0" applyNumberFormat="1" applyFont="1" applyBorder="1"/>
    <xf numFmtId="0" fontId="1" fillId="0" borderId="79" xfId="0" applyFont="1" applyBorder="1"/>
    <xf numFmtId="175" fontId="11" fillId="0" borderId="0" xfId="0" applyNumberFormat="1" applyFont="1"/>
    <xf numFmtId="0" fontId="20" fillId="0" borderId="100" xfId="0" applyFont="1" applyBorder="1" applyAlignment="1">
      <alignment horizontal="center" vertical="center"/>
    </xf>
    <xf numFmtId="0" fontId="20" fillId="8" borderId="15" xfId="0" applyFont="1" applyFill="1" applyBorder="1" applyAlignment="1">
      <alignment horizontal="center" vertical="center"/>
    </xf>
    <xf numFmtId="0" fontId="20" fillId="9" borderId="20" xfId="0" applyFont="1" applyFill="1" applyBorder="1" applyAlignment="1">
      <alignment horizontal="center" vertical="center"/>
    </xf>
    <xf numFmtId="0" fontId="1" fillId="0" borderId="19" xfId="0" applyFont="1" applyBorder="1" applyAlignment="1">
      <alignment horizontal="left"/>
    </xf>
    <xf numFmtId="0" fontId="11" fillId="0" borderId="19" xfId="0" applyFont="1" applyBorder="1" applyAlignment="1">
      <alignment horizontal="left"/>
    </xf>
    <xf numFmtId="164" fontId="10" fillId="0" borderId="0" xfId="0" applyNumberFormat="1" applyFont="1"/>
    <xf numFmtId="9" fontId="1" fillId="10" borderId="15" xfId="0" applyNumberFormat="1" applyFont="1" applyFill="1" applyBorder="1"/>
    <xf numFmtId="167" fontId="1" fillId="10" borderId="15" xfId="0" applyNumberFormat="1" applyFont="1" applyFill="1" applyBorder="1"/>
    <xf numFmtId="0" fontId="11" fillId="15" borderId="121" xfId="0" applyFont="1" applyFill="1" applyBorder="1" applyAlignment="1">
      <alignment horizontal="left"/>
    </xf>
    <xf numFmtId="164" fontId="11" fillId="15" borderId="15" xfId="0" applyNumberFormat="1" applyFont="1" applyFill="1" applyBorder="1"/>
    <xf numFmtId="164" fontId="9" fillId="2" borderId="0" xfId="0" applyNumberFormat="1" applyFont="1" applyFill="1" applyAlignment="1"/>
    <xf numFmtId="164" fontId="9" fillId="2" borderId="15" xfId="0" applyNumberFormat="1" applyFont="1" applyFill="1" applyBorder="1" applyAlignment="1"/>
    <xf numFmtId="0" fontId="11" fillId="15" borderId="121" xfId="0" applyFont="1" applyFill="1" applyBorder="1"/>
    <xf numFmtId="175" fontId="1" fillId="0" borderId="39" xfId="0" applyNumberFormat="1" applyFont="1" applyBorder="1"/>
    <xf numFmtId="0" fontId="16" fillId="7" borderId="122" xfId="0" applyFont="1" applyFill="1" applyBorder="1" applyAlignment="1">
      <alignment horizontal="center" vertical="center"/>
    </xf>
    <xf numFmtId="0" fontId="1" fillId="0" borderId="123" xfId="0" applyFont="1" applyBorder="1"/>
    <xf numFmtId="167" fontId="11" fillId="0" borderId="0" xfId="0" applyNumberFormat="1" applyFont="1" applyAlignment="1">
      <alignment horizontal="center"/>
    </xf>
    <xf numFmtId="167" fontId="16" fillId="7" borderId="124" xfId="0" applyNumberFormat="1" applyFont="1" applyFill="1" applyBorder="1" applyAlignment="1">
      <alignment horizontal="center"/>
    </xf>
    <xf numFmtId="164" fontId="1" fillId="0" borderId="0" xfId="0" applyNumberFormat="1" applyFont="1" applyAlignment="1">
      <alignment horizontal="center"/>
    </xf>
    <xf numFmtId="164" fontId="16" fillId="7" borderId="124" xfId="0" applyNumberFormat="1" applyFont="1" applyFill="1" applyBorder="1" applyAlignment="1">
      <alignment horizontal="center"/>
    </xf>
    <xf numFmtId="176" fontId="1" fillId="0" borderId="0" xfId="0" applyNumberFormat="1" applyFont="1" applyAlignment="1">
      <alignment horizontal="center"/>
    </xf>
    <xf numFmtId="175" fontId="1" fillId="0" borderId="0" xfId="0" applyNumberFormat="1" applyFont="1" applyAlignment="1">
      <alignment horizontal="center"/>
    </xf>
    <xf numFmtId="164" fontId="1" fillId="0" borderId="6" xfId="0" applyNumberFormat="1" applyFont="1" applyBorder="1" applyAlignment="1">
      <alignment horizontal="center"/>
    </xf>
    <xf numFmtId="175" fontId="1" fillId="0" borderId="2" xfId="0" applyNumberFormat="1" applyFont="1" applyBorder="1"/>
    <xf numFmtId="0" fontId="1" fillId="0" borderId="123" xfId="0" applyFont="1" applyBorder="1" applyAlignment="1">
      <alignment horizontal="center"/>
    </xf>
    <xf numFmtId="164" fontId="16" fillId="7" borderId="125" xfId="0" applyNumberFormat="1" applyFont="1" applyFill="1" applyBorder="1" applyAlignment="1">
      <alignment horizontal="center"/>
    </xf>
    <xf numFmtId="167" fontId="1" fillId="0" borderId="6" xfId="0" applyNumberFormat="1" applyFont="1" applyBorder="1"/>
    <xf numFmtId="167" fontId="16" fillId="7" borderId="125" xfId="0" applyNumberFormat="1" applyFont="1" applyFill="1" applyBorder="1" applyAlignment="1">
      <alignment horizontal="center"/>
    </xf>
    <xf numFmtId="0" fontId="11" fillId="0" borderId="39" xfId="0" applyFont="1" applyBorder="1" applyAlignment="1">
      <alignment horizontal="right"/>
    </xf>
    <xf numFmtId="10" fontId="1" fillId="0" borderId="0" xfId="0" applyNumberFormat="1" applyFont="1" applyAlignment="1"/>
    <xf numFmtId="0" fontId="11" fillId="16" borderId="15" xfId="0" applyFont="1" applyFill="1" applyBorder="1" applyAlignment="1">
      <alignment horizontal="right"/>
    </xf>
    <xf numFmtId="164" fontId="1" fillId="16" borderId="15" xfId="0" applyNumberFormat="1" applyFont="1" applyFill="1" applyBorder="1"/>
    <xf numFmtId="0" fontId="43" fillId="0" borderId="0" xfId="0" applyFont="1" applyAlignment="1">
      <alignment horizontal="right"/>
    </xf>
    <xf numFmtId="167" fontId="10" fillId="9" borderId="15" xfId="0" applyNumberFormat="1" applyFont="1" applyFill="1" applyBorder="1" applyAlignment="1"/>
    <xf numFmtId="0" fontId="20" fillId="12" borderId="15" xfId="0" applyFont="1" applyFill="1" applyBorder="1"/>
    <xf numFmtId="164" fontId="11" fillId="0" borderId="39" xfId="0" applyNumberFormat="1" applyFont="1" applyBorder="1"/>
    <xf numFmtId="0" fontId="11" fillId="0" borderId="39" xfId="0" applyFont="1" applyBorder="1"/>
    <xf numFmtId="0" fontId="11" fillId="0" borderId="0" xfId="0" applyFont="1" applyAlignment="1">
      <alignment horizontal="left"/>
    </xf>
    <xf numFmtId="0" fontId="1" fillId="0" borderId="0" xfId="0" applyFont="1" applyAlignment="1">
      <alignment horizontal="left"/>
    </xf>
    <xf numFmtId="0" fontId="19" fillId="0" borderId="127" xfId="0" applyFont="1" applyBorder="1"/>
    <xf numFmtId="0" fontId="20" fillId="0" borderId="131" xfId="0" applyFont="1" applyBorder="1" applyAlignment="1">
      <alignment horizontal="center"/>
    </xf>
    <xf numFmtId="0" fontId="20" fillId="0" borderId="100" xfId="0" applyFont="1" applyBorder="1" applyAlignment="1">
      <alignment horizontal="center"/>
    </xf>
    <xf numFmtId="165" fontId="19" fillId="0" borderId="0" xfId="0" applyNumberFormat="1" applyFont="1" applyAlignment="1">
      <alignment horizontal="center"/>
    </xf>
    <xf numFmtId="0" fontId="11" fillId="0" borderId="131" xfId="0" applyFont="1" applyBorder="1" applyAlignment="1">
      <alignment horizontal="center"/>
    </xf>
    <xf numFmtId="165" fontId="19" fillId="0" borderId="100" xfId="0" applyNumberFormat="1" applyFont="1" applyBorder="1" applyAlignment="1">
      <alignment horizontal="center"/>
    </xf>
    <xf numFmtId="165" fontId="19" fillId="0" borderId="19" xfId="0" applyNumberFormat="1" applyFont="1" applyBorder="1" applyAlignment="1">
      <alignment horizontal="center"/>
    </xf>
    <xf numFmtId="0" fontId="20" fillId="0" borderId="19" xfId="0" applyFont="1" applyBorder="1" applyAlignment="1">
      <alignment horizontal="center"/>
    </xf>
    <xf numFmtId="165" fontId="9" fillId="2" borderId="15" xfId="0" applyNumberFormat="1" applyFont="1" applyFill="1" applyBorder="1" applyAlignment="1">
      <alignment horizontal="center"/>
    </xf>
    <xf numFmtId="165" fontId="9" fillId="2" borderId="20" xfId="0" applyNumberFormat="1" applyFont="1" applyFill="1" applyBorder="1" applyAlignment="1">
      <alignment horizontal="center"/>
    </xf>
    <xf numFmtId="165" fontId="9" fillId="2" borderId="132" xfId="0" applyNumberFormat="1" applyFont="1" applyFill="1" applyBorder="1" applyAlignment="1">
      <alignment horizontal="center"/>
    </xf>
    <xf numFmtId="165" fontId="9" fillId="2" borderId="22" xfId="0" applyNumberFormat="1" applyFont="1" applyFill="1" applyBorder="1" applyAlignment="1">
      <alignment horizontal="center"/>
    </xf>
    <xf numFmtId="0" fontId="19" fillId="0" borderId="133" xfId="0" applyFont="1" applyBorder="1"/>
    <xf numFmtId="0" fontId="19" fillId="0" borderId="100" xfId="0" applyFont="1" applyBorder="1"/>
    <xf numFmtId="0" fontId="19" fillId="0" borderId="78" xfId="0" applyFont="1" applyBorder="1"/>
    <xf numFmtId="170" fontId="19" fillId="0" borderId="0" xfId="0" applyNumberFormat="1" applyFont="1"/>
    <xf numFmtId="2" fontId="1" fillId="0" borderId="0" xfId="0" applyNumberFormat="1" applyFont="1" applyAlignment="1">
      <alignment horizontal="center"/>
    </xf>
    <xf numFmtId="0" fontId="19" fillId="0" borderId="21" xfId="0" applyFont="1" applyBorder="1"/>
    <xf numFmtId="0" fontId="11" fillId="0" borderId="133" xfId="0" applyFont="1" applyBorder="1" applyAlignment="1">
      <alignment horizontal="center"/>
    </xf>
    <xf numFmtId="0" fontId="20" fillId="0" borderId="31" xfId="0" applyFont="1" applyBorder="1" applyAlignment="1">
      <alignment horizontal="center"/>
    </xf>
    <xf numFmtId="0" fontId="11" fillId="0" borderId="100" xfId="0" applyFont="1" applyBorder="1" applyAlignment="1">
      <alignment horizontal="center"/>
    </xf>
    <xf numFmtId="2" fontId="1" fillId="0" borderId="19" xfId="0" applyNumberFormat="1" applyFont="1" applyBorder="1" applyAlignment="1">
      <alignment horizontal="center"/>
    </xf>
    <xf numFmtId="2" fontId="1" fillId="0" borderId="100" xfId="0" applyNumberFormat="1" applyFont="1" applyBorder="1" applyAlignment="1">
      <alignment horizontal="center"/>
    </xf>
    <xf numFmtId="0" fontId="20" fillId="0" borderId="21" xfId="0" applyFont="1" applyBorder="1" applyAlignment="1">
      <alignment horizontal="center"/>
    </xf>
    <xf numFmtId="2" fontId="19" fillId="0" borderId="31" xfId="0" applyNumberFormat="1" applyFont="1" applyBorder="1" applyAlignment="1">
      <alignment horizontal="center"/>
    </xf>
    <xf numFmtId="2" fontId="19" fillId="0" borderId="32" xfId="0" applyNumberFormat="1" applyFont="1" applyBorder="1" applyAlignment="1">
      <alignment horizontal="center"/>
    </xf>
    <xf numFmtId="2" fontId="19" fillId="0" borderId="39" xfId="0" applyNumberFormat="1" applyFont="1" applyBorder="1" applyAlignment="1">
      <alignment horizontal="center"/>
    </xf>
    <xf numFmtId="2" fontId="19" fillId="0" borderId="80" xfId="0" applyNumberFormat="1" applyFont="1" applyBorder="1" applyAlignment="1">
      <alignment horizontal="center"/>
    </xf>
    <xf numFmtId="171" fontId="1" fillId="0" borderId="0" xfId="0" applyNumberFormat="1" applyFont="1" applyAlignment="1">
      <alignment horizontal="center"/>
    </xf>
    <xf numFmtId="0" fontId="20" fillId="0" borderId="78" xfId="0" applyFont="1" applyBorder="1" applyAlignment="1">
      <alignment horizontal="center"/>
    </xf>
    <xf numFmtId="0" fontId="19" fillId="0" borderId="79" xfId="0" applyFont="1" applyBorder="1"/>
    <xf numFmtId="169" fontId="19" fillId="0" borderId="19" xfId="0" applyNumberFormat="1" applyFont="1" applyBorder="1"/>
    <xf numFmtId="169" fontId="19" fillId="0" borderId="100" xfId="0" applyNumberFormat="1" applyFont="1" applyBorder="1"/>
    <xf numFmtId="171" fontId="19" fillId="0" borderId="19" xfId="0" applyNumberFormat="1" applyFont="1" applyBorder="1" applyAlignment="1">
      <alignment horizontal="center"/>
    </xf>
    <xf numFmtId="171" fontId="19" fillId="0" borderId="100" xfId="0" applyNumberFormat="1" applyFont="1" applyBorder="1" applyAlignment="1">
      <alignment horizontal="center"/>
    </xf>
    <xf numFmtId="171" fontId="19" fillId="0" borderId="0" xfId="0" applyNumberFormat="1" applyFont="1" applyAlignment="1">
      <alignment horizontal="center"/>
    </xf>
    <xf numFmtId="171" fontId="19" fillId="0" borderId="21" xfId="0" applyNumberFormat="1" applyFont="1" applyBorder="1" applyAlignment="1">
      <alignment horizontal="center"/>
    </xf>
    <xf numFmtId="171" fontId="19" fillId="0" borderId="80" xfId="0" applyNumberFormat="1" applyFont="1" applyBorder="1" applyAlignment="1">
      <alignment horizontal="center"/>
    </xf>
    <xf numFmtId="171" fontId="19" fillId="0" borderId="116" xfId="0" applyNumberFormat="1" applyFont="1" applyBorder="1" applyAlignment="1">
      <alignment horizontal="center"/>
    </xf>
    <xf numFmtId="171" fontId="19" fillId="0" borderId="31" xfId="0" applyNumberFormat="1" applyFont="1" applyBorder="1" applyAlignment="1">
      <alignment horizontal="center"/>
    </xf>
    <xf numFmtId="171" fontId="19" fillId="0" borderId="98" xfId="0" applyNumberFormat="1" applyFont="1" applyBorder="1" applyAlignment="1">
      <alignment horizontal="center" vertical="center"/>
    </xf>
    <xf numFmtId="171" fontId="1" fillId="0" borderId="38" xfId="0" applyNumberFormat="1" applyFont="1" applyBorder="1" applyAlignment="1">
      <alignment horizontal="center" vertical="center"/>
    </xf>
    <xf numFmtId="171" fontId="1" fillId="0" borderId="138" xfId="0" applyNumberFormat="1" applyFont="1" applyBorder="1" applyAlignment="1">
      <alignment horizontal="center" vertical="center"/>
    </xf>
    <xf numFmtId="171" fontId="1" fillId="0" borderId="89" xfId="0" applyNumberFormat="1" applyFont="1" applyBorder="1" applyAlignment="1">
      <alignment horizontal="center" vertical="center"/>
    </xf>
    <xf numFmtId="2" fontId="19" fillId="0" borderId="89" xfId="0" applyNumberFormat="1" applyFont="1" applyBorder="1" applyAlignment="1">
      <alignment horizontal="center"/>
    </xf>
    <xf numFmtId="165" fontId="19" fillId="0" borderId="89" xfId="0" applyNumberFormat="1" applyFont="1" applyBorder="1" applyAlignment="1">
      <alignment horizontal="center"/>
    </xf>
    <xf numFmtId="0" fontId="20" fillId="0" borderId="0" xfId="0" applyFont="1" applyAlignment="1">
      <alignment horizontal="right"/>
    </xf>
    <xf numFmtId="0" fontId="11" fillId="0" borderId="0" xfId="0" applyFont="1" applyAlignment="1">
      <alignment horizontal="right" vertical="center"/>
    </xf>
    <xf numFmtId="165" fontId="20" fillId="14" borderId="139" xfId="0" applyNumberFormat="1" applyFont="1" applyFill="1" applyBorder="1" applyAlignment="1">
      <alignment horizontal="center"/>
    </xf>
    <xf numFmtId="0" fontId="19" fillId="0" borderId="80" xfId="0" applyFont="1" applyBorder="1"/>
    <xf numFmtId="0" fontId="45" fillId="0" borderId="0" xfId="0" applyFont="1"/>
    <xf numFmtId="0" fontId="45" fillId="0" borderId="78" xfId="0" applyFont="1" applyBorder="1"/>
    <xf numFmtId="0" fontId="46" fillId="0" borderId="31" xfId="0" applyFont="1" applyBorder="1" applyAlignment="1">
      <alignment horizontal="center"/>
    </xf>
    <xf numFmtId="0" fontId="46" fillId="0" borderId="0" xfId="0" applyFont="1"/>
    <xf numFmtId="0" fontId="46" fillId="0" borderId="0" xfId="0" applyFont="1" applyAlignment="1">
      <alignment horizontal="center"/>
    </xf>
    <xf numFmtId="0" fontId="46" fillId="0" borderId="19" xfId="0" applyFont="1" applyBorder="1" applyAlignment="1">
      <alignment horizontal="center"/>
    </xf>
    <xf numFmtId="0" fontId="46" fillId="0" borderId="100" xfId="0" applyFont="1" applyBorder="1" applyAlignment="1">
      <alignment horizontal="center"/>
    </xf>
    <xf numFmtId="165" fontId="45" fillId="0" borderId="0" xfId="0" applyNumberFormat="1" applyFont="1" applyAlignment="1">
      <alignment horizontal="center"/>
    </xf>
    <xf numFmtId="0" fontId="45" fillId="0" borderId="19" xfId="0" applyFont="1" applyBorder="1"/>
    <xf numFmtId="0" fontId="47" fillId="0" borderId="19" xfId="0" applyFont="1" applyBorder="1" applyAlignment="1">
      <alignment horizontal="center"/>
    </xf>
    <xf numFmtId="165" fontId="45" fillId="0" borderId="19" xfId="0" applyNumberFormat="1" applyFont="1" applyBorder="1" applyAlignment="1">
      <alignment horizontal="center"/>
    </xf>
    <xf numFmtId="165" fontId="45" fillId="0" borderId="100" xfId="0" applyNumberFormat="1" applyFont="1" applyBorder="1" applyAlignment="1">
      <alignment horizontal="center"/>
    </xf>
    <xf numFmtId="164" fontId="45" fillId="0" borderId="0" xfId="0" applyNumberFormat="1" applyFont="1"/>
    <xf numFmtId="0" fontId="45" fillId="0" borderId="21" xfId="0" applyFont="1" applyBorder="1"/>
    <xf numFmtId="0" fontId="45" fillId="0" borderId="80" xfId="0" applyFont="1" applyBorder="1"/>
    <xf numFmtId="0" fontId="45" fillId="0" borderId="100" xfId="0" applyFont="1" applyBorder="1"/>
    <xf numFmtId="170" fontId="45" fillId="0" borderId="0" xfId="0" applyNumberFormat="1" applyFont="1"/>
    <xf numFmtId="0" fontId="47" fillId="0" borderId="0" xfId="0" applyFont="1" applyAlignment="1">
      <alignment horizontal="center"/>
    </xf>
    <xf numFmtId="2" fontId="49" fillId="0" borderId="0" xfId="0" applyNumberFormat="1" applyFont="1" applyAlignment="1">
      <alignment horizontal="center"/>
    </xf>
    <xf numFmtId="0" fontId="47" fillId="0" borderId="21" xfId="0" applyFont="1" applyBorder="1" applyAlignment="1">
      <alignment horizontal="center"/>
    </xf>
    <xf numFmtId="0" fontId="46" fillId="0" borderId="78" xfId="0" applyFont="1" applyBorder="1" applyAlignment="1">
      <alignment horizontal="center"/>
    </xf>
    <xf numFmtId="0" fontId="47" fillId="0" borderId="78" xfId="0" applyFont="1" applyBorder="1" applyAlignment="1">
      <alignment horizontal="center"/>
    </xf>
    <xf numFmtId="0" fontId="47" fillId="0" borderId="79" xfId="0" applyFont="1" applyBorder="1" applyAlignment="1">
      <alignment horizontal="center"/>
    </xf>
    <xf numFmtId="0" fontId="47" fillId="0" borderId="100" xfId="0" applyFont="1" applyBorder="1" applyAlignment="1">
      <alignment horizontal="center"/>
    </xf>
    <xf numFmtId="2" fontId="49" fillId="0" borderId="19" xfId="0" applyNumberFormat="1" applyFont="1" applyBorder="1" applyAlignment="1">
      <alignment horizontal="center"/>
    </xf>
    <xf numFmtId="2" fontId="49" fillId="0" borderId="100" xfId="0" applyNumberFormat="1" applyFont="1" applyBorder="1" applyAlignment="1">
      <alignment horizontal="center"/>
    </xf>
    <xf numFmtId="2" fontId="45" fillId="0" borderId="19" xfId="0" applyNumberFormat="1" applyFont="1" applyBorder="1" applyAlignment="1">
      <alignment horizontal="center"/>
    </xf>
    <xf numFmtId="2" fontId="45" fillId="0" borderId="100" xfId="0" applyNumberFormat="1" applyFont="1" applyBorder="1" applyAlignment="1">
      <alignment horizontal="center"/>
    </xf>
    <xf numFmtId="2" fontId="49" fillId="0" borderId="21" xfId="0" applyNumberFormat="1" applyFont="1" applyBorder="1" applyAlignment="1">
      <alignment horizontal="center"/>
    </xf>
    <xf numFmtId="2" fontId="49" fillId="0" borderId="80" xfId="0" applyNumberFormat="1" applyFont="1" applyBorder="1" applyAlignment="1">
      <alignment horizontal="center"/>
    </xf>
    <xf numFmtId="2" fontId="49" fillId="0" borderId="39" xfId="0" applyNumberFormat="1" applyFont="1" applyBorder="1" applyAlignment="1">
      <alignment horizontal="center"/>
    </xf>
    <xf numFmtId="0" fontId="46" fillId="0" borderId="21" xfId="0" applyFont="1" applyBorder="1" applyAlignment="1">
      <alignment horizontal="center"/>
    </xf>
    <xf numFmtId="2" fontId="45" fillId="0" borderId="39" xfId="0" applyNumberFormat="1" applyFont="1" applyBorder="1" applyAlignment="1">
      <alignment horizontal="center"/>
    </xf>
    <xf numFmtId="2" fontId="45" fillId="0" borderId="80" xfId="0" applyNumberFormat="1" applyFont="1" applyBorder="1" applyAlignment="1">
      <alignment horizontal="center"/>
    </xf>
    <xf numFmtId="171" fontId="49" fillId="0" borderId="0" xfId="0" applyNumberFormat="1" applyFont="1" applyAlignment="1">
      <alignment horizontal="center"/>
    </xf>
    <xf numFmtId="0" fontId="45" fillId="0" borderId="79" xfId="0" applyFont="1" applyBorder="1"/>
    <xf numFmtId="169" fontId="45" fillId="0" borderId="19" xfId="0" applyNumberFormat="1" applyFont="1" applyBorder="1"/>
    <xf numFmtId="169" fontId="45" fillId="0" borderId="100" xfId="0" applyNumberFormat="1" applyFont="1" applyBorder="1"/>
    <xf numFmtId="2" fontId="45" fillId="0" borderId="0" xfId="0" applyNumberFormat="1" applyFont="1" applyAlignment="1">
      <alignment horizontal="center"/>
    </xf>
    <xf numFmtId="169" fontId="45" fillId="0" borderId="21" xfId="0" applyNumberFormat="1" applyFont="1" applyBorder="1"/>
    <xf numFmtId="169" fontId="45" fillId="0" borderId="116" xfId="0" applyNumberFormat="1" applyFont="1" applyBorder="1"/>
    <xf numFmtId="2" fontId="45" fillId="0" borderId="31" xfId="0" applyNumberFormat="1" applyFont="1" applyBorder="1" applyAlignment="1">
      <alignment horizontal="center"/>
    </xf>
    <xf numFmtId="2" fontId="45" fillId="0" borderId="116" xfId="0" applyNumberFormat="1" applyFont="1" applyBorder="1" applyAlignment="1">
      <alignment horizontal="center"/>
    </xf>
    <xf numFmtId="0" fontId="50" fillId="0" borderId="0" xfId="0" applyFont="1" applyAlignment="1">
      <alignment horizontal="right"/>
    </xf>
    <xf numFmtId="0" fontId="47" fillId="0" borderId="0" xfId="0" applyFont="1"/>
    <xf numFmtId="0" fontId="47" fillId="0" borderId="0" xfId="0" applyFont="1" applyAlignment="1">
      <alignment horizontal="right"/>
    </xf>
    <xf numFmtId="171" fontId="45" fillId="0" borderId="89" xfId="0" applyNumberFormat="1" applyFont="1" applyBorder="1" applyAlignment="1">
      <alignment horizontal="center" vertical="center"/>
    </xf>
    <xf numFmtId="171" fontId="49" fillId="0" borderId="89" xfId="0" applyNumberFormat="1" applyFont="1" applyBorder="1" applyAlignment="1">
      <alignment horizontal="center" vertical="center"/>
    </xf>
    <xf numFmtId="171" fontId="49" fillId="0" borderId="0" xfId="0" applyNumberFormat="1" applyFont="1" applyAlignment="1">
      <alignment horizontal="center" vertical="center"/>
    </xf>
    <xf numFmtId="0" fontId="46" fillId="0" borderId="0" xfId="0" applyFont="1" applyAlignment="1">
      <alignment horizontal="right"/>
    </xf>
    <xf numFmtId="2" fontId="45" fillId="0" borderId="89" xfId="0" applyNumberFormat="1" applyFont="1" applyBorder="1" applyAlignment="1">
      <alignment horizontal="center"/>
    </xf>
    <xf numFmtId="165" fontId="45" fillId="0" borderId="89" xfId="0" applyNumberFormat="1" applyFont="1" applyBorder="1" applyAlignment="1">
      <alignment horizontal="center"/>
    </xf>
    <xf numFmtId="164" fontId="45" fillId="0" borderId="100" xfId="0" applyNumberFormat="1" applyFont="1" applyBorder="1"/>
    <xf numFmtId="0" fontId="45" fillId="0" borderId="0" xfId="0" applyFont="1" applyAlignment="1">
      <alignment horizontal="right"/>
    </xf>
    <xf numFmtId="0" fontId="47" fillId="0" borderId="0" xfId="0" applyFont="1" applyAlignment="1">
      <alignment horizontal="right" vertical="center"/>
    </xf>
    <xf numFmtId="0" fontId="45" fillId="0" borderId="0" xfId="0" applyFont="1" applyAlignment="1">
      <alignment horizontal="center"/>
    </xf>
    <xf numFmtId="165" fontId="46" fillId="14" borderId="139" xfId="0" applyNumberFormat="1" applyFont="1" applyFill="1" applyBorder="1" applyAlignment="1">
      <alignment horizontal="center"/>
    </xf>
    <xf numFmtId="0" fontId="45" fillId="0" borderId="39" xfId="0" applyFont="1" applyBorder="1"/>
    <xf numFmtId="0" fontId="0" fillId="0" borderId="0" xfId="0" applyFont="1"/>
    <xf numFmtId="0" fontId="45" fillId="0" borderId="127" xfId="0" applyFont="1" applyBorder="1"/>
    <xf numFmtId="0" fontId="46" fillId="0" borderId="131" xfId="0" applyFont="1" applyBorder="1" applyAlignment="1">
      <alignment horizontal="center"/>
    </xf>
    <xf numFmtId="0" fontId="47" fillId="0" borderId="131" xfId="0" applyFont="1" applyBorder="1" applyAlignment="1">
      <alignment horizontal="center"/>
    </xf>
    <xf numFmtId="165" fontId="45" fillId="0" borderId="21" xfId="0" applyNumberFormat="1" applyFont="1" applyBorder="1" applyAlignment="1">
      <alignment horizontal="center"/>
    </xf>
    <xf numFmtId="165" fontId="45" fillId="0" borderId="80" xfId="0" applyNumberFormat="1" applyFont="1" applyBorder="1" applyAlignment="1">
      <alignment horizontal="center"/>
    </xf>
    <xf numFmtId="0" fontId="45" fillId="0" borderId="133" xfId="0" applyFont="1" applyBorder="1"/>
    <xf numFmtId="0" fontId="47" fillId="0" borderId="133" xfId="0" applyFont="1" applyBorder="1" applyAlignment="1">
      <alignment horizontal="center"/>
    </xf>
    <xf numFmtId="2" fontId="49" fillId="0" borderId="131" xfId="0" applyNumberFormat="1" applyFont="1" applyBorder="1" applyAlignment="1">
      <alignment horizontal="center"/>
    </xf>
    <xf numFmtId="2" fontId="45" fillId="0" borderId="131" xfId="0" applyNumberFormat="1" applyFont="1" applyBorder="1" applyAlignment="1">
      <alignment horizontal="center"/>
    </xf>
    <xf numFmtId="2" fontId="49" fillId="0" borderId="133" xfId="0" applyNumberFormat="1" applyFont="1" applyBorder="1" applyAlignment="1">
      <alignment horizontal="center"/>
    </xf>
    <xf numFmtId="2" fontId="45" fillId="0" borderId="21" xfId="0" applyNumberFormat="1" applyFont="1" applyBorder="1" applyAlignment="1">
      <alignment horizontal="center"/>
    </xf>
    <xf numFmtId="0" fontId="18" fillId="0" borderId="100" xfId="0" applyFont="1" applyBorder="1"/>
    <xf numFmtId="2" fontId="45" fillId="0" borderId="38" xfId="0" applyNumberFormat="1" applyFont="1" applyBorder="1" applyAlignment="1">
      <alignment horizontal="center"/>
    </xf>
    <xf numFmtId="165" fontId="45" fillId="0" borderId="38" xfId="0" applyNumberFormat="1" applyFont="1" applyBorder="1" applyAlignment="1">
      <alignment horizontal="center"/>
    </xf>
    <xf numFmtId="165" fontId="45" fillId="0" borderId="127" xfId="0" applyNumberFormat="1" applyFont="1" applyBorder="1" applyAlignment="1">
      <alignment horizontal="center"/>
    </xf>
    <xf numFmtId="165" fontId="45" fillId="0" borderId="133" xfId="0" applyNumberFormat="1" applyFont="1" applyBorder="1" applyAlignment="1">
      <alignment horizontal="center"/>
    </xf>
    <xf numFmtId="165" fontId="46" fillId="17" borderId="24" xfId="0" applyNumberFormat="1" applyFont="1" applyFill="1" applyBorder="1" applyAlignment="1">
      <alignment horizontal="center"/>
    </xf>
    <xf numFmtId="0" fontId="46" fillId="0" borderId="0" xfId="0" applyFont="1" applyAlignment="1">
      <alignment vertical="top" wrapText="1"/>
    </xf>
    <xf numFmtId="0" fontId="3" fillId="0" borderId="0" xfId="0" applyFont="1" applyAlignment="1">
      <alignment horizontal="center" vertical="center" wrapText="1"/>
    </xf>
    <xf numFmtId="0" fontId="57" fillId="0" borderId="0" xfId="0" applyFont="1"/>
    <xf numFmtId="0" fontId="57" fillId="0" borderId="0" xfId="0" applyFont="1" applyAlignment="1"/>
    <xf numFmtId="0" fontId="58" fillId="0" borderId="0" xfId="0" applyFont="1"/>
    <xf numFmtId="0" fontId="58" fillId="8" borderId="38" xfId="0" applyFont="1" applyFill="1" applyBorder="1" applyAlignment="1">
      <alignment horizontal="center"/>
    </xf>
    <xf numFmtId="0" fontId="58" fillId="9" borderId="38" xfId="0" applyFont="1" applyFill="1" applyBorder="1" applyAlignment="1">
      <alignment horizontal="center"/>
    </xf>
    <xf numFmtId="167" fontId="57" fillId="0" borderId="0" xfId="0" applyNumberFormat="1" applyFont="1"/>
    <xf numFmtId="169" fontId="57" fillId="0" borderId="0" xfId="0" applyNumberFormat="1" applyFont="1"/>
    <xf numFmtId="167" fontId="59" fillId="2" borderId="15" xfId="0" applyNumberFormat="1" applyFont="1" applyFill="1" applyBorder="1"/>
    <xf numFmtId="167" fontId="57" fillId="0" borderId="0" xfId="0" applyNumberFormat="1" applyFont="1" applyAlignment="1">
      <alignment horizontal="center"/>
    </xf>
    <xf numFmtId="0" fontId="60" fillId="0" borderId="0" xfId="0" applyFont="1"/>
    <xf numFmtId="0" fontId="60" fillId="0" borderId="0" xfId="0" applyFont="1" applyAlignment="1">
      <alignment horizontal="center"/>
    </xf>
    <xf numFmtId="0" fontId="61" fillId="0" borderId="0" xfId="0" applyFont="1"/>
    <xf numFmtId="0" fontId="62" fillId="8" borderId="15" xfId="0" applyFont="1" applyFill="1" applyBorder="1" applyAlignment="1">
      <alignment horizontal="center"/>
    </xf>
    <xf numFmtId="0" fontId="63" fillId="9" borderId="15" xfId="0" applyFont="1" applyFill="1" applyBorder="1" applyAlignment="1">
      <alignment horizontal="center"/>
    </xf>
    <xf numFmtId="0" fontId="57" fillId="0" borderId="0" xfId="0" applyFont="1" applyAlignment="1">
      <alignment horizontal="center"/>
    </xf>
    <xf numFmtId="0" fontId="60" fillId="8" borderId="15" xfId="0" applyFont="1" applyFill="1" applyBorder="1" applyAlignment="1">
      <alignment horizontal="center"/>
    </xf>
    <xf numFmtId="0" fontId="64" fillId="0" borderId="0" xfId="0" applyFont="1" applyAlignment="1">
      <alignment horizontal="right"/>
    </xf>
    <xf numFmtId="164" fontId="58" fillId="0" borderId="0" xfId="0" applyNumberFormat="1" applyFont="1"/>
    <xf numFmtId="0" fontId="64" fillId="0" borderId="0" xfId="0" applyFont="1"/>
    <xf numFmtId="164" fontId="57" fillId="0" borderId="0" xfId="0" applyNumberFormat="1" applyFont="1"/>
    <xf numFmtId="0" fontId="58" fillId="0" borderId="39" xfId="0" applyFont="1" applyBorder="1" applyAlignment="1">
      <alignment horizontal="right"/>
    </xf>
    <xf numFmtId="164" fontId="58" fillId="0" borderId="39" xfId="0" applyNumberFormat="1" applyFont="1" applyBorder="1"/>
    <xf numFmtId="167" fontId="58" fillId="0" borderId="0" xfId="0" applyNumberFormat="1" applyFont="1"/>
    <xf numFmtId="167" fontId="65" fillId="0" borderId="0" xfId="0" applyNumberFormat="1" applyFont="1"/>
    <xf numFmtId="164" fontId="62" fillId="0" borderId="0" xfId="0" applyNumberFormat="1" applyFont="1"/>
    <xf numFmtId="167" fontId="62" fillId="0" borderId="0" xfId="0" applyNumberFormat="1" applyFont="1"/>
    <xf numFmtId="0" fontId="58" fillId="0" borderId="0" xfId="0" applyFont="1" applyAlignment="1">
      <alignment horizontal="right"/>
    </xf>
    <xf numFmtId="0" fontId="58" fillId="0" borderId="40" xfId="0" applyFont="1" applyBorder="1" applyAlignment="1">
      <alignment horizontal="right"/>
    </xf>
    <xf numFmtId="164" fontId="58" fillId="0" borderId="40" xfId="0" applyNumberFormat="1" applyFont="1" applyBorder="1"/>
    <xf numFmtId="0" fontId="64" fillId="0" borderId="0" xfId="0" applyFont="1" applyAlignment="1">
      <alignment horizontal="left"/>
    </xf>
    <xf numFmtId="0" fontId="64" fillId="0" borderId="9" xfId="0" applyFont="1" applyBorder="1" applyAlignment="1">
      <alignment horizontal="right"/>
    </xf>
    <xf numFmtId="0" fontId="58" fillId="0" borderId="10" xfId="0" applyFont="1" applyBorder="1"/>
    <xf numFmtId="167" fontId="58" fillId="0" borderId="10" xfId="0" applyNumberFormat="1" applyFont="1" applyBorder="1"/>
    <xf numFmtId="167" fontId="58" fillId="0" borderId="11" xfId="0" applyNumberFormat="1" applyFont="1" applyBorder="1"/>
    <xf numFmtId="10" fontId="58" fillId="0" borderId="0" xfId="0" applyNumberFormat="1" applyFont="1"/>
    <xf numFmtId="2" fontId="66" fillId="0" borderId="0" xfId="0" applyNumberFormat="1" applyFont="1"/>
    <xf numFmtId="2" fontId="58" fillId="0" borderId="0" xfId="0" applyNumberFormat="1" applyFont="1" applyAlignment="1"/>
    <xf numFmtId="164" fontId="65" fillId="0" borderId="0" xfId="0" applyNumberFormat="1" applyFont="1"/>
    <xf numFmtId="2" fontId="58" fillId="0" borderId="0" xfId="0" applyNumberFormat="1" applyFont="1"/>
    <xf numFmtId="10" fontId="65" fillId="0" borderId="0" xfId="0" applyNumberFormat="1" applyFont="1"/>
    <xf numFmtId="0" fontId="57" fillId="0" borderId="0" xfId="0" applyFont="1" applyAlignment="1">
      <alignment horizontal="right"/>
    </xf>
    <xf numFmtId="0" fontId="57" fillId="0" borderId="39" xfId="0" applyFont="1" applyBorder="1"/>
    <xf numFmtId="0" fontId="57" fillId="0" borderId="39" xfId="0" applyFont="1" applyBorder="1" applyAlignment="1">
      <alignment horizontal="right"/>
    </xf>
    <xf numFmtId="0" fontId="58" fillId="0" borderId="39" xfId="0" applyFont="1" applyBorder="1"/>
    <xf numFmtId="0" fontId="62" fillId="0" borderId="0" xfId="0" applyFont="1" applyAlignment="1">
      <alignment horizontal="right"/>
    </xf>
    <xf numFmtId="38" fontId="58" fillId="0" borderId="0" xfId="0" applyNumberFormat="1" applyFont="1"/>
    <xf numFmtId="0" fontId="67" fillId="0" borderId="0" xfId="0" applyFont="1"/>
    <xf numFmtId="0" fontId="62" fillId="0" borderId="0" xfId="0" applyFont="1"/>
    <xf numFmtId="9" fontId="58" fillId="0" borderId="0" xfId="0" applyNumberFormat="1" applyFont="1"/>
    <xf numFmtId="167" fontId="60" fillId="0" borderId="0" xfId="0" applyNumberFormat="1" applyFont="1"/>
    <xf numFmtId="0" fontId="62" fillId="0" borderId="0" xfId="0" applyFont="1" applyAlignment="1">
      <alignment horizontal="center" vertical="center"/>
    </xf>
    <xf numFmtId="0" fontId="55" fillId="0" borderId="0" xfId="1"/>
    <xf numFmtId="164" fontId="7" fillId="2" borderId="145" xfId="0" applyNumberFormat="1" applyFont="1" applyFill="1" applyBorder="1"/>
    <xf numFmtId="0" fontId="24" fillId="0" borderId="39" xfId="0" applyFont="1" applyBorder="1" applyAlignment="1">
      <alignment wrapText="1"/>
    </xf>
    <xf numFmtId="0" fontId="8" fillId="0" borderId="0" xfId="0" applyFont="1" applyFill="1"/>
    <xf numFmtId="0" fontId="6" fillId="8" borderId="46" xfId="0" applyFont="1" applyFill="1" applyBorder="1" applyAlignment="1">
      <alignment horizontal="center"/>
    </xf>
    <xf numFmtId="0" fontId="6" fillId="8" borderId="38" xfId="0" applyFont="1" applyFill="1" applyBorder="1" applyAlignment="1">
      <alignment horizontal="center"/>
    </xf>
    <xf numFmtId="0" fontId="6" fillId="8" borderId="47" xfId="0" applyFont="1" applyFill="1" applyBorder="1" applyAlignment="1">
      <alignment horizontal="center"/>
    </xf>
    <xf numFmtId="0" fontId="6" fillId="8" borderId="48" xfId="0" applyFont="1" applyFill="1" applyBorder="1" applyAlignment="1">
      <alignment horizontal="center"/>
    </xf>
    <xf numFmtId="0" fontId="6" fillId="9" borderId="47" xfId="0" applyFont="1" applyFill="1" applyBorder="1" applyAlignment="1">
      <alignment horizontal="center"/>
    </xf>
    <xf numFmtId="0" fontId="68" fillId="0" borderId="0" xfId="0" applyFont="1"/>
    <xf numFmtId="0" fontId="3" fillId="0" borderId="0" xfId="0" applyFont="1" applyAlignment="1">
      <alignment vertical="center"/>
    </xf>
    <xf numFmtId="165" fontId="69" fillId="2" borderId="15" xfId="0" applyNumberFormat="1" applyFont="1" applyFill="1" applyBorder="1"/>
    <xf numFmtId="9" fontId="8" fillId="0" borderId="0" xfId="2" applyFont="1"/>
    <xf numFmtId="0" fontId="0" fillId="0" borderId="0" xfId="0" applyFont="1" applyAlignment="1"/>
    <xf numFmtId="167" fontId="7" fillId="18" borderId="28" xfId="0" applyNumberFormat="1" applyFont="1" applyFill="1" applyBorder="1" applyAlignment="1">
      <alignment horizontal="center"/>
    </xf>
    <xf numFmtId="0" fontId="8" fillId="0" borderId="0" xfId="0" applyFont="1" applyAlignment="1">
      <alignment wrapText="1"/>
    </xf>
    <xf numFmtId="0" fontId="56" fillId="0" borderId="0" xfId="0" applyFont="1" applyAlignment="1"/>
    <xf numFmtId="0" fontId="55" fillId="0" borderId="0" xfId="1" applyAlignment="1"/>
    <xf numFmtId="0" fontId="1" fillId="0" borderId="134" xfId="0" applyFont="1" applyBorder="1"/>
    <xf numFmtId="164" fontId="9" fillId="2" borderId="115" xfId="0" applyNumberFormat="1" applyFont="1" applyFill="1" applyBorder="1"/>
    <xf numFmtId="164" fontId="1" fillId="0" borderId="141" xfId="0" applyNumberFormat="1" applyFont="1" applyBorder="1"/>
    <xf numFmtId="164" fontId="1" fillId="0" borderId="115" xfId="0" applyNumberFormat="1" applyFont="1" applyBorder="1"/>
    <xf numFmtId="9" fontId="1" fillId="0" borderId="0" xfId="2" applyFont="1"/>
    <xf numFmtId="10" fontId="1" fillId="0" borderId="0" xfId="2" applyNumberFormat="1" applyFont="1"/>
    <xf numFmtId="0" fontId="1" fillId="0" borderId="19" xfId="0" applyFont="1" applyBorder="1" applyAlignment="1">
      <alignment wrapText="1"/>
    </xf>
    <xf numFmtId="40" fontId="20" fillId="0" borderId="39" xfId="0" applyNumberFormat="1" applyFont="1" applyBorder="1"/>
    <xf numFmtId="2" fontId="59" fillId="2" borderId="15" xfId="0" applyNumberFormat="1" applyFont="1" applyFill="1" applyBorder="1"/>
    <xf numFmtId="0" fontId="58" fillId="0" borderId="0" xfId="0" applyFont="1" applyAlignment="1"/>
    <xf numFmtId="43" fontId="1" fillId="0" borderId="6" xfId="0" applyNumberFormat="1" applyFont="1" applyBorder="1"/>
    <xf numFmtId="43" fontId="1" fillId="0" borderId="0" xfId="0" applyNumberFormat="1" applyFont="1"/>
    <xf numFmtId="43" fontId="1" fillId="0" borderId="19" xfId="0" applyNumberFormat="1" applyFont="1" applyBorder="1"/>
    <xf numFmtId="0" fontId="11" fillId="0" borderId="134" xfId="0" applyFont="1" applyBorder="1" applyAlignment="1">
      <alignment horizontal="left"/>
    </xf>
    <xf numFmtId="10" fontId="65" fillId="0" borderId="0" xfId="0" applyNumberFormat="1" applyFont="1" applyFill="1"/>
    <xf numFmtId="177" fontId="1" fillId="3" borderId="13" xfId="0" applyNumberFormat="1" applyFont="1" applyFill="1" applyBorder="1"/>
    <xf numFmtId="177" fontId="1" fillId="0" borderId="0" xfId="0" applyNumberFormat="1" applyFont="1" applyAlignment="1">
      <alignment vertical="top" wrapText="1"/>
    </xf>
    <xf numFmtId="177" fontId="1" fillId="0" borderId="0" xfId="0" applyNumberFormat="1" applyFont="1"/>
    <xf numFmtId="0" fontId="42" fillId="0" borderId="146" xfId="0" applyFont="1" applyBorder="1" applyAlignment="1"/>
    <xf numFmtId="0" fontId="1" fillId="0" borderId="146" xfId="0" applyFont="1" applyBorder="1" applyAlignment="1"/>
    <xf numFmtId="0" fontId="1" fillId="0" borderId="146" xfId="0" applyFont="1" applyBorder="1" applyAlignment="1">
      <alignment horizontal="left"/>
    </xf>
    <xf numFmtId="0" fontId="71" fillId="0" borderId="0" xfId="1" applyFont="1"/>
    <xf numFmtId="178" fontId="57" fillId="0" borderId="0" xfId="3" applyNumberFormat="1" applyFont="1"/>
    <xf numFmtId="43" fontId="57" fillId="0" borderId="0" xfId="0" applyNumberFormat="1" applyFont="1"/>
    <xf numFmtId="0" fontId="11" fillId="0" borderId="146" xfId="0" applyFont="1" applyBorder="1"/>
    <xf numFmtId="0" fontId="42" fillId="0" borderId="146" xfId="0" applyFont="1" applyBorder="1" applyAlignment="1">
      <alignment wrapText="1"/>
    </xf>
    <xf numFmtId="0" fontId="1" fillId="0" borderId="146" xfId="0" applyFont="1" applyBorder="1" applyAlignment="1">
      <alignment wrapText="1"/>
    </xf>
    <xf numFmtId="0" fontId="1" fillId="0" borderId="146" xfId="0" applyFont="1" applyBorder="1"/>
    <xf numFmtId="164" fontId="4" fillId="2" borderId="15" xfId="0" applyNumberFormat="1" applyFont="1" applyFill="1" applyBorder="1"/>
    <xf numFmtId="164" fontId="1" fillId="0" borderId="147" xfId="0" applyNumberFormat="1" applyFont="1" applyBorder="1"/>
    <xf numFmtId="164" fontId="10" fillId="0" borderId="147" xfId="0" applyNumberFormat="1" applyFont="1" applyBorder="1"/>
    <xf numFmtId="164" fontId="11" fillId="15" borderId="147" xfId="0" applyNumberFormat="1" applyFont="1" applyFill="1" applyBorder="1"/>
    <xf numFmtId="175" fontId="1" fillId="0" borderId="147" xfId="0" applyNumberFormat="1" applyFont="1" applyBorder="1"/>
    <xf numFmtId="164" fontId="11" fillId="0" borderId="147" xfId="0" applyNumberFormat="1" applyFont="1" applyBorder="1"/>
    <xf numFmtId="164" fontId="1" fillId="0" borderId="141" xfId="0" applyNumberFormat="1" applyFont="1" applyFill="1" applyBorder="1"/>
    <xf numFmtId="164" fontId="1" fillId="0" borderId="100" xfId="0" applyNumberFormat="1" applyFont="1" applyFill="1" applyBorder="1"/>
    <xf numFmtId="164" fontId="1" fillId="0" borderId="0" xfId="0" applyNumberFormat="1" applyFont="1" applyAlignment="1">
      <alignment horizontal="center" vertical="center"/>
    </xf>
    <xf numFmtId="2" fontId="8" fillId="0" borderId="0" xfId="0" applyNumberFormat="1" applyFont="1"/>
    <xf numFmtId="164" fontId="1" fillId="0" borderId="147" xfId="0" applyNumberFormat="1" applyFont="1" applyFill="1" applyBorder="1"/>
    <xf numFmtId="9" fontId="7" fillId="2" borderId="57" xfId="0" applyNumberFormat="1" applyFont="1" applyFill="1" applyBorder="1" applyAlignment="1">
      <alignment horizontal="center"/>
    </xf>
    <xf numFmtId="43" fontId="0" fillId="0" borderId="0" xfId="0" applyNumberFormat="1" applyFont="1" applyAlignment="1"/>
    <xf numFmtId="0" fontId="0" fillId="0" borderId="0" xfId="0" applyFont="1" applyAlignment="1"/>
    <xf numFmtId="0" fontId="20" fillId="0" borderId="0" xfId="0" applyFont="1" applyAlignment="1">
      <alignment horizontal="center"/>
    </xf>
    <xf numFmtId="165" fontId="19" fillId="0" borderId="0" xfId="0" applyNumberFormat="1" applyFont="1" applyAlignment="1">
      <alignment horizontal="center"/>
    </xf>
    <xf numFmtId="10" fontId="9" fillId="0" borderId="20" xfId="0" applyNumberFormat="1" applyFont="1" applyFill="1" applyBorder="1" applyAlignment="1"/>
    <xf numFmtId="0" fontId="9" fillId="0" borderId="38" xfId="0" applyFont="1" applyFill="1" applyBorder="1" applyAlignment="1"/>
    <xf numFmtId="171" fontId="8" fillId="0" borderId="15" xfId="0" applyNumberFormat="1" applyFont="1" applyFill="1" applyBorder="1"/>
    <xf numFmtId="164" fontId="8" fillId="0" borderId="15" xfId="0" applyNumberFormat="1" applyFont="1" applyFill="1" applyBorder="1"/>
    <xf numFmtId="0" fontId="16" fillId="7" borderId="33" xfId="0" applyFont="1" applyFill="1" applyBorder="1" applyAlignment="1">
      <alignment horizontal="center"/>
    </xf>
    <xf numFmtId="0" fontId="4" fillId="0" borderId="34" xfId="0" applyFont="1" applyBorder="1"/>
    <xf numFmtId="0" fontId="4" fillId="0" borderId="35" xfId="0" applyFont="1" applyBorder="1"/>
    <xf numFmtId="0" fontId="1" fillId="0" borderId="31" xfId="0" applyFont="1" applyBorder="1" applyAlignment="1">
      <alignment horizontal="center" vertical="top" wrapText="1"/>
    </xf>
    <xf numFmtId="0" fontId="4" fillId="0" borderId="32" xfId="0" applyFont="1" applyBorder="1"/>
    <xf numFmtId="0" fontId="11" fillId="0" borderId="31" xfId="0" applyFont="1" applyBorder="1" applyAlignment="1">
      <alignment horizontal="right" vertical="top" wrapText="1"/>
    </xf>
    <xf numFmtId="168" fontId="1" fillId="0" borderId="31" xfId="0" applyNumberFormat="1" applyFont="1" applyBorder="1" applyAlignment="1">
      <alignment horizontal="center" vertical="top" wrapText="1"/>
    </xf>
    <xf numFmtId="0" fontId="11" fillId="0" borderId="31" xfId="0" applyFont="1" applyBorder="1" applyAlignment="1">
      <alignment horizontal="right"/>
    </xf>
    <xf numFmtId="0" fontId="6" fillId="0" borderId="1" xfId="0" applyFont="1" applyBorder="1" applyAlignment="1">
      <alignment horizontal="center" vertical="center"/>
    </xf>
    <xf numFmtId="0" fontId="4" fillId="0" borderId="4" xfId="0" applyFont="1" applyBorder="1"/>
    <xf numFmtId="0" fontId="4" fillId="0" borderId="5" xfId="0" applyFont="1" applyBorder="1"/>
    <xf numFmtId="0" fontId="4" fillId="0" borderId="8" xfId="0" applyFont="1" applyBorder="1"/>
    <xf numFmtId="0" fontId="6" fillId="3" borderId="9" xfId="0" applyFont="1" applyFill="1" applyBorder="1" applyAlignment="1">
      <alignment horizontal="center"/>
    </xf>
    <xf numFmtId="0" fontId="4" fillId="0" borderId="10" xfId="0" applyFont="1" applyBorder="1"/>
    <xf numFmtId="0" fontId="4" fillId="0" borderId="11" xfId="0" applyFont="1" applyBorder="1"/>
    <xf numFmtId="0" fontId="8" fillId="4" borderId="16" xfId="0" applyFont="1" applyFill="1" applyBorder="1" applyAlignment="1">
      <alignment horizontal="center"/>
    </xf>
    <xf numFmtId="0" fontId="4" fillId="0" borderId="17" xfId="0" applyFont="1" applyBorder="1"/>
    <xf numFmtId="0" fontId="6" fillId="0" borderId="31" xfId="0" applyFont="1" applyBorder="1" applyAlignment="1">
      <alignment horizontal="right" vertical="center" wrapText="1"/>
    </xf>
    <xf numFmtId="0" fontId="7" fillId="2" borderId="31" xfId="0" applyFont="1" applyFill="1" applyBorder="1" applyAlignment="1">
      <alignment horizontal="center" vertical="center" wrapText="1"/>
    </xf>
    <xf numFmtId="15" fontId="7" fillId="2" borderId="31" xfId="0" applyNumberFormat="1" applyFont="1" applyFill="1" applyBorder="1" applyAlignment="1">
      <alignment horizontal="center" vertical="center" wrapText="1"/>
    </xf>
    <xf numFmtId="0" fontId="14" fillId="0" borderId="0" xfId="0" applyFont="1" applyAlignment="1">
      <alignment horizontal="center"/>
    </xf>
    <xf numFmtId="0" fontId="0" fillId="0" borderId="0" xfId="0" applyFont="1" applyAlignment="1"/>
    <xf numFmtId="164" fontId="17" fillId="2" borderId="36" xfId="0" applyNumberFormat="1" applyFont="1" applyFill="1" applyBorder="1" applyAlignment="1">
      <alignment horizontal="center" vertical="center"/>
    </xf>
    <xf numFmtId="0" fontId="4" fillId="0" borderId="37" xfId="0" applyFont="1" applyBorder="1"/>
    <xf numFmtId="0" fontId="3" fillId="0" borderId="1" xfId="0" applyFont="1" applyBorder="1" applyAlignment="1">
      <alignment horizontal="center" vertical="center" wrapText="1"/>
    </xf>
    <xf numFmtId="0" fontId="4" fillId="0" borderId="2" xfId="0" applyFont="1" applyBorder="1" applyAlignment="1">
      <alignment wrapText="1"/>
    </xf>
    <xf numFmtId="0" fontId="4" fillId="0" borderId="5" xfId="0" applyFont="1" applyBorder="1" applyAlignment="1">
      <alignment wrapText="1"/>
    </xf>
    <xf numFmtId="0" fontId="4" fillId="0" borderId="6" xfId="0" applyFont="1" applyBorder="1" applyAlignment="1">
      <alignment wrapText="1"/>
    </xf>
    <xf numFmtId="0" fontId="3" fillId="0" borderId="2" xfId="0" applyFont="1" applyBorder="1" applyAlignment="1">
      <alignment horizontal="center" vertical="center"/>
    </xf>
    <xf numFmtId="0" fontId="4" fillId="0" borderId="6" xfId="0" applyFont="1" applyBorder="1"/>
    <xf numFmtId="0" fontId="5" fillId="2" borderId="3" xfId="0" applyFont="1" applyFill="1" applyBorder="1" applyAlignment="1">
      <alignment horizontal="center" vertical="center"/>
    </xf>
    <xf numFmtId="0" fontId="4" fillId="0" borderId="7" xfId="0" applyFont="1" applyBorder="1"/>
    <xf numFmtId="0" fontId="1" fillId="5" borderId="16" xfId="0" applyFont="1" applyFill="1" applyBorder="1" applyAlignment="1">
      <alignment horizontal="center"/>
    </xf>
    <xf numFmtId="0" fontId="1" fillId="3" borderId="16" xfId="0" applyFont="1" applyFill="1" applyBorder="1" applyAlignment="1">
      <alignment horizontal="center"/>
    </xf>
    <xf numFmtId="0" fontId="8" fillId="3" borderId="16" xfId="0" applyFont="1" applyFill="1" applyBorder="1" applyAlignment="1">
      <alignment horizontal="center"/>
    </xf>
    <xf numFmtId="0" fontId="4" fillId="0" borderId="23" xfId="0" applyFont="1" applyBorder="1"/>
    <xf numFmtId="0" fontId="8" fillId="3" borderId="25" xfId="0" applyFont="1" applyFill="1" applyBorder="1" applyAlignment="1">
      <alignment horizontal="center"/>
    </xf>
    <xf numFmtId="0" fontId="4" fillId="0" borderId="26" xfId="0" applyFont="1" applyBorder="1"/>
    <xf numFmtId="0" fontId="8" fillId="3" borderId="9" xfId="0" applyFont="1" applyFill="1" applyBorder="1" applyAlignment="1">
      <alignment horizontal="center"/>
    </xf>
    <xf numFmtId="0" fontId="8" fillId="0" borderId="9" xfId="0" applyFont="1" applyBorder="1" applyAlignment="1">
      <alignment horizontal="center"/>
    </xf>
    <xf numFmtId="0" fontId="15" fillId="0" borderId="0" xfId="0" applyFont="1" applyAlignment="1">
      <alignment horizontal="center"/>
    </xf>
    <xf numFmtId="0" fontId="6" fillId="10" borderId="36" xfId="0" applyFont="1" applyFill="1" applyBorder="1" applyAlignment="1">
      <alignment horizontal="left" vertical="center"/>
    </xf>
    <xf numFmtId="0" fontId="8" fillId="0" borderId="0" xfId="0" applyFont="1" applyAlignment="1">
      <alignment horizontal="center"/>
    </xf>
    <xf numFmtId="0" fontId="4" fillId="0" borderId="57" xfId="0" applyFont="1" applyBorder="1"/>
    <xf numFmtId="0" fontId="6" fillId="0" borderId="42" xfId="0" applyFont="1" applyBorder="1" applyAlignment="1">
      <alignment horizontal="center" vertical="center"/>
    </xf>
    <xf numFmtId="0" fontId="4" fillId="0" borderId="43" xfId="0" applyFont="1" applyBorder="1"/>
    <xf numFmtId="0" fontId="4" fillId="0" borderId="44" xfId="0" applyFont="1" applyBorder="1"/>
    <xf numFmtId="0" fontId="4" fillId="0" borderId="45" xfId="0" applyFont="1" applyBorder="1"/>
    <xf numFmtId="0" fontId="60" fillId="0" borderId="0" xfId="0" applyFont="1" applyAlignment="1">
      <alignment horizontal="center"/>
    </xf>
    <xf numFmtId="0" fontId="57" fillId="0" borderId="0" xfId="0" applyFont="1" applyAlignment="1"/>
    <xf numFmtId="0" fontId="62" fillId="0" borderId="0" xfId="0" applyFont="1" applyAlignment="1">
      <alignment horizontal="left" vertical="center" wrapText="1"/>
    </xf>
    <xf numFmtId="0" fontId="20" fillId="0" borderId="116" xfId="0" applyFont="1" applyBorder="1" applyAlignment="1">
      <alignment horizontal="center" vertical="center"/>
    </xf>
    <xf numFmtId="0" fontId="4" fillId="0" borderId="116" xfId="0" applyFont="1" applyBorder="1"/>
    <xf numFmtId="0" fontId="16" fillId="7" borderId="16" xfId="0" applyFont="1" applyFill="1" applyBorder="1" applyAlignment="1">
      <alignment horizontal="left"/>
    </xf>
    <xf numFmtId="0" fontId="16" fillId="7" borderId="117" xfId="0" applyFont="1" applyFill="1" applyBorder="1" applyAlignment="1">
      <alignment horizontal="center" vertical="center"/>
    </xf>
    <xf numFmtId="0" fontId="4" fillId="0" borderId="70" xfId="0" applyFont="1" applyBorder="1"/>
    <xf numFmtId="0" fontId="16" fillId="7" borderId="119" xfId="0" applyFont="1" applyFill="1" applyBorder="1" applyAlignment="1">
      <alignment horizontal="left"/>
    </xf>
    <xf numFmtId="0" fontId="4" fillId="0" borderId="120" xfId="0" applyFont="1" applyBorder="1"/>
    <xf numFmtId="0" fontId="20" fillId="0" borderId="0" xfId="0" applyFont="1" applyAlignment="1">
      <alignment horizontal="center"/>
    </xf>
    <xf numFmtId="0" fontId="1" fillId="0" borderId="91" xfId="0" applyFont="1" applyBorder="1" applyAlignment="1">
      <alignment horizontal="center" vertical="center"/>
    </xf>
    <xf numFmtId="0" fontId="4" fillId="0" borderId="92" xfId="0" applyFont="1" applyBorder="1"/>
    <xf numFmtId="0" fontId="4" fillId="0" borderId="93" xfId="0" applyFont="1" applyBorder="1"/>
    <xf numFmtId="0" fontId="11" fillId="0" borderId="98" xfId="0" applyFont="1" applyBorder="1" applyAlignment="1">
      <alignment horizontal="center" vertical="center" textRotation="90" wrapText="1"/>
    </xf>
    <xf numFmtId="0" fontId="4" fillId="0" borderId="99" xfId="0" applyFont="1" applyBorder="1"/>
    <xf numFmtId="0" fontId="4" fillId="0" borderId="101" xfId="0" applyFont="1" applyBorder="1"/>
    <xf numFmtId="0" fontId="11" fillId="0" borderId="95" xfId="0" applyFont="1" applyBorder="1" applyAlignment="1">
      <alignment horizontal="center" vertical="center"/>
    </xf>
    <xf numFmtId="0" fontId="4" fillId="0" borderId="96" xfId="0" applyFont="1" applyBorder="1"/>
    <xf numFmtId="0" fontId="4" fillId="0" borderId="97" xfId="0" applyFont="1" applyBorder="1"/>
    <xf numFmtId="0" fontId="16" fillId="7" borderId="108" xfId="0" applyFont="1" applyFill="1" applyBorder="1" applyAlignment="1">
      <alignment horizontal="left" vertical="top" wrapText="1"/>
    </xf>
    <xf numFmtId="0" fontId="4" fillId="0" borderId="109" xfId="0" applyFont="1" applyBorder="1"/>
    <xf numFmtId="0" fontId="4" fillId="0" borderId="110" xfId="0" applyFont="1" applyBorder="1"/>
    <xf numFmtId="0" fontId="4" fillId="0" borderId="111" xfId="0" applyFont="1" applyBorder="1"/>
    <xf numFmtId="0" fontId="4" fillId="0" borderId="112" xfId="0" applyFont="1" applyBorder="1"/>
    <xf numFmtId="0" fontId="4" fillId="0" borderId="113" xfId="0" applyFont="1" applyBorder="1"/>
    <xf numFmtId="0" fontId="4" fillId="0" borderId="114" xfId="0" applyFont="1" applyBorder="1"/>
    <xf numFmtId="0" fontId="4" fillId="0" borderId="115" xfId="0" applyFont="1" applyBorder="1"/>
    <xf numFmtId="0" fontId="11" fillId="0" borderId="91" xfId="0" applyFont="1" applyBorder="1" applyAlignment="1">
      <alignment horizontal="left"/>
    </xf>
    <xf numFmtId="167" fontId="9" fillId="2" borderId="106" xfId="0" applyNumberFormat="1" applyFont="1" applyFill="1" applyBorder="1" applyAlignment="1">
      <alignment horizontal="center"/>
    </xf>
    <xf numFmtId="0" fontId="4" fillId="0" borderId="107" xfId="0" applyFont="1" applyBorder="1"/>
    <xf numFmtId="0" fontId="11" fillId="0" borderId="91" xfId="0" applyFont="1" applyFill="1" applyBorder="1" applyAlignment="1">
      <alignment horizontal="left"/>
    </xf>
    <xf numFmtId="0" fontId="4" fillId="0" borderId="93" xfId="0" applyFont="1" applyFill="1" applyBorder="1"/>
    <xf numFmtId="0" fontId="11" fillId="0" borderId="78" xfId="0" applyFont="1" applyBorder="1" applyAlignment="1">
      <alignment horizontal="center" vertical="center"/>
    </xf>
    <xf numFmtId="0" fontId="4" fillId="0" borderId="52" xfId="0" applyFont="1" applyBorder="1"/>
    <xf numFmtId="0" fontId="4" fillId="0" borderId="79" xfId="0" applyFont="1" applyBorder="1"/>
    <xf numFmtId="0" fontId="4" fillId="0" borderId="21" xfId="0" applyFont="1" applyBorder="1"/>
    <xf numFmtId="0" fontId="4" fillId="0" borderId="39" xfId="0" applyFont="1" applyBorder="1"/>
    <xf numFmtId="0" fontId="4" fillId="0" borderId="80" xfId="0" applyFont="1" applyBorder="1"/>
    <xf numFmtId="0" fontId="22" fillId="2" borderId="9" xfId="0" applyFont="1" applyFill="1" applyBorder="1" applyAlignment="1">
      <alignment horizontal="center"/>
    </xf>
    <xf numFmtId="0" fontId="11" fillId="0" borderId="81" xfId="0" applyFont="1" applyBorder="1" applyAlignment="1">
      <alignment horizontal="center" vertical="center"/>
    </xf>
    <xf numFmtId="0" fontId="4" fillId="0" borderId="82" xfId="0" applyFont="1" applyBorder="1"/>
    <xf numFmtId="0" fontId="4" fillId="0" borderId="83" xfId="0" applyFont="1" applyBorder="1"/>
    <xf numFmtId="0" fontId="4" fillId="0" borderId="84" xfId="0" applyFont="1" applyBorder="1"/>
    <xf numFmtId="0" fontId="4" fillId="0" borderId="85" xfId="0" applyFont="1" applyBorder="1"/>
    <xf numFmtId="0" fontId="4" fillId="0" borderId="86" xfId="0" applyFont="1" applyBorder="1"/>
    <xf numFmtId="0" fontId="11" fillId="0" borderId="52" xfId="0" applyFont="1" applyBorder="1" applyAlignment="1">
      <alignment horizontal="left"/>
    </xf>
    <xf numFmtId="0" fontId="11" fillId="0" borderId="0" xfId="0" applyFont="1" applyAlignment="1">
      <alignment horizontal="left"/>
    </xf>
    <xf numFmtId="0" fontId="20" fillId="0" borderId="31" xfId="0" applyFont="1" applyBorder="1" applyAlignment="1">
      <alignment horizontal="center"/>
    </xf>
    <xf numFmtId="165" fontId="1" fillId="0" borderId="19" xfId="0" applyNumberFormat="1" applyFont="1" applyBorder="1" applyAlignment="1">
      <alignment horizontal="center"/>
    </xf>
    <xf numFmtId="165" fontId="9" fillId="2" borderId="134" xfId="0" applyNumberFormat="1" applyFont="1" applyFill="1" applyBorder="1" applyAlignment="1">
      <alignment horizontal="center"/>
    </xf>
    <xf numFmtId="0" fontId="4" fillId="0" borderId="100" xfId="0" applyFont="1" applyBorder="1"/>
    <xf numFmtId="165" fontId="9" fillId="2" borderId="136" xfId="0" applyNumberFormat="1" applyFont="1" applyFill="1" applyBorder="1" applyAlignment="1">
      <alignment horizontal="center"/>
    </xf>
    <xf numFmtId="0" fontId="4" fillId="0" borderId="137" xfId="0" applyFont="1" applyBorder="1"/>
    <xf numFmtId="0" fontId="4" fillId="0" borderId="135" xfId="0" applyFont="1" applyBorder="1"/>
    <xf numFmtId="0" fontId="20" fillId="0" borderId="19" xfId="0" applyFont="1" applyBorder="1" applyAlignment="1">
      <alignment horizontal="center" wrapText="1"/>
    </xf>
    <xf numFmtId="0" fontId="4" fillId="0" borderId="19" xfId="0" applyFont="1" applyBorder="1"/>
    <xf numFmtId="165" fontId="1" fillId="0" borderId="21" xfId="0" applyNumberFormat="1" applyFont="1" applyBorder="1" applyAlignment="1">
      <alignment horizontal="center"/>
    </xf>
    <xf numFmtId="0" fontId="20" fillId="0" borderId="116" xfId="0" applyFont="1" applyBorder="1" applyAlignment="1">
      <alignment horizontal="center"/>
    </xf>
    <xf numFmtId="0" fontId="11" fillId="0" borderId="31" xfId="0" applyFont="1" applyBorder="1" applyAlignment="1">
      <alignment horizontal="center"/>
    </xf>
    <xf numFmtId="0" fontId="20" fillId="9" borderId="126" xfId="0" applyFont="1" applyFill="1" applyBorder="1" applyAlignment="1">
      <alignment horizontal="center" wrapText="1"/>
    </xf>
    <xf numFmtId="0" fontId="4" fillId="0" borderId="130" xfId="0" applyFont="1" applyBorder="1"/>
    <xf numFmtId="0" fontId="20" fillId="0" borderId="52" xfId="0" applyFont="1" applyBorder="1" applyAlignment="1">
      <alignment horizontal="center"/>
    </xf>
    <xf numFmtId="0" fontId="44" fillId="2" borderId="128" xfId="0" applyFont="1" applyFill="1" applyBorder="1" applyAlignment="1">
      <alignment horizontal="center"/>
    </xf>
    <xf numFmtId="0" fontId="4" fillId="0" borderId="129" xfId="0" applyFont="1" applyBorder="1"/>
    <xf numFmtId="165" fontId="19" fillId="0" borderId="0" xfId="0" applyNumberFormat="1" applyFont="1" applyAlignment="1">
      <alignment horizontal="center"/>
    </xf>
    <xf numFmtId="165" fontId="19" fillId="0" borderId="19" xfId="0" applyNumberFormat="1" applyFont="1" applyBorder="1" applyAlignment="1">
      <alignment horizontal="center"/>
    </xf>
    <xf numFmtId="0" fontId="20" fillId="9" borderId="78" xfId="0" applyFont="1" applyFill="1" applyBorder="1" applyAlignment="1">
      <alignment horizontal="left" vertical="top" wrapText="1"/>
    </xf>
    <xf numFmtId="0" fontId="11" fillId="0" borderId="0" xfId="0" applyFont="1" applyAlignment="1">
      <alignment horizontal="right"/>
    </xf>
    <xf numFmtId="0" fontId="20" fillId="0" borderId="0" xfId="0" applyFont="1" applyAlignment="1">
      <alignment horizontal="right"/>
    </xf>
    <xf numFmtId="171" fontId="19" fillId="0" borderId="19" xfId="0" applyNumberFormat="1" applyFont="1" applyBorder="1" applyAlignment="1">
      <alignment horizontal="center"/>
    </xf>
    <xf numFmtId="171" fontId="19" fillId="0" borderId="31" xfId="0" applyNumberFormat="1" applyFont="1" applyBorder="1" applyAlignment="1">
      <alignment horizontal="center"/>
    </xf>
    <xf numFmtId="2" fontId="19" fillId="0" borderId="19" xfId="0" applyNumberFormat="1" applyFont="1" applyBorder="1" applyAlignment="1">
      <alignment horizontal="center"/>
    </xf>
    <xf numFmtId="0" fontId="46" fillId="0" borderId="31" xfId="0" applyFont="1" applyBorder="1" applyAlignment="1">
      <alignment horizontal="center"/>
    </xf>
    <xf numFmtId="165" fontId="48" fillId="2" borderId="134" xfId="0" applyNumberFormat="1" applyFont="1" applyFill="1" applyBorder="1" applyAlignment="1">
      <alignment horizontal="center"/>
    </xf>
    <xf numFmtId="165" fontId="48" fillId="2" borderId="136" xfId="0" applyNumberFormat="1" applyFont="1" applyFill="1" applyBorder="1" applyAlignment="1">
      <alignment horizontal="center"/>
    </xf>
    <xf numFmtId="0" fontId="46" fillId="0" borderId="19" xfId="0" applyFont="1" applyBorder="1" applyAlignment="1">
      <alignment horizontal="center" wrapText="1"/>
    </xf>
    <xf numFmtId="0" fontId="46" fillId="0" borderId="78" xfId="0" applyFont="1" applyBorder="1" applyAlignment="1">
      <alignment horizontal="center"/>
    </xf>
    <xf numFmtId="0" fontId="46" fillId="9" borderId="126" xfId="0" applyFont="1" applyFill="1" applyBorder="1" applyAlignment="1">
      <alignment horizontal="center" wrapText="1"/>
    </xf>
    <xf numFmtId="165" fontId="45" fillId="0" borderId="19" xfId="0" applyNumberFormat="1" applyFont="1" applyBorder="1" applyAlignment="1">
      <alignment horizontal="center"/>
    </xf>
    <xf numFmtId="0" fontId="46" fillId="0" borderId="0" xfId="0" applyFont="1" applyAlignment="1">
      <alignment horizontal="right"/>
    </xf>
    <xf numFmtId="2" fontId="45" fillId="0" borderId="31" xfId="0" applyNumberFormat="1" applyFont="1" applyBorder="1" applyAlignment="1">
      <alignment horizontal="center"/>
    </xf>
    <xf numFmtId="0" fontId="46" fillId="9" borderId="108" xfId="0" applyFont="1" applyFill="1" applyBorder="1" applyAlignment="1">
      <alignment horizontal="left" vertical="top" wrapText="1"/>
    </xf>
    <xf numFmtId="0" fontId="4" fillId="0" borderId="140" xfId="0" applyFont="1" applyBorder="1"/>
    <xf numFmtId="0" fontId="4" fillId="0" borderId="141" xfId="0" applyFont="1" applyBorder="1"/>
    <xf numFmtId="2" fontId="45" fillId="0" borderId="19" xfId="0" applyNumberFormat="1" applyFont="1" applyBorder="1" applyAlignment="1">
      <alignment horizontal="center"/>
    </xf>
    <xf numFmtId="0" fontId="47" fillId="0" borderId="0" xfId="0" applyFont="1" applyAlignment="1">
      <alignment horizontal="right"/>
    </xf>
    <xf numFmtId="0" fontId="46" fillId="0" borderId="131" xfId="0" applyFont="1" applyBorder="1" applyAlignment="1">
      <alignment horizontal="center" vertical="center" wrapText="1"/>
    </xf>
    <xf numFmtId="0" fontId="4" fillId="0" borderId="131" xfId="0" applyFont="1" applyBorder="1"/>
    <xf numFmtId="165" fontId="48" fillId="2" borderId="33" xfId="0" applyNumberFormat="1" applyFont="1" applyFill="1" applyBorder="1" applyAlignment="1">
      <alignment horizontal="center"/>
    </xf>
    <xf numFmtId="0" fontId="46" fillId="0" borderId="52" xfId="0" applyFont="1" applyBorder="1" applyAlignment="1">
      <alignment horizontal="center"/>
    </xf>
    <xf numFmtId="165" fontId="45" fillId="0" borderId="0" xfId="0" applyNumberFormat="1" applyFont="1" applyAlignment="1">
      <alignment horizontal="center"/>
    </xf>
    <xf numFmtId="165" fontId="51" fillId="0" borderId="19" xfId="0" applyNumberFormat="1" applyFont="1" applyBorder="1" applyAlignment="1">
      <alignment horizontal="center"/>
    </xf>
    <xf numFmtId="0" fontId="45" fillId="0" borderId="19" xfId="0" applyFont="1" applyBorder="1" applyAlignment="1">
      <alignment horizontal="center"/>
    </xf>
    <xf numFmtId="165" fontId="51" fillId="0" borderId="21" xfId="0" applyNumberFormat="1" applyFont="1" applyBorder="1" applyAlignment="1">
      <alignment horizontal="center"/>
    </xf>
    <xf numFmtId="0" fontId="52" fillId="9" borderId="108" xfId="0" applyFont="1" applyFill="1" applyBorder="1" applyAlignment="1">
      <alignment horizontal="left" vertical="top" wrapText="1"/>
    </xf>
    <xf numFmtId="0" fontId="4" fillId="0" borderId="142" xfId="0" applyFont="1" applyBorder="1"/>
    <xf numFmtId="0" fontId="4" fillId="0" borderId="143" xfId="0" applyFont="1" applyBorder="1"/>
    <xf numFmtId="0" fontId="4" fillId="0" borderId="138" xfId="0" applyFont="1" applyBorder="1"/>
    <xf numFmtId="0" fontId="4" fillId="0" borderId="144" xfId="0" applyFont="1" applyBorder="1"/>
    <xf numFmtId="0" fontId="20" fillId="0" borderId="115" xfId="0" applyFont="1" applyBorder="1" applyAlignment="1">
      <alignment horizontal="center"/>
    </xf>
    <xf numFmtId="169" fontId="19" fillId="0" borderId="115" xfId="0" applyNumberFormat="1" applyFont="1" applyBorder="1"/>
    <xf numFmtId="171" fontId="19" fillId="0" borderId="115" xfId="0" applyNumberFormat="1" applyFont="1" applyBorder="1" applyAlignment="1">
      <alignment horizontal="center"/>
    </xf>
    <xf numFmtId="0" fontId="19" fillId="0" borderId="115" xfId="0" applyFont="1" applyBorder="1"/>
    <xf numFmtId="171" fontId="7" fillId="0" borderId="15" xfId="0" applyNumberFormat="1" applyFont="1" applyFill="1" applyBorder="1"/>
    <xf numFmtId="171" fontId="8" fillId="0" borderId="0" xfId="0" applyNumberFormat="1" applyFont="1" applyFill="1"/>
    <xf numFmtId="0" fontId="0" fillId="0" borderId="0" xfId="0" applyFont="1" applyFill="1" applyAlignment="1"/>
    <xf numFmtId="0" fontId="11" fillId="0" borderId="148" xfId="0" applyFont="1" applyBorder="1" applyAlignment="1">
      <alignment horizontal="center"/>
    </xf>
    <xf numFmtId="0" fontId="4" fillId="0" borderId="149" xfId="0" applyFont="1" applyBorder="1"/>
    <xf numFmtId="0" fontId="19" fillId="0" borderId="146" xfId="0" applyFont="1" applyBorder="1"/>
    <xf numFmtId="0" fontId="19" fillId="0" borderId="147" xfId="0" applyFont="1" applyBorder="1"/>
    <xf numFmtId="165" fontId="19" fillId="0" borderId="146" xfId="0" applyNumberFormat="1" applyFont="1" applyBorder="1" applyAlignment="1">
      <alignment horizontal="center"/>
    </xf>
    <xf numFmtId="0" fontId="0" fillId="0" borderId="147" xfId="0" applyFont="1" applyBorder="1" applyAlignment="1"/>
    <xf numFmtId="165" fontId="1" fillId="0" borderId="146" xfId="0" applyNumberFormat="1" applyFont="1" applyBorder="1" applyAlignment="1">
      <alignment horizontal="center" wrapText="1"/>
    </xf>
    <xf numFmtId="165" fontId="1" fillId="0" borderId="146" xfId="0" applyNumberFormat="1" applyFont="1" applyBorder="1" applyAlignment="1">
      <alignment horizontal="center"/>
    </xf>
    <xf numFmtId="0" fontId="4" fillId="0" borderId="147" xfId="0" applyFont="1" applyBorder="1"/>
    <xf numFmtId="165" fontId="1" fillId="0" borderId="150" xfId="0" applyNumberFormat="1" applyFont="1" applyBorder="1" applyAlignment="1">
      <alignment horizontal="center"/>
    </xf>
    <xf numFmtId="0" fontId="0" fillId="0" borderId="151" xfId="0" applyFont="1" applyBorder="1" applyAlignment="1"/>
  </cellXfs>
  <cellStyles count="4">
    <cellStyle name="Comma" xfId="3" builtinId="3"/>
    <cellStyle name="Hyperlink" xfId="1" builtinId="8"/>
    <cellStyle name="Normal" xfId="0" builtinId="0"/>
    <cellStyle name="Percent" xfId="2" builtinId="5"/>
  </cellStyles>
  <dxfs count="40">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632423"/>
      </font>
      <fill>
        <patternFill patternType="solid">
          <fgColor rgb="FFF2DBDB"/>
          <bgColor rgb="FFF2DBDB"/>
        </patternFill>
      </fill>
    </dxf>
    <dxf>
      <font>
        <color rgb="FF632423"/>
      </font>
      <fill>
        <patternFill patternType="solid">
          <fgColor rgb="FFF2DBDB"/>
          <bgColor rgb="FFF2DBDB"/>
        </patternFill>
      </fill>
    </dxf>
    <dxf>
      <font>
        <color rgb="FF632423"/>
      </font>
      <fill>
        <patternFill patternType="solid">
          <fgColor rgb="FFF2DBDB"/>
          <bgColor rgb="FFF2DBDB"/>
        </patternFill>
      </fill>
    </dxf>
    <dxf>
      <font>
        <color rgb="FF632423"/>
      </font>
      <fill>
        <patternFill patternType="solid">
          <fgColor rgb="FFF2DBDB"/>
          <bgColor rgb="FFF2DBDB"/>
        </patternFill>
      </fill>
    </dxf>
    <dxf>
      <font>
        <color rgb="FF632423"/>
      </font>
      <fill>
        <patternFill patternType="solid">
          <fgColor rgb="FFF2DBDB"/>
          <bgColor rgb="FFF2DBDB"/>
        </patternFill>
      </fill>
    </dxf>
    <dxf>
      <fill>
        <patternFill patternType="solid">
          <fgColor rgb="FFB7E1CD"/>
          <bgColor rgb="FFB7E1CD"/>
        </patternFill>
      </fill>
    </dxf>
    <dxf>
      <font>
        <color rgb="FF9C0006"/>
      </font>
      <fill>
        <patternFill patternType="solid">
          <fgColor rgb="FFFFC7CE"/>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Khushbu Dudani" id="{AAC7327A-821E-48B2-8008-366C9CDD26D6}" userId="Khushbu Dudani"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8" dT="2021-12-08T20:37:15.96" personId="{AAC7327A-821E-48B2-8008-366C9CDD26D6}" id="{55B90513-EA05-4195-A90F-158B3805A4E4}">
    <text>Increase in Depreciation in line with increase in the PPE as a result of the expansion plans.</text>
  </threadedComment>
  <threadedComment ref="G20" dT="2021-12-08T20:40:37.91" personId="{AAC7327A-821E-48B2-8008-366C9CDD26D6}" id="{0A81B45A-086A-40A2-9D9F-81FCE319CB81}">
    <text>mainly due to increase in Inventories (FG &amp; WIP)- which may be mostly for the Sales to be made in the next year.</text>
  </threadedComment>
  <threadedComment ref="G22" dT="2021-12-08T20:42:35.25" personId="{AAC7327A-821E-48B2-8008-366C9CDD26D6}" id="{82D12181-D56C-415C-8642-2F43F47798B8}">
    <text>On account of increase in accrued expenses &amp; other current liabilities (comprising of contractual liabilities)</text>
  </threadedComment>
  <threadedComment ref="G29" dT="2021-12-08T20:46:51.00" personId="{AAC7327A-821E-48B2-8008-366C9CDD26D6}" id="{95D05AB0-20CD-41A0-AAB9-3A38F5C217E5}">
    <text>Capital Expenditure due to expansion</text>
  </threadedComment>
  <threadedComment ref="H33" dT="2021-12-08T21:40:31.42" personId="{AAC7327A-821E-48B2-8008-366C9CDD26D6}" id="{A6914BCA-C2A8-4843-9E32-ED9B9C3826D3}">
    <text>Average from the past years</text>
  </threadedComment>
  <threadedComment ref="G40" dT="2021-12-08T20:44:57.36" personId="{AAC7327A-821E-48B2-8008-366C9CDD26D6}" id="{74D53F15-4152-4CD1-9D4E-1C0B4A45036B}">
    <text>Repayment of Short term loans</text>
  </threadedComment>
  <threadedComment ref="G44" dT="2021-12-08T20:45:32.06" personId="{AAC7327A-821E-48B2-8008-366C9CDD26D6}" id="{7F232E3F-72D0-4654-BC73-12D0BC97CC5E}">
    <text>Bonds issued by the company</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1-11-29T22:55:48.29" personId="{AAC7327A-821E-48B2-8008-366C9CDD26D6}" id="{FC8E0471-BB89-403F-A75D-9217E4E77375}">
    <text>as on 29 Nov 2021</text>
  </threadedComment>
  <threadedComment ref="J4" dT="2021-11-29T22:54:56.00" personId="{AAC7327A-821E-48B2-8008-366C9CDD26D6}" id="{D2D24693-1365-4DE4-9BC4-0C0850F36EBC}">
    <text>Increase as the Japan plant is expected to start production in 2024 and will start generating revenue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investor.tsmc.com/english/financial-reports"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reuters.com/technology/taiwans-tsmc-posts-138-rise-q3-profit-global-chip-demand-surge-2021-10-14/" TargetMode="External"/><Relationship Id="rId1" Type="http://schemas.openxmlformats.org/officeDocument/2006/relationships/hyperlink" Target="https://www.bloomberg.com/news/articles/2021-10-14/tsmc-quarterly-profit-beats-expectations-as-margins-recover"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treasury.gov/resource-center/data-chart-center/interest-rates/pages/textview.aspx?data=yield" TargetMode="External"/><Relationship Id="rId4" Type="http://schemas.microsoft.com/office/2017/10/relationships/threadedComment" Target="../threadedComments/threadedComment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tabSelected="1" workbookViewId="0">
      <selection activeCell="F18" sqref="F18"/>
    </sheetView>
  </sheetViews>
  <sheetFormatPr defaultColWidth="14.453125" defaultRowHeight="15" customHeight="1" outlineLevelRow="1"/>
  <cols>
    <col min="1" max="1" width="2.7265625" customWidth="1"/>
    <col min="2" max="2" width="2.453125" customWidth="1"/>
    <col min="3" max="3" width="3.08984375" customWidth="1"/>
    <col min="4" max="5" width="11" customWidth="1"/>
    <col min="6" max="6" width="20.08984375" customWidth="1"/>
    <col min="7" max="7" width="11" customWidth="1"/>
    <col min="8" max="9" width="2.08984375" customWidth="1"/>
    <col min="10" max="10" width="18" customWidth="1"/>
    <col min="11" max="11" width="11" customWidth="1"/>
    <col min="12" max="12" width="2.08984375" customWidth="1"/>
    <col min="13" max="26" width="11.453125" customWidth="1"/>
  </cols>
  <sheetData>
    <row r="1" spans="1:26" ht="13.5" customHeight="1">
      <c r="A1" s="1"/>
      <c r="B1" s="1"/>
      <c r="C1" s="1"/>
      <c r="D1" s="1"/>
      <c r="E1" s="1"/>
      <c r="F1" s="1"/>
      <c r="G1" s="1"/>
      <c r="H1" s="1"/>
      <c r="I1" s="1"/>
      <c r="J1" s="1"/>
      <c r="K1" s="1"/>
      <c r="L1" s="1"/>
      <c r="M1" s="1"/>
      <c r="N1" s="1"/>
      <c r="O1" s="1"/>
      <c r="P1" s="1"/>
      <c r="Q1" s="1"/>
      <c r="R1" s="1"/>
      <c r="S1" s="1"/>
      <c r="T1" s="1"/>
      <c r="U1" s="1"/>
      <c r="V1" s="1"/>
      <c r="W1" s="1"/>
      <c r="X1" s="1"/>
      <c r="Y1" s="1"/>
      <c r="Z1" s="1"/>
    </row>
    <row r="2" spans="1:26" ht="13.5" customHeight="1">
      <c r="A2" s="1"/>
      <c r="B2" s="2"/>
      <c r="C2" s="1"/>
      <c r="D2" s="1"/>
      <c r="E2" s="1"/>
      <c r="F2" s="1"/>
      <c r="G2" s="1"/>
      <c r="H2" s="1"/>
      <c r="I2" s="1"/>
      <c r="J2" s="1"/>
      <c r="K2" s="1"/>
      <c r="L2" s="1"/>
      <c r="M2" s="1"/>
      <c r="N2" s="1"/>
      <c r="O2" s="1"/>
      <c r="P2" s="1"/>
      <c r="Q2" s="1"/>
      <c r="R2" s="1"/>
      <c r="S2" s="1"/>
      <c r="T2" s="1"/>
      <c r="U2" s="1"/>
      <c r="V2" s="1"/>
      <c r="W2" s="1"/>
      <c r="X2" s="1"/>
      <c r="Y2" s="1"/>
      <c r="Z2" s="1"/>
    </row>
    <row r="3" spans="1:26" ht="12.75" customHeight="1">
      <c r="A3" s="1"/>
      <c r="B3" s="1"/>
      <c r="C3" s="1"/>
      <c r="D3" s="628" t="s">
        <v>331</v>
      </c>
      <c r="E3" s="629"/>
      <c r="F3" s="632" t="s">
        <v>0</v>
      </c>
      <c r="G3" s="634" t="s">
        <v>329</v>
      </c>
      <c r="H3" s="1"/>
      <c r="I3" s="1"/>
      <c r="J3" s="612" t="s">
        <v>1</v>
      </c>
      <c r="K3" s="613"/>
      <c r="L3" s="1"/>
      <c r="M3" s="1"/>
      <c r="N3" s="1"/>
      <c r="O3" s="1"/>
      <c r="P3" s="1"/>
      <c r="Q3" s="1"/>
      <c r="R3" s="1"/>
      <c r="S3" s="1"/>
      <c r="T3" s="1"/>
      <c r="U3" s="1"/>
      <c r="V3" s="1"/>
      <c r="W3" s="1"/>
      <c r="X3" s="1"/>
      <c r="Y3" s="1"/>
      <c r="Z3" s="1"/>
    </row>
    <row r="4" spans="1:26" ht="13.5" customHeight="1">
      <c r="A4" s="1"/>
      <c r="B4" s="1"/>
      <c r="C4" s="1"/>
      <c r="D4" s="630"/>
      <c r="E4" s="631"/>
      <c r="F4" s="633"/>
      <c r="G4" s="635"/>
      <c r="H4" s="1"/>
      <c r="I4" s="1"/>
      <c r="J4" s="614"/>
      <c r="K4" s="615"/>
      <c r="L4" s="1"/>
      <c r="M4" s="1"/>
      <c r="N4" s="1"/>
      <c r="O4" s="1"/>
      <c r="P4" s="1"/>
      <c r="Q4" s="1"/>
      <c r="R4" s="1"/>
      <c r="S4" s="1"/>
      <c r="T4" s="1"/>
      <c r="U4" s="1"/>
      <c r="V4" s="1"/>
      <c r="W4" s="1"/>
      <c r="X4" s="1"/>
      <c r="Y4" s="1"/>
      <c r="Z4" s="1"/>
    </row>
    <row r="5" spans="1:26" ht="13.5" customHeight="1">
      <c r="A5" s="1"/>
      <c r="B5" s="1"/>
      <c r="C5" s="1"/>
      <c r="D5" s="616" t="s">
        <v>2</v>
      </c>
      <c r="E5" s="617"/>
      <c r="F5" s="617"/>
      <c r="G5" s="618"/>
      <c r="H5" s="1"/>
      <c r="I5" s="1"/>
      <c r="J5" s="3" t="s">
        <v>3</v>
      </c>
      <c r="K5" s="4">
        <f>SUM('Quarterly Forecast'!V24:Y24)</f>
        <v>22.11765890048661</v>
      </c>
      <c r="L5" s="1"/>
      <c r="M5" s="1"/>
      <c r="N5" s="1"/>
      <c r="O5" s="1"/>
      <c r="P5" s="1"/>
      <c r="Q5" s="1"/>
      <c r="R5" s="1"/>
      <c r="S5" s="1"/>
      <c r="T5" s="1"/>
      <c r="U5" s="1"/>
      <c r="V5" s="1"/>
      <c r="W5" s="1"/>
      <c r="X5" s="1"/>
      <c r="Y5" s="1"/>
      <c r="Z5" s="1"/>
    </row>
    <row r="6" spans="1:26" ht="13.5" customHeight="1">
      <c r="A6" s="1"/>
      <c r="B6" s="1"/>
      <c r="C6" s="1"/>
      <c r="D6" s="5"/>
      <c r="E6" s="6"/>
      <c r="F6" s="7" t="s">
        <v>4</v>
      </c>
      <c r="G6" s="8" t="s">
        <v>5</v>
      </c>
      <c r="H6" s="1"/>
      <c r="I6" s="1"/>
      <c r="J6" s="3" t="s">
        <v>6</v>
      </c>
      <c r="K6" s="9">
        <f>SUM('Quarterly Forecast'!V26:Y26)</f>
        <v>1.4510000000000001</v>
      </c>
      <c r="L6" s="1"/>
      <c r="M6" s="1"/>
      <c r="N6" s="1"/>
      <c r="O6" s="1"/>
      <c r="P6" s="1"/>
      <c r="Q6" s="1"/>
      <c r="R6" s="1"/>
      <c r="S6" s="1"/>
      <c r="T6" s="1"/>
      <c r="U6" s="1"/>
      <c r="V6" s="1"/>
      <c r="W6" s="1"/>
      <c r="X6" s="1"/>
      <c r="Y6" s="1"/>
      <c r="Z6" s="1"/>
    </row>
    <row r="7" spans="1:26" ht="13.5" customHeight="1">
      <c r="A7" s="1"/>
      <c r="B7" s="1"/>
      <c r="C7" s="1"/>
      <c r="D7" s="619" t="s">
        <v>7</v>
      </c>
      <c r="E7" s="620"/>
      <c r="F7" s="10">
        <f>DDM!D25</f>
        <v>32.544538664166929</v>
      </c>
      <c r="G7" s="595">
        <v>0.25</v>
      </c>
      <c r="H7" s="1"/>
      <c r="I7" s="1"/>
      <c r="J7" s="3" t="s">
        <v>8</v>
      </c>
      <c r="K7" s="4">
        <f>SUM('Quarterly Forecast'!V10:Y10)/'Quarterly Forecast'!Y28</f>
        <v>58.261930600322863</v>
      </c>
      <c r="L7" s="1"/>
      <c r="M7" s="1"/>
      <c r="N7" s="1"/>
      <c r="O7" s="1"/>
      <c r="P7" s="1"/>
      <c r="Q7" s="1"/>
      <c r="R7" s="1"/>
      <c r="S7" s="1"/>
      <c r="T7" s="1"/>
      <c r="U7" s="1"/>
      <c r="V7" s="1"/>
      <c r="W7" s="1"/>
      <c r="X7" s="1"/>
      <c r="Y7" s="1"/>
      <c r="Z7" s="1"/>
    </row>
    <row r="8" spans="1:26" ht="13.5" customHeight="1">
      <c r="A8" s="1" t="s">
        <v>369</v>
      </c>
      <c r="B8" s="1"/>
      <c r="C8" s="1"/>
      <c r="D8" s="619" t="s">
        <v>9</v>
      </c>
      <c r="E8" s="620"/>
      <c r="F8" s="10">
        <f>FCFF!F25</f>
        <v>272.87205368716877</v>
      </c>
      <c r="G8" s="595">
        <v>0.65</v>
      </c>
      <c r="H8" s="1"/>
      <c r="I8" s="1"/>
      <c r="J8" s="3" t="s">
        <v>10</v>
      </c>
      <c r="K8" s="4">
        <f>BS!I59/'Quarterly Forecast'!Y28</f>
        <v>71.368834548510279</v>
      </c>
      <c r="L8" s="1"/>
      <c r="M8" s="1"/>
      <c r="N8" s="1"/>
      <c r="O8" s="1"/>
      <c r="P8" s="1"/>
      <c r="Q8" s="1"/>
      <c r="R8" s="1"/>
      <c r="S8" s="1"/>
      <c r="T8" s="1"/>
      <c r="U8" s="1"/>
      <c r="V8" s="1"/>
      <c r="W8" s="1"/>
      <c r="X8" s="1"/>
      <c r="Y8" s="1"/>
      <c r="Z8" s="1"/>
    </row>
    <row r="9" spans="1:26" ht="13.5" customHeight="1">
      <c r="A9" s="1"/>
      <c r="B9" s="1"/>
      <c r="C9" s="1"/>
      <c r="D9" s="619" t="s">
        <v>11</v>
      </c>
      <c r="E9" s="620"/>
      <c r="F9" s="10">
        <f>HistPE!H56</f>
        <v>273.88981221375548</v>
      </c>
      <c r="G9" s="595">
        <v>0.1</v>
      </c>
      <c r="H9" s="1"/>
      <c r="I9" s="1"/>
      <c r="J9" s="11" t="s">
        <v>12</v>
      </c>
      <c r="K9" s="12">
        <f>(BS!I26-BS!I21-BS!I19-BS!I51)/'Quarterly Forecast'!Y28</f>
        <v>69.305810404629597</v>
      </c>
      <c r="L9" s="1"/>
      <c r="M9" s="1"/>
      <c r="N9" s="1"/>
      <c r="O9" s="1"/>
      <c r="P9" s="1"/>
      <c r="Q9" s="1"/>
      <c r="R9" s="1"/>
      <c r="S9" s="1"/>
      <c r="T9" s="1"/>
      <c r="U9" s="1"/>
      <c r="V9" s="1"/>
      <c r="W9" s="1"/>
      <c r="X9" s="1"/>
      <c r="Y9" s="1"/>
      <c r="Z9" s="1"/>
    </row>
    <row r="10" spans="1:26" ht="13.5" hidden="1" customHeight="1" outlineLevel="1">
      <c r="A10" s="1"/>
      <c r="B10" s="1"/>
      <c r="C10" s="1"/>
      <c r="D10" s="636" t="s">
        <v>13</v>
      </c>
      <c r="E10" s="620"/>
      <c r="F10" s="13">
        <v>0</v>
      </c>
      <c r="G10" s="14"/>
      <c r="H10" s="1"/>
      <c r="I10" s="1"/>
      <c r="J10" s="15" t="s">
        <v>14</v>
      </c>
      <c r="K10" s="16">
        <v>20.99</v>
      </c>
      <c r="L10" s="1"/>
      <c r="M10" s="1"/>
      <c r="N10" s="1"/>
      <c r="O10" s="1"/>
      <c r="P10" s="1"/>
      <c r="Q10" s="1"/>
      <c r="R10" s="1"/>
      <c r="S10" s="1"/>
      <c r="T10" s="1"/>
      <c r="U10" s="1"/>
      <c r="V10" s="1"/>
      <c r="W10" s="1"/>
      <c r="X10" s="1"/>
      <c r="Y10" s="1"/>
      <c r="Z10" s="1"/>
    </row>
    <row r="11" spans="1:26" ht="13.5" hidden="1" customHeight="1" outlineLevel="1">
      <c r="A11" s="1"/>
      <c r="B11" s="1"/>
      <c r="C11" s="1"/>
      <c r="D11" s="637" t="s">
        <v>15</v>
      </c>
      <c r="E11" s="620"/>
      <c r="F11" s="13">
        <v>0</v>
      </c>
      <c r="G11" s="17"/>
      <c r="H11" s="1"/>
      <c r="I11" s="1"/>
      <c r="J11" s="18" t="s">
        <v>16</v>
      </c>
      <c r="K11" s="19">
        <v>18.489999999999998</v>
      </c>
      <c r="L11" s="1"/>
      <c r="M11" s="1"/>
      <c r="N11" s="1"/>
      <c r="O11" s="1"/>
      <c r="P11" s="1"/>
      <c r="Q11" s="1"/>
      <c r="R11" s="1"/>
      <c r="S11" s="1"/>
      <c r="T11" s="1"/>
      <c r="U11" s="1"/>
      <c r="V11" s="1"/>
      <c r="W11" s="1"/>
      <c r="X11" s="1"/>
      <c r="Y11" s="1"/>
      <c r="Z11" s="1"/>
    </row>
    <row r="12" spans="1:26" ht="13.5" hidden="1" customHeight="1" outlineLevel="1">
      <c r="A12" s="1"/>
      <c r="B12" s="1"/>
      <c r="C12" s="1"/>
      <c r="D12" s="637" t="s">
        <v>17</v>
      </c>
      <c r="E12" s="620"/>
      <c r="F12" s="13">
        <v>0</v>
      </c>
      <c r="G12" s="17"/>
      <c r="H12" s="1"/>
      <c r="I12" s="1"/>
      <c r="J12" s="1"/>
      <c r="K12" s="1"/>
      <c r="L12" s="1"/>
      <c r="M12" s="1"/>
      <c r="N12" s="1"/>
      <c r="O12" s="1"/>
      <c r="P12" s="20"/>
      <c r="Q12" s="1"/>
      <c r="R12" s="1"/>
      <c r="S12" s="1"/>
      <c r="T12" s="1"/>
      <c r="U12" s="1"/>
      <c r="V12" s="1"/>
      <c r="W12" s="1"/>
      <c r="X12" s="1"/>
      <c r="Y12" s="1"/>
      <c r="Z12" s="1"/>
    </row>
    <row r="13" spans="1:26" ht="13.5" hidden="1" customHeight="1" outlineLevel="1">
      <c r="A13" s="1"/>
      <c r="B13" s="1"/>
      <c r="C13" s="1"/>
      <c r="D13" s="637" t="s">
        <v>18</v>
      </c>
      <c r="E13" s="620"/>
      <c r="F13" s="13">
        <v>0</v>
      </c>
      <c r="G13" s="17"/>
      <c r="H13" s="1"/>
      <c r="I13" s="1"/>
      <c r="J13" s="1"/>
      <c r="K13" s="1"/>
      <c r="L13" s="1"/>
      <c r="M13" s="1"/>
      <c r="N13" s="1"/>
      <c r="O13" s="21"/>
      <c r="P13" s="1"/>
      <c r="Q13" s="1"/>
      <c r="R13" s="1"/>
      <c r="S13" s="1"/>
      <c r="T13" s="1"/>
      <c r="U13" s="1"/>
      <c r="V13" s="1"/>
      <c r="W13" s="1"/>
      <c r="X13" s="1"/>
      <c r="Y13" s="1"/>
      <c r="Z13" s="1"/>
    </row>
    <row r="14" spans="1:26" ht="13.5" hidden="1" customHeight="1" outlineLevel="1">
      <c r="A14" s="1"/>
      <c r="B14" s="1"/>
      <c r="C14" s="1"/>
      <c r="D14" s="637" t="s">
        <v>19</v>
      </c>
      <c r="E14" s="620"/>
      <c r="F14" s="13">
        <v>0</v>
      </c>
      <c r="G14" s="22">
        <v>0</v>
      </c>
      <c r="H14" s="1"/>
      <c r="I14" s="1"/>
      <c r="J14" s="1"/>
      <c r="K14" s="1"/>
      <c r="L14" s="1"/>
      <c r="M14" s="1"/>
      <c r="N14" s="1"/>
      <c r="O14" s="1"/>
      <c r="P14" s="1"/>
      <c r="Q14" s="1"/>
      <c r="R14" s="1"/>
      <c r="S14" s="1"/>
      <c r="T14" s="1"/>
      <c r="U14" s="1"/>
      <c r="V14" s="1"/>
      <c r="W14" s="1"/>
      <c r="X14" s="1"/>
      <c r="Y14" s="1"/>
      <c r="Z14" s="1"/>
    </row>
    <row r="15" spans="1:26" ht="13.5" customHeight="1" collapsed="1">
      <c r="A15" s="1"/>
      <c r="B15" s="1"/>
      <c r="C15" s="1"/>
      <c r="D15" s="23"/>
      <c r="E15" s="24"/>
      <c r="F15" s="25"/>
      <c r="G15" s="26"/>
      <c r="H15" s="1"/>
      <c r="I15" s="1"/>
      <c r="J15" s="1"/>
      <c r="K15" s="1"/>
      <c r="L15" s="1"/>
      <c r="M15" s="1"/>
      <c r="N15" s="1"/>
      <c r="O15" s="1"/>
      <c r="P15" s="1"/>
      <c r="Q15" s="1"/>
      <c r="R15" s="1"/>
      <c r="S15" s="1"/>
      <c r="T15" s="1"/>
      <c r="U15" s="1"/>
      <c r="V15" s="1"/>
      <c r="W15" s="1"/>
      <c r="X15" s="1"/>
      <c r="Y15" s="1"/>
      <c r="Z15" s="1"/>
    </row>
    <row r="16" spans="1:26" ht="13.5" customHeight="1">
      <c r="A16" s="1"/>
      <c r="B16" s="1"/>
      <c r="C16" s="1"/>
      <c r="D16" s="27"/>
      <c r="E16" s="28"/>
      <c r="F16" s="29"/>
      <c r="G16" s="30">
        <f>SUM(G7:G14)</f>
        <v>1</v>
      </c>
      <c r="H16" s="1"/>
      <c r="I16" s="1"/>
      <c r="J16" s="1"/>
      <c r="K16" s="1"/>
      <c r="L16" s="1"/>
      <c r="M16" s="1"/>
      <c r="N16" s="1"/>
      <c r="O16" s="1"/>
      <c r="P16" s="1"/>
      <c r="Q16" s="1"/>
      <c r="R16" s="1"/>
      <c r="S16" s="1"/>
      <c r="T16" s="1"/>
      <c r="U16" s="1"/>
      <c r="V16" s="1"/>
      <c r="W16" s="1"/>
      <c r="X16" s="1"/>
      <c r="Y16" s="1"/>
      <c r="Z16" s="1"/>
    </row>
    <row r="17" spans="1:26" ht="13.5" customHeight="1">
      <c r="A17" s="1"/>
      <c r="B17" s="1"/>
      <c r="C17" s="1"/>
      <c r="D17" s="27"/>
      <c r="E17" s="28"/>
      <c r="F17" s="29"/>
      <c r="G17" s="26"/>
      <c r="H17" s="1"/>
      <c r="I17" s="1"/>
      <c r="J17" s="1"/>
      <c r="K17" s="1"/>
      <c r="L17" s="1"/>
      <c r="M17" s="1"/>
      <c r="N17" s="1"/>
      <c r="O17" s="1"/>
      <c r="P17" s="1"/>
      <c r="Q17" s="1"/>
      <c r="R17" s="1"/>
      <c r="S17" s="1"/>
      <c r="T17" s="1"/>
      <c r="U17" s="1"/>
      <c r="V17" s="1"/>
      <c r="W17" s="1"/>
      <c r="X17" s="1"/>
      <c r="Y17" s="1"/>
      <c r="Z17" s="1"/>
    </row>
    <row r="18" spans="1:26" ht="13.5" customHeight="1">
      <c r="A18" s="1"/>
      <c r="B18" s="1"/>
      <c r="C18" s="1"/>
      <c r="D18" s="638" t="s">
        <v>20</v>
      </c>
      <c r="E18" s="639"/>
      <c r="F18" s="31">
        <v>119.28</v>
      </c>
      <c r="G18" s="32"/>
      <c r="H18" s="1"/>
      <c r="J18" s="573"/>
      <c r="K18" s="33"/>
      <c r="L18" s="1"/>
      <c r="M18" s="1"/>
      <c r="N18" s="1"/>
      <c r="O18" s="1"/>
      <c r="P18" s="1"/>
      <c r="Q18" s="1"/>
      <c r="R18" s="1"/>
      <c r="S18" s="1"/>
      <c r="T18" s="1"/>
      <c r="U18" s="1"/>
      <c r="V18" s="1"/>
      <c r="W18" s="1"/>
      <c r="X18" s="1"/>
      <c r="Y18" s="1"/>
      <c r="Z18" s="1"/>
    </row>
    <row r="19" spans="1:26" ht="13.5" customHeight="1">
      <c r="A19" s="1"/>
      <c r="B19" s="1"/>
      <c r="C19" s="1"/>
      <c r="D19" s="640" t="s">
        <v>21</v>
      </c>
      <c r="E19" s="641"/>
      <c r="F19" s="34">
        <f>F7*G7+F8*G8+F9*G9+F10*G10+F11*G11+F12*G12+F13*G13+F14*G14</f>
        <v>212.89195078407698</v>
      </c>
      <c r="G19" s="571"/>
      <c r="H19" s="1"/>
      <c r="I19" s="1"/>
      <c r="J19" s="572"/>
      <c r="K19" s="33"/>
      <c r="L19" s="1"/>
      <c r="M19" s="1"/>
      <c r="N19" s="1"/>
      <c r="O19" s="1"/>
      <c r="P19" s="1"/>
      <c r="Q19" s="1"/>
      <c r="R19" s="1"/>
      <c r="S19" s="1"/>
      <c r="T19" s="1"/>
      <c r="U19" s="1"/>
      <c r="V19" s="1"/>
      <c r="W19" s="1"/>
      <c r="X19" s="1"/>
      <c r="Y19" s="1"/>
      <c r="Z19" s="1"/>
    </row>
    <row r="20" spans="1:26" ht="13.5" customHeight="1">
      <c r="A20" s="1"/>
      <c r="B20" s="1"/>
      <c r="C20" s="1"/>
      <c r="D20" s="642" t="s">
        <v>22</v>
      </c>
      <c r="E20" s="618"/>
      <c r="F20" s="35">
        <f>(F19-F18)/F18</f>
        <v>0.78480844051037035</v>
      </c>
      <c r="G20" s="36"/>
      <c r="H20" s="1"/>
      <c r="I20" s="1"/>
      <c r="J20" s="33"/>
      <c r="K20" s="33"/>
      <c r="L20" s="1"/>
      <c r="M20" s="1"/>
      <c r="N20" s="1"/>
      <c r="O20" s="1"/>
      <c r="P20" s="1"/>
      <c r="Q20" s="1"/>
      <c r="R20" s="1"/>
      <c r="S20" s="1"/>
      <c r="T20" s="1"/>
      <c r="U20" s="1"/>
      <c r="V20" s="1"/>
      <c r="W20" s="1"/>
      <c r="X20" s="1"/>
      <c r="Y20" s="1"/>
      <c r="Z20" s="1"/>
    </row>
    <row r="21" spans="1:26" ht="13.5" customHeight="1">
      <c r="A21" s="1"/>
      <c r="B21" s="1"/>
      <c r="C21" s="1"/>
      <c r="D21" s="643" t="s">
        <v>23</v>
      </c>
      <c r="E21" s="618"/>
      <c r="F21" s="37">
        <f>F20-FCFF!C13</f>
        <v>0.67455844051037039</v>
      </c>
      <c r="G21" s="38"/>
      <c r="H21" s="1"/>
      <c r="I21" s="1"/>
      <c r="J21" s="39"/>
      <c r="K21" s="33"/>
      <c r="L21" s="1"/>
      <c r="M21" s="1"/>
      <c r="N21" s="1"/>
      <c r="O21" s="1"/>
      <c r="P21" s="1"/>
      <c r="Q21" s="1"/>
      <c r="R21" s="1"/>
      <c r="S21" s="1"/>
      <c r="T21" s="1"/>
      <c r="U21" s="1"/>
      <c r="V21" s="1"/>
      <c r="W21" s="1"/>
      <c r="X21" s="1"/>
      <c r="Y21" s="1"/>
      <c r="Z21" s="1"/>
    </row>
    <row r="22" spans="1:26" ht="13.5" customHeight="1">
      <c r="A22" s="1"/>
      <c r="B22" s="1"/>
      <c r="C22" s="1"/>
      <c r="D22" s="1"/>
      <c r="E22" s="1"/>
      <c r="F22" s="1"/>
      <c r="G22" s="1"/>
      <c r="H22" s="1"/>
      <c r="I22" s="1"/>
      <c r="J22" s="33"/>
      <c r="K22" s="33"/>
      <c r="L22" s="1"/>
      <c r="M22" s="1"/>
      <c r="N22" s="1"/>
      <c r="O22" s="1"/>
      <c r="P22" s="1"/>
      <c r="Q22" s="1"/>
      <c r="R22" s="1"/>
      <c r="S22" s="1"/>
      <c r="T22" s="1"/>
      <c r="U22" s="1"/>
      <c r="V22" s="1"/>
      <c r="W22" s="1"/>
      <c r="X22" s="1"/>
      <c r="Y22" s="1"/>
      <c r="Z22" s="1"/>
    </row>
    <row r="23" spans="1:26" ht="12.75" customHeight="1">
      <c r="A23" s="1"/>
      <c r="B23" s="1"/>
      <c r="C23" s="1"/>
      <c r="D23" s="33"/>
      <c r="E23" s="33"/>
      <c r="F23" s="33"/>
      <c r="G23" s="33"/>
      <c r="H23" s="33"/>
      <c r="I23" s="33"/>
      <c r="J23" s="33"/>
      <c r="K23" s="33"/>
      <c r="L23" s="1"/>
      <c r="M23" s="1"/>
      <c r="N23" s="1"/>
      <c r="O23" s="1"/>
      <c r="P23" s="1"/>
      <c r="Q23" s="1"/>
      <c r="R23" s="1"/>
      <c r="S23" s="1"/>
      <c r="T23" s="1"/>
      <c r="U23" s="1"/>
      <c r="V23" s="1"/>
      <c r="W23" s="1"/>
      <c r="X23" s="1"/>
      <c r="Y23" s="1"/>
      <c r="Z23" s="1"/>
    </row>
    <row r="24" spans="1:26" ht="13.5" customHeight="1">
      <c r="A24" s="1"/>
      <c r="B24" s="1"/>
      <c r="C24" s="1"/>
      <c r="D24" s="621" t="s">
        <v>24</v>
      </c>
      <c r="E24" s="608"/>
      <c r="F24" s="622" t="s">
        <v>330</v>
      </c>
      <c r="G24" s="608"/>
      <c r="H24" s="33"/>
      <c r="I24" s="33"/>
      <c r="J24" s="33"/>
      <c r="K24" s="33"/>
      <c r="L24" s="1"/>
      <c r="M24" s="1"/>
      <c r="N24" s="1"/>
      <c r="O24" s="1"/>
      <c r="P24" s="1"/>
      <c r="Q24" s="1"/>
      <c r="R24" s="1"/>
      <c r="S24" s="1"/>
      <c r="T24" s="1"/>
      <c r="U24" s="1"/>
      <c r="V24" s="1"/>
      <c r="W24" s="1"/>
      <c r="X24" s="1"/>
      <c r="Y24" s="1"/>
      <c r="Z24" s="1"/>
    </row>
    <row r="25" spans="1:26" ht="12.75" customHeight="1">
      <c r="A25" s="1"/>
      <c r="B25" s="1"/>
      <c r="C25" s="1"/>
      <c r="D25" s="621" t="s">
        <v>25</v>
      </c>
      <c r="E25" s="608"/>
      <c r="F25" s="623">
        <v>44543</v>
      </c>
      <c r="G25" s="608"/>
      <c r="H25" s="33"/>
      <c r="I25" s="33"/>
      <c r="J25" s="33"/>
      <c r="K25" s="33"/>
      <c r="L25" s="1"/>
      <c r="M25" s="1"/>
      <c r="N25" s="1"/>
      <c r="O25" s="1"/>
      <c r="P25" s="1"/>
      <c r="Q25" s="1"/>
      <c r="R25" s="1"/>
      <c r="S25" s="1"/>
      <c r="T25" s="1"/>
      <c r="U25" s="1"/>
      <c r="V25" s="1"/>
      <c r="W25" s="1"/>
      <c r="X25" s="1"/>
      <c r="Y25" s="1"/>
      <c r="Z25" s="1"/>
    </row>
    <row r="26" spans="1:26" ht="13.5" customHeight="1">
      <c r="A26" s="1"/>
      <c r="B26" s="1"/>
      <c r="C26" s="1"/>
      <c r="D26" s="33"/>
      <c r="E26" s="33"/>
      <c r="F26" s="40"/>
      <c r="G26" s="33"/>
      <c r="H26" s="33"/>
      <c r="I26" s="33"/>
      <c r="J26" s="33"/>
      <c r="K26" s="33"/>
      <c r="L26" s="1"/>
      <c r="M26" s="1"/>
      <c r="N26" s="1"/>
      <c r="O26" s="1"/>
      <c r="P26" s="1"/>
      <c r="Q26" s="1"/>
      <c r="R26" s="1"/>
      <c r="S26" s="1"/>
      <c r="T26" s="1"/>
      <c r="U26" s="1"/>
      <c r="V26" s="1"/>
      <c r="W26" s="1"/>
      <c r="X26" s="1"/>
      <c r="Y26" s="1"/>
      <c r="Z26" s="1"/>
    </row>
    <row r="27" spans="1:26" ht="13.5" customHeight="1">
      <c r="A27" s="1"/>
      <c r="B27" s="1"/>
      <c r="C27" s="1"/>
      <c r="D27" s="33"/>
      <c r="E27" s="33"/>
      <c r="F27" s="33"/>
      <c r="G27" s="33"/>
      <c r="H27" s="33"/>
      <c r="I27" s="33"/>
      <c r="J27" s="1"/>
      <c r="K27" s="1"/>
      <c r="L27" s="1"/>
      <c r="M27" s="1"/>
      <c r="N27" s="1"/>
      <c r="O27" s="1"/>
      <c r="P27" s="1"/>
      <c r="Q27" s="1"/>
      <c r="R27" s="1"/>
      <c r="S27" s="1"/>
      <c r="T27" s="1"/>
      <c r="U27" s="1"/>
      <c r="V27" s="1"/>
      <c r="W27" s="1"/>
      <c r="X27" s="1"/>
      <c r="Y27" s="1"/>
      <c r="Z27" s="1"/>
    </row>
    <row r="28" spans="1:26" ht="13.5" hidden="1" customHeight="1" outlineLevel="1">
      <c r="A28" s="1"/>
      <c r="B28" s="624" t="s">
        <v>26</v>
      </c>
      <c r="C28" s="625"/>
      <c r="D28" s="625"/>
      <c r="E28" s="625"/>
      <c r="F28" s="625"/>
      <c r="G28" s="625"/>
      <c r="H28" s="625"/>
      <c r="I28" s="625"/>
      <c r="J28" s="625"/>
      <c r="K28" s="625"/>
      <c r="L28" s="1"/>
      <c r="M28" s="1"/>
      <c r="N28" s="1"/>
      <c r="O28" s="1"/>
      <c r="P28" s="1"/>
      <c r="Q28" s="1"/>
      <c r="R28" s="1"/>
      <c r="S28" s="1"/>
      <c r="T28" s="1"/>
      <c r="U28" s="1"/>
      <c r="V28" s="1"/>
      <c r="W28" s="1"/>
      <c r="X28" s="1"/>
      <c r="Y28" s="1"/>
      <c r="Z28" s="1"/>
    </row>
    <row r="29" spans="1:26" ht="13.5" hidden="1" customHeight="1" outlineLevel="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5" hidden="1" customHeight="1" outlineLevel="1">
      <c r="A30" s="1"/>
      <c r="B30" s="644" t="s">
        <v>27</v>
      </c>
      <c r="C30" s="625"/>
      <c r="D30" s="625"/>
      <c r="E30" s="625"/>
      <c r="F30" s="625"/>
      <c r="G30" s="625"/>
      <c r="H30" s="625"/>
      <c r="I30" s="625"/>
      <c r="J30" s="625"/>
      <c r="K30" s="625"/>
      <c r="L30" s="1"/>
      <c r="M30" s="1"/>
      <c r="N30" s="1"/>
      <c r="O30" s="1"/>
      <c r="P30" s="1"/>
      <c r="Q30" s="1"/>
      <c r="R30" s="1"/>
      <c r="S30" s="1"/>
      <c r="T30" s="1"/>
      <c r="U30" s="1"/>
      <c r="V30" s="1"/>
      <c r="W30" s="1"/>
      <c r="X30" s="1"/>
      <c r="Y30" s="1"/>
      <c r="Z30" s="1"/>
    </row>
    <row r="31" spans="1:26" ht="13.5" hidden="1" customHeight="1" outlineLevel="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5" hidden="1" customHeight="1" outlineLevel="1">
      <c r="A32" s="1"/>
      <c r="B32" s="1"/>
      <c r="C32" s="1"/>
      <c r="D32" s="604" t="s">
        <v>28</v>
      </c>
      <c r="E32" s="605"/>
      <c r="F32" s="605"/>
      <c r="G32" s="606"/>
      <c r="H32" s="1"/>
      <c r="I32" s="1"/>
      <c r="J32" s="1"/>
      <c r="K32" s="1"/>
      <c r="L32" s="1"/>
      <c r="M32" s="1"/>
      <c r="N32" s="1"/>
      <c r="O32" s="1"/>
      <c r="P32" s="1"/>
      <c r="Q32" s="1"/>
      <c r="R32" s="1"/>
      <c r="S32" s="1"/>
      <c r="T32" s="1"/>
      <c r="U32" s="1"/>
      <c r="V32" s="1"/>
      <c r="W32" s="1"/>
      <c r="X32" s="1"/>
      <c r="Y32" s="1"/>
      <c r="Z32" s="1"/>
    </row>
    <row r="33" spans="1:26" ht="13.5" hidden="1" customHeight="1" outlineLevel="1">
      <c r="A33" s="1"/>
      <c r="B33" s="1"/>
      <c r="C33" s="1"/>
      <c r="D33" s="611" t="s">
        <v>29</v>
      </c>
      <c r="E33" s="608"/>
      <c r="F33" s="607"/>
      <c r="G33" s="608"/>
      <c r="H33" s="1"/>
      <c r="I33" s="1"/>
      <c r="J33" s="1"/>
      <c r="K33" s="1"/>
      <c r="L33" s="1"/>
      <c r="M33" s="1"/>
      <c r="N33" s="1"/>
      <c r="O33" s="1"/>
      <c r="P33" s="1"/>
      <c r="Q33" s="1"/>
      <c r="R33" s="1"/>
      <c r="S33" s="1"/>
      <c r="T33" s="1"/>
      <c r="U33" s="1"/>
      <c r="V33" s="1"/>
      <c r="W33" s="1"/>
      <c r="X33" s="1"/>
      <c r="Y33" s="1"/>
      <c r="Z33" s="1"/>
    </row>
    <row r="34" spans="1:26" ht="13.5" hidden="1" customHeight="1" outlineLevel="1">
      <c r="A34" s="1"/>
      <c r="B34" s="1"/>
      <c r="C34" s="1"/>
      <c r="D34" s="609" t="s">
        <v>30</v>
      </c>
      <c r="E34" s="608"/>
      <c r="F34" s="610"/>
      <c r="G34" s="608"/>
      <c r="H34" s="1"/>
      <c r="I34" s="1"/>
      <c r="J34" s="1"/>
      <c r="K34" s="1"/>
      <c r="L34" s="1"/>
      <c r="M34" s="1"/>
      <c r="N34" s="1"/>
      <c r="O34" s="1"/>
      <c r="P34" s="1"/>
      <c r="Q34" s="1"/>
      <c r="R34" s="1"/>
      <c r="S34" s="1"/>
      <c r="T34" s="1"/>
      <c r="U34" s="1"/>
      <c r="V34" s="1"/>
      <c r="W34" s="1"/>
      <c r="X34" s="1"/>
      <c r="Y34" s="1"/>
      <c r="Z34" s="1"/>
    </row>
    <row r="35" spans="1:26" ht="13.5" hidden="1" customHeight="1" outlineLevel="1">
      <c r="A35" s="1"/>
      <c r="B35" s="1"/>
      <c r="C35" s="1"/>
      <c r="D35" s="609" t="s">
        <v>31</v>
      </c>
      <c r="E35" s="608"/>
      <c r="F35" s="607"/>
      <c r="G35" s="608"/>
      <c r="H35" s="1"/>
      <c r="I35" s="1"/>
      <c r="J35" s="1"/>
      <c r="K35" s="1"/>
      <c r="L35" s="1"/>
      <c r="M35" s="1"/>
      <c r="N35" s="1"/>
      <c r="O35" s="1"/>
      <c r="P35" s="1"/>
      <c r="Q35" s="1"/>
      <c r="R35" s="1"/>
      <c r="S35" s="1"/>
      <c r="T35" s="1"/>
      <c r="U35" s="1"/>
      <c r="V35" s="1"/>
      <c r="W35" s="1"/>
      <c r="X35" s="1"/>
      <c r="Y35" s="1"/>
      <c r="Z35" s="1"/>
    </row>
    <row r="36" spans="1:26" ht="13.5" hidden="1" customHeight="1" outlineLevel="1">
      <c r="A36" s="1"/>
      <c r="B36" s="1"/>
      <c r="C36" s="1"/>
      <c r="D36" s="609" t="s">
        <v>32</v>
      </c>
      <c r="E36" s="608"/>
      <c r="F36" s="610"/>
      <c r="G36" s="608"/>
      <c r="H36" s="1"/>
      <c r="I36" s="1"/>
      <c r="J36" s="1"/>
      <c r="K36" s="1"/>
      <c r="L36" s="1"/>
      <c r="M36" s="1"/>
      <c r="N36" s="1"/>
      <c r="O36" s="1"/>
      <c r="P36" s="1"/>
      <c r="Q36" s="1"/>
      <c r="R36" s="1"/>
      <c r="S36" s="1"/>
      <c r="T36" s="1"/>
      <c r="U36" s="1"/>
      <c r="V36" s="1"/>
      <c r="W36" s="1"/>
      <c r="X36" s="1"/>
      <c r="Y36" s="1"/>
      <c r="Z36" s="1"/>
    </row>
    <row r="37" spans="1:26" ht="13.5" hidden="1" customHeight="1" outlineLevel="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hidden="1" customHeight="1" outlineLevel="1">
      <c r="A38" s="1"/>
      <c r="B38" s="1"/>
      <c r="C38" s="1"/>
      <c r="D38" s="604" t="s">
        <v>33</v>
      </c>
      <c r="E38" s="605"/>
      <c r="F38" s="605"/>
      <c r="G38" s="606"/>
      <c r="H38" s="1"/>
      <c r="I38" s="1"/>
      <c r="J38" s="1"/>
      <c r="K38" s="1"/>
      <c r="L38" s="1"/>
      <c r="M38" s="1"/>
      <c r="N38" s="1"/>
      <c r="O38" s="1"/>
      <c r="P38" s="1"/>
      <c r="Q38" s="1"/>
      <c r="R38" s="1"/>
      <c r="S38" s="1"/>
      <c r="T38" s="1"/>
      <c r="U38" s="1"/>
      <c r="V38" s="1"/>
      <c r="W38" s="1"/>
      <c r="X38" s="1"/>
      <c r="Y38" s="1"/>
      <c r="Z38" s="1"/>
    </row>
    <row r="39" spans="1:26" ht="13.5" hidden="1" customHeight="1" outlineLevel="1">
      <c r="A39" s="1"/>
      <c r="B39" s="1"/>
      <c r="C39" s="1"/>
      <c r="D39" s="611" t="s">
        <v>29</v>
      </c>
      <c r="E39" s="608"/>
      <c r="F39" s="607"/>
      <c r="G39" s="608"/>
      <c r="H39" s="1"/>
      <c r="I39" s="1"/>
      <c r="J39" s="1"/>
      <c r="K39" s="1"/>
      <c r="L39" s="1"/>
      <c r="M39" s="1"/>
      <c r="N39" s="1"/>
      <c r="O39" s="1"/>
      <c r="P39" s="1"/>
      <c r="Q39" s="1"/>
      <c r="R39" s="1"/>
      <c r="S39" s="1"/>
      <c r="T39" s="1"/>
      <c r="U39" s="1"/>
      <c r="V39" s="1"/>
      <c r="W39" s="1"/>
      <c r="X39" s="1"/>
      <c r="Y39" s="1"/>
      <c r="Z39" s="1"/>
    </row>
    <row r="40" spans="1:26" ht="12.75" hidden="1" customHeight="1" outlineLevel="1">
      <c r="A40" s="1"/>
      <c r="B40" s="1"/>
      <c r="C40" s="1"/>
      <c r="D40" s="609" t="s">
        <v>30</v>
      </c>
      <c r="E40" s="608"/>
      <c r="F40" s="610"/>
      <c r="G40" s="608"/>
      <c r="H40" s="1"/>
      <c r="I40" s="1"/>
      <c r="J40" s="1"/>
      <c r="K40" s="1"/>
      <c r="L40" s="1"/>
      <c r="M40" s="1"/>
      <c r="N40" s="1"/>
      <c r="O40" s="1"/>
      <c r="P40" s="1"/>
      <c r="Q40" s="1"/>
      <c r="R40" s="1"/>
      <c r="S40" s="1"/>
      <c r="T40" s="1"/>
      <c r="U40" s="1"/>
      <c r="V40" s="1"/>
      <c r="W40" s="1"/>
      <c r="X40" s="1"/>
      <c r="Y40" s="1"/>
      <c r="Z40" s="1"/>
    </row>
    <row r="41" spans="1:26" ht="12.75" hidden="1" customHeight="1" outlineLevel="1">
      <c r="A41" s="1"/>
      <c r="B41" s="1"/>
      <c r="C41" s="1"/>
      <c r="D41" s="609" t="s">
        <v>31</v>
      </c>
      <c r="E41" s="608"/>
      <c r="F41" s="607"/>
      <c r="G41" s="608"/>
      <c r="H41" s="1"/>
      <c r="I41" s="1"/>
      <c r="J41" s="1"/>
      <c r="K41" s="1"/>
      <c r="L41" s="1"/>
      <c r="M41" s="1"/>
      <c r="N41" s="1"/>
      <c r="O41" s="1"/>
      <c r="P41" s="1"/>
      <c r="Q41" s="1"/>
      <c r="R41" s="1"/>
      <c r="S41" s="1"/>
      <c r="T41" s="1"/>
      <c r="U41" s="1"/>
      <c r="V41" s="1"/>
      <c r="W41" s="1"/>
      <c r="X41" s="1"/>
      <c r="Y41" s="1"/>
      <c r="Z41" s="1"/>
    </row>
    <row r="42" spans="1:26" ht="13.5" hidden="1" customHeight="1" outlineLevel="1">
      <c r="A42" s="1"/>
      <c r="B42" s="1"/>
      <c r="C42" s="1"/>
      <c r="D42" s="609" t="s">
        <v>32</v>
      </c>
      <c r="E42" s="608"/>
      <c r="F42" s="610"/>
      <c r="G42" s="608"/>
      <c r="H42" s="1"/>
      <c r="I42" s="1"/>
      <c r="J42" s="1"/>
      <c r="K42" s="1"/>
      <c r="L42" s="1"/>
      <c r="M42" s="1"/>
      <c r="N42" s="1"/>
      <c r="O42" s="1"/>
      <c r="P42" s="1"/>
      <c r="Q42" s="1"/>
      <c r="R42" s="1"/>
      <c r="S42" s="1"/>
      <c r="T42" s="1"/>
      <c r="U42" s="1"/>
      <c r="V42" s="1"/>
      <c r="W42" s="1"/>
      <c r="X42" s="1"/>
      <c r="Y42" s="1"/>
      <c r="Z42" s="1"/>
    </row>
    <row r="43" spans="1:26" ht="13.5" hidden="1" customHeight="1" outlineLevel="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hidden="1" customHeight="1" outlineLevel="1">
      <c r="A44" s="1"/>
      <c r="B44" s="1"/>
      <c r="C44" s="1"/>
      <c r="D44" s="604" t="s">
        <v>34</v>
      </c>
      <c r="E44" s="605"/>
      <c r="F44" s="605"/>
      <c r="G44" s="606"/>
      <c r="H44" s="1"/>
      <c r="I44" s="1"/>
      <c r="J44" s="1"/>
      <c r="K44" s="1"/>
      <c r="L44" s="1"/>
      <c r="M44" s="1"/>
      <c r="N44" s="1"/>
      <c r="O44" s="1"/>
      <c r="P44" s="1"/>
      <c r="Q44" s="1"/>
      <c r="R44" s="1"/>
      <c r="S44" s="1"/>
      <c r="T44" s="1"/>
      <c r="U44" s="1"/>
      <c r="V44" s="1"/>
      <c r="W44" s="1"/>
      <c r="X44" s="1"/>
      <c r="Y44" s="1"/>
      <c r="Z44" s="1"/>
    </row>
    <row r="45" spans="1:26" ht="12.75" hidden="1" customHeight="1" outlineLevel="1">
      <c r="A45" s="1"/>
      <c r="B45" s="1"/>
      <c r="C45" s="1"/>
      <c r="D45" s="611" t="s">
        <v>29</v>
      </c>
      <c r="E45" s="608"/>
      <c r="F45" s="607"/>
      <c r="G45" s="608"/>
      <c r="H45" s="1"/>
      <c r="I45" s="1"/>
      <c r="J45" s="1"/>
      <c r="K45" s="1"/>
      <c r="L45" s="1"/>
      <c r="M45" s="1"/>
      <c r="N45" s="1"/>
      <c r="O45" s="1"/>
      <c r="P45" s="1"/>
      <c r="Q45" s="1"/>
      <c r="R45" s="1"/>
      <c r="S45" s="1"/>
      <c r="T45" s="1"/>
      <c r="U45" s="1"/>
      <c r="V45" s="1"/>
      <c r="W45" s="1"/>
      <c r="X45" s="1"/>
      <c r="Y45" s="1"/>
      <c r="Z45" s="1"/>
    </row>
    <row r="46" spans="1:26" ht="12.75" hidden="1" customHeight="1" outlineLevel="1">
      <c r="A46" s="1"/>
      <c r="B46" s="1"/>
      <c r="C46" s="1"/>
      <c r="D46" s="609" t="s">
        <v>30</v>
      </c>
      <c r="E46" s="608"/>
      <c r="F46" s="610"/>
      <c r="G46" s="608"/>
      <c r="H46" s="1"/>
      <c r="I46" s="1"/>
      <c r="J46" s="1"/>
      <c r="K46" s="1"/>
      <c r="L46" s="1"/>
      <c r="M46" s="1"/>
      <c r="N46" s="1"/>
      <c r="O46" s="1"/>
      <c r="P46" s="1"/>
      <c r="Q46" s="1"/>
      <c r="R46" s="1"/>
      <c r="S46" s="1"/>
      <c r="T46" s="1"/>
      <c r="U46" s="1"/>
      <c r="V46" s="1"/>
      <c r="W46" s="1"/>
      <c r="X46" s="1"/>
      <c r="Y46" s="1"/>
      <c r="Z46" s="1"/>
    </row>
    <row r="47" spans="1:26" ht="12.75" hidden="1" customHeight="1" outlineLevel="1">
      <c r="A47" s="1"/>
      <c r="B47" s="1"/>
      <c r="C47" s="1"/>
      <c r="D47" s="609" t="s">
        <v>31</v>
      </c>
      <c r="E47" s="608"/>
      <c r="F47" s="607"/>
      <c r="G47" s="608"/>
      <c r="H47" s="1"/>
      <c r="I47" s="1"/>
      <c r="J47" s="1"/>
      <c r="K47" s="1"/>
      <c r="L47" s="1"/>
      <c r="M47" s="1"/>
      <c r="N47" s="1"/>
      <c r="O47" s="1"/>
      <c r="P47" s="1"/>
      <c r="Q47" s="1"/>
      <c r="R47" s="1"/>
      <c r="S47" s="1"/>
      <c r="T47" s="1"/>
      <c r="U47" s="1"/>
      <c r="V47" s="1"/>
      <c r="W47" s="1"/>
      <c r="X47" s="1"/>
      <c r="Y47" s="1"/>
      <c r="Z47" s="1"/>
    </row>
    <row r="48" spans="1:26" ht="13.5" hidden="1" customHeight="1" outlineLevel="1">
      <c r="A48" s="1"/>
      <c r="B48" s="1"/>
      <c r="C48" s="1"/>
      <c r="D48" s="609" t="s">
        <v>32</v>
      </c>
      <c r="E48" s="608"/>
      <c r="F48" s="610"/>
      <c r="G48" s="608"/>
      <c r="H48" s="1"/>
      <c r="I48" s="1"/>
      <c r="J48" s="1"/>
      <c r="K48" s="1"/>
      <c r="L48" s="1"/>
      <c r="M48" s="1"/>
      <c r="N48" s="1"/>
      <c r="O48" s="1"/>
      <c r="P48" s="1"/>
      <c r="Q48" s="1"/>
      <c r="R48" s="1"/>
      <c r="S48" s="1"/>
      <c r="T48" s="1"/>
      <c r="U48" s="1"/>
      <c r="V48" s="1"/>
      <c r="W48" s="1"/>
      <c r="X48" s="1"/>
      <c r="Y48" s="1"/>
      <c r="Z48" s="1"/>
    </row>
    <row r="49" spans="1:26" ht="13.5" hidden="1" customHeight="1" outlineLevel="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hidden="1" customHeight="1" outlineLevel="1">
      <c r="A50" s="1"/>
      <c r="B50" s="1"/>
      <c r="C50" s="1"/>
      <c r="D50" s="604" t="s">
        <v>35</v>
      </c>
      <c r="E50" s="605"/>
      <c r="F50" s="605"/>
      <c r="G50" s="606"/>
      <c r="H50" s="1"/>
      <c r="I50" s="1"/>
      <c r="J50" s="1"/>
      <c r="K50" s="1"/>
      <c r="L50" s="1"/>
      <c r="M50" s="1"/>
      <c r="N50" s="1"/>
      <c r="O50" s="1"/>
      <c r="P50" s="1"/>
      <c r="Q50" s="1"/>
      <c r="R50" s="1"/>
      <c r="S50" s="1"/>
      <c r="T50" s="1"/>
      <c r="U50" s="1"/>
      <c r="V50" s="1"/>
      <c r="W50" s="1"/>
      <c r="X50" s="1"/>
      <c r="Y50" s="1"/>
      <c r="Z50" s="1"/>
    </row>
    <row r="51" spans="1:26" ht="12.75" hidden="1" customHeight="1" outlineLevel="1">
      <c r="A51" s="1"/>
      <c r="B51" s="1"/>
      <c r="C51" s="1"/>
      <c r="D51" s="611" t="s">
        <v>29</v>
      </c>
      <c r="E51" s="608"/>
      <c r="F51" s="607"/>
      <c r="G51" s="608"/>
      <c r="H51" s="1"/>
      <c r="I51" s="1"/>
      <c r="J51" s="1"/>
      <c r="K51" s="1"/>
      <c r="L51" s="1"/>
      <c r="M51" s="1"/>
      <c r="N51" s="1"/>
      <c r="O51" s="1"/>
      <c r="P51" s="1"/>
      <c r="Q51" s="1"/>
      <c r="R51" s="1"/>
      <c r="S51" s="1"/>
      <c r="T51" s="1"/>
      <c r="U51" s="1"/>
      <c r="V51" s="1"/>
      <c r="W51" s="1"/>
      <c r="X51" s="1"/>
      <c r="Y51" s="1"/>
      <c r="Z51" s="1"/>
    </row>
    <row r="52" spans="1:26" ht="13.5" hidden="1" customHeight="1" outlineLevel="1">
      <c r="A52" s="1"/>
      <c r="B52" s="1"/>
      <c r="C52" s="1"/>
      <c r="D52" s="609" t="s">
        <v>30</v>
      </c>
      <c r="E52" s="608"/>
      <c r="F52" s="610"/>
      <c r="G52" s="608"/>
      <c r="H52" s="1"/>
      <c r="I52" s="1"/>
      <c r="J52" s="1"/>
      <c r="K52" s="1"/>
      <c r="L52" s="1"/>
      <c r="M52" s="1"/>
      <c r="N52" s="1"/>
      <c r="O52" s="1"/>
      <c r="P52" s="1"/>
      <c r="Q52" s="1"/>
      <c r="R52" s="1"/>
      <c r="S52" s="1"/>
      <c r="T52" s="1"/>
      <c r="U52" s="1"/>
      <c r="V52" s="1"/>
      <c r="W52" s="1"/>
      <c r="X52" s="1"/>
      <c r="Y52" s="1"/>
      <c r="Z52" s="1"/>
    </row>
    <row r="53" spans="1:26" ht="13.5" hidden="1" customHeight="1" outlineLevel="1">
      <c r="A53" s="1"/>
      <c r="B53" s="1"/>
      <c r="C53" s="1"/>
      <c r="D53" s="609" t="s">
        <v>31</v>
      </c>
      <c r="E53" s="608"/>
      <c r="F53" s="607"/>
      <c r="G53" s="608"/>
      <c r="H53" s="1"/>
      <c r="I53" s="1"/>
      <c r="J53" s="1"/>
      <c r="K53" s="1"/>
      <c r="L53" s="1"/>
      <c r="M53" s="1"/>
      <c r="N53" s="1"/>
      <c r="O53" s="1"/>
      <c r="P53" s="1"/>
      <c r="Q53" s="1"/>
      <c r="R53" s="1"/>
      <c r="S53" s="1"/>
      <c r="T53" s="1"/>
      <c r="U53" s="1"/>
      <c r="V53" s="1"/>
      <c r="W53" s="1"/>
      <c r="X53" s="1"/>
      <c r="Y53" s="1"/>
      <c r="Z53" s="1"/>
    </row>
    <row r="54" spans="1:26" ht="13.5" hidden="1" customHeight="1" outlineLevel="1">
      <c r="A54" s="1"/>
      <c r="B54" s="1"/>
      <c r="C54" s="1"/>
      <c r="D54" s="609" t="s">
        <v>32</v>
      </c>
      <c r="E54" s="608"/>
      <c r="F54" s="610"/>
      <c r="G54" s="608"/>
      <c r="H54" s="1"/>
      <c r="I54" s="1"/>
      <c r="J54" s="1"/>
      <c r="K54" s="1"/>
      <c r="L54" s="1"/>
      <c r="M54" s="1"/>
      <c r="N54" s="1"/>
      <c r="O54" s="1"/>
      <c r="P54" s="1"/>
      <c r="Q54" s="1"/>
      <c r="R54" s="1"/>
      <c r="S54" s="1"/>
      <c r="T54" s="1"/>
      <c r="U54" s="1"/>
      <c r="V54" s="1"/>
      <c r="W54" s="1"/>
      <c r="X54" s="1"/>
      <c r="Y54" s="1"/>
      <c r="Z54" s="1"/>
    </row>
    <row r="55" spans="1:26" ht="13.5" customHeight="1" collapsed="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626" t="s">
        <v>36</v>
      </c>
      <c r="E56" s="627"/>
      <c r="F56" s="627"/>
      <c r="G56" s="620"/>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D56:G56"/>
    <mergeCell ref="D3:E4"/>
    <mergeCell ref="F3:F4"/>
    <mergeCell ref="G3:G4"/>
    <mergeCell ref="D10:E10"/>
    <mergeCell ref="D11:E11"/>
    <mergeCell ref="D12:E12"/>
    <mergeCell ref="D13:E13"/>
    <mergeCell ref="D14:E14"/>
    <mergeCell ref="D18:E18"/>
    <mergeCell ref="D19:E19"/>
    <mergeCell ref="D20:E20"/>
    <mergeCell ref="D21:E21"/>
    <mergeCell ref="D48:E48"/>
    <mergeCell ref="F48:G48"/>
    <mergeCell ref="B30:K30"/>
    <mergeCell ref="D32:G32"/>
    <mergeCell ref="D33:E33"/>
    <mergeCell ref="F33:G33"/>
    <mergeCell ref="D34:E34"/>
    <mergeCell ref="D24:E24"/>
    <mergeCell ref="F24:G24"/>
    <mergeCell ref="D25:E25"/>
    <mergeCell ref="F25:G25"/>
    <mergeCell ref="B28:K28"/>
    <mergeCell ref="F34:G34"/>
    <mergeCell ref="J3:K4"/>
    <mergeCell ref="D5:G5"/>
    <mergeCell ref="D7:E7"/>
    <mergeCell ref="D8:E8"/>
    <mergeCell ref="D9:E9"/>
    <mergeCell ref="D35:E35"/>
    <mergeCell ref="F35:G35"/>
    <mergeCell ref="D36:E36"/>
    <mergeCell ref="F36:G36"/>
    <mergeCell ref="D38:G38"/>
    <mergeCell ref="D39:E39"/>
    <mergeCell ref="F39:G39"/>
    <mergeCell ref="D40:E40"/>
    <mergeCell ref="F40:G40"/>
    <mergeCell ref="D41:E41"/>
    <mergeCell ref="F41:G41"/>
    <mergeCell ref="D51:E51"/>
    <mergeCell ref="F51:G51"/>
    <mergeCell ref="D45:E45"/>
    <mergeCell ref="F45:G45"/>
    <mergeCell ref="D46:E46"/>
    <mergeCell ref="F46:G46"/>
    <mergeCell ref="D47:E47"/>
    <mergeCell ref="D53:E53"/>
    <mergeCell ref="D54:E54"/>
    <mergeCell ref="F54:G54"/>
    <mergeCell ref="D52:E52"/>
    <mergeCell ref="F52:G52"/>
    <mergeCell ref="F53:G53"/>
    <mergeCell ref="D50:G50"/>
    <mergeCell ref="F47:G47"/>
    <mergeCell ref="D42:E42"/>
    <mergeCell ref="F42:G42"/>
    <mergeCell ref="D44:G44"/>
  </mergeCells>
  <conditionalFormatting sqref="G16">
    <cfRule type="cellIs" dxfId="39" priority="1" operator="notEqual">
      <formula>1</formula>
    </cfRule>
  </conditionalFormatting>
  <conditionalFormatting sqref="F25:G25">
    <cfRule type="notContainsBlanks" dxfId="38" priority="2">
      <formula>LEN(TRIM(F25))&gt;0</formula>
    </cfRule>
  </conditionalFormatting>
  <dataValidations disablePrompts="1" count="2">
    <dataValidation type="list" allowBlank="1" showErrorMessage="1" sqref="F41 F47 F53" xr:uid="{00000000-0002-0000-0000-000000000000}">
      <formula1>"Reached Target Price,Earnings Release,Catalyst Assumption Alterations,OTHER"</formula1>
    </dataValidation>
    <dataValidation type="list" allowBlank="1" showInputMessage="1" showErrorMessage="1" prompt="Value entered does not match the options listed in the drop down menu. Please pick one of the preset options." sqref="F35" xr:uid="{00000000-0002-0000-0000-000001000000}">
      <formula1>"Reached Target Price,Earnings Release,Catalyst Assumption Alterations,OTHER"</formula1>
    </dataValidation>
  </dataValidations>
  <pageMargins left="0.75" right="0.75" top="1" bottom="1" header="0" footer="0"/>
  <pageSetup orientation="portrait" r:id="rId1"/>
  <colBreaks count="1" manualBreakCount="1">
    <brk id="20"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1"/>
  <sheetViews>
    <sheetView showGridLines="0" workbookViewId="0">
      <pane xSplit="2" topLeftCell="X1" activePane="topRight" state="frozen"/>
      <selection activeCell="A5" sqref="A5"/>
      <selection pane="topRight" activeCell="C26" sqref="C26"/>
    </sheetView>
  </sheetViews>
  <sheetFormatPr defaultColWidth="14.453125" defaultRowHeight="15" customHeight="1"/>
  <cols>
    <col min="1" max="1" width="3.26953125" customWidth="1"/>
    <col min="2" max="2" width="37.08984375" customWidth="1"/>
    <col min="3" max="3" width="13.08984375" customWidth="1"/>
    <col min="4" max="5" width="14.08984375" customWidth="1"/>
    <col min="6" max="6" width="13.81640625" customWidth="1"/>
    <col min="7" max="26" width="13.08984375" customWidth="1"/>
    <col min="27" max="27" width="2.7265625" customWidth="1"/>
    <col min="28" max="31" width="9.7265625" customWidth="1"/>
    <col min="32" max="32" width="31.7265625" customWidth="1"/>
    <col min="33" max="33" width="102.08984375" customWidth="1"/>
    <col min="34" max="36" width="9.7265625" customWidth="1"/>
  </cols>
  <sheetData>
    <row r="1" spans="1:36" ht="14.25" customHeight="1">
      <c r="A1" s="66"/>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row>
    <row r="2" spans="1:36" ht="15.6">
      <c r="A2" s="66"/>
      <c r="B2" s="486" t="str">
        <f>Corporation</f>
        <v>Taiwan SemiConductor Manufacturing Co. Ltd.</v>
      </c>
      <c r="C2" s="548" t="str">
        <f>Ticker</f>
        <v>TSM</v>
      </c>
      <c r="F2" s="66"/>
      <c r="G2" s="66"/>
      <c r="H2" s="66"/>
      <c r="I2" s="66"/>
      <c r="J2" s="66"/>
      <c r="K2" s="66"/>
      <c r="L2" s="66"/>
      <c r="M2" s="66"/>
      <c r="N2" s="66"/>
      <c r="O2" s="66"/>
      <c r="P2" s="66"/>
      <c r="Q2" s="66"/>
      <c r="R2" s="66"/>
      <c r="S2" s="66"/>
      <c r="T2" s="66"/>
      <c r="U2" s="66"/>
      <c r="V2" s="66">
        <v>3.5999999999999997E-2</v>
      </c>
      <c r="W2" s="66" t="s">
        <v>335</v>
      </c>
      <c r="X2" s="66"/>
      <c r="Y2" s="66"/>
      <c r="Z2" s="66"/>
      <c r="AA2" s="66"/>
      <c r="AB2" s="66"/>
      <c r="AC2" s="66"/>
      <c r="AD2" s="66"/>
      <c r="AE2" s="66"/>
      <c r="AF2" s="66"/>
      <c r="AG2" s="66"/>
      <c r="AH2" s="66"/>
      <c r="AI2" s="66"/>
      <c r="AJ2" s="66"/>
    </row>
    <row r="3" spans="1:36" ht="14.25" customHeight="1">
      <c r="A3" s="66"/>
      <c r="B3" s="66"/>
      <c r="C3" s="66"/>
      <c r="D3" s="67"/>
      <c r="E3" s="66" t="s">
        <v>39</v>
      </c>
      <c r="F3" s="538" t="s">
        <v>333</v>
      </c>
      <c r="G3" s="66"/>
      <c r="H3" s="66"/>
      <c r="I3" s="66"/>
      <c r="J3" s="66"/>
      <c r="K3" s="66"/>
      <c r="L3" s="66"/>
      <c r="M3" s="66"/>
      <c r="N3" s="66"/>
      <c r="O3" s="66"/>
      <c r="P3" s="66"/>
      <c r="Q3" s="66"/>
      <c r="R3" s="66"/>
      <c r="S3" s="66"/>
      <c r="T3" s="66"/>
      <c r="U3" s="66"/>
      <c r="V3" s="66"/>
      <c r="W3" s="66"/>
      <c r="X3" s="66"/>
      <c r="Y3" s="66" t="s">
        <v>336</v>
      </c>
      <c r="Z3" s="66"/>
      <c r="AA3" s="66"/>
      <c r="AB3" s="66"/>
      <c r="AC3" s="66"/>
      <c r="AD3" s="66"/>
      <c r="AE3" s="66"/>
      <c r="AF3" s="66"/>
      <c r="AG3" s="66"/>
      <c r="AH3" s="66"/>
      <c r="AI3" s="66"/>
      <c r="AJ3" s="66"/>
    </row>
    <row r="4" spans="1:36" ht="14.25" customHeight="1">
      <c r="A4" s="66"/>
      <c r="B4" s="66"/>
      <c r="C4" s="66"/>
      <c r="D4" s="68"/>
      <c r="E4" s="66" t="s">
        <v>40</v>
      </c>
      <c r="F4" s="547" t="s">
        <v>391</v>
      </c>
      <c r="G4" s="66"/>
      <c r="H4" s="66"/>
      <c r="I4" s="66">
        <f>1000*0.036</f>
        <v>36</v>
      </c>
      <c r="J4" s="66"/>
      <c r="K4" s="66"/>
      <c r="L4" s="66"/>
      <c r="M4" s="66"/>
      <c r="N4" s="66"/>
      <c r="O4" s="66"/>
      <c r="P4" s="66"/>
      <c r="Q4" s="66"/>
      <c r="R4" s="66"/>
      <c r="S4" s="66"/>
      <c r="T4" s="66"/>
      <c r="U4" s="66"/>
      <c r="V4" s="66"/>
      <c r="W4" s="69"/>
      <c r="X4" s="66"/>
      <c r="Y4" s="66"/>
      <c r="Z4" s="66"/>
      <c r="AA4" s="66"/>
      <c r="AB4" s="66"/>
      <c r="AC4" s="66"/>
      <c r="AD4" s="66"/>
      <c r="AE4" s="66"/>
      <c r="AF4" s="66"/>
      <c r="AG4" s="66"/>
      <c r="AH4" s="66"/>
      <c r="AI4" s="66"/>
      <c r="AJ4" s="66"/>
    </row>
    <row r="5" spans="1:36" ht="14.25" customHeight="1">
      <c r="A5" s="66"/>
      <c r="B5" s="70" t="s">
        <v>78</v>
      </c>
      <c r="C5" s="66"/>
      <c r="D5" s="71"/>
      <c r="E5" s="66"/>
      <c r="F5" s="72"/>
      <c r="G5" s="72"/>
      <c r="H5" s="72"/>
      <c r="I5" s="593"/>
      <c r="J5" s="72"/>
      <c r="K5" s="72"/>
      <c r="L5" s="72"/>
      <c r="M5" s="72"/>
      <c r="N5" s="72"/>
      <c r="O5" s="72"/>
      <c r="P5" s="72"/>
      <c r="Q5" s="72"/>
      <c r="R5" s="72"/>
      <c r="S5" s="66"/>
      <c r="T5" s="72"/>
      <c r="U5" s="72"/>
      <c r="V5" s="72"/>
      <c r="W5" s="66"/>
      <c r="X5" s="71"/>
      <c r="Y5" s="73"/>
      <c r="Z5" s="66"/>
      <c r="AA5" s="74"/>
      <c r="AB5" s="74"/>
      <c r="AC5" s="74"/>
      <c r="AD5" s="74"/>
      <c r="AE5" s="74"/>
      <c r="AF5" s="74"/>
      <c r="AG5" s="74"/>
      <c r="AH5" s="74"/>
      <c r="AI5" s="74"/>
      <c r="AJ5" s="74"/>
    </row>
    <row r="6" spans="1:36" ht="15.75" customHeight="1" thickBot="1">
      <c r="A6" s="66"/>
      <c r="B6" s="66"/>
      <c r="C6" s="66"/>
      <c r="D6" s="66"/>
      <c r="E6" s="66"/>
      <c r="F6" s="66"/>
      <c r="G6" s="66"/>
      <c r="H6" s="66"/>
      <c r="I6" s="66"/>
      <c r="J6" s="66"/>
      <c r="K6" s="66"/>
      <c r="L6" s="66"/>
      <c r="M6" s="66"/>
      <c r="N6" s="66"/>
      <c r="O6" s="66"/>
      <c r="P6" s="66"/>
      <c r="Q6" s="66"/>
      <c r="R6" s="66"/>
      <c r="S6" s="66"/>
      <c r="T6" s="66"/>
      <c r="U6" s="66"/>
      <c r="V6" s="66"/>
      <c r="W6" s="66"/>
      <c r="X6" s="66"/>
      <c r="Y6" s="66"/>
      <c r="Z6" s="66"/>
      <c r="AA6" s="74"/>
      <c r="AB6" s="75" t="s">
        <v>79</v>
      </c>
      <c r="AC6" s="75"/>
      <c r="AD6" s="75"/>
      <c r="AE6" s="75"/>
      <c r="AF6" s="74"/>
      <c r="AG6" s="74"/>
      <c r="AH6" s="74"/>
      <c r="AI6" s="74"/>
      <c r="AJ6" s="74"/>
    </row>
    <row r="7" spans="1:36" ht="24.75" customHeight="1">
      <c r="A7" s="66"/>
      <c r="B7" s="66"/>
      <c r="C7" s="648" t="s">
        <v>80</v>
      </c>
      <c r="D7" s="649"/>
      <c r="E7" s="649"/>
      <c r="F7" s="650"/>
      <c r="G7" s="648" t="s">
        <v>81</v>
      </c>
      <c r="H7" s="649"/>
      <c r="I7" s="649"/>
      <c r="J7" s="650"/>
      <c r="K7" s="648" t="s">
        <v>82</v>
      </c>
      <c r="L7" s="649"/>
      <c r="M7" s="649"/>
      <c r="N7" s="650"/>
      <c r="O7" s="648" t="s">
        <v>83</v>
      </c>
      <c r="P7" s="649"/>
      <c r="Q7" s="649"/>
      <c r="R7" s="650"/>
      <c r="S7" s="648" t="s">
        <v>84</v>
      </c>
      <c r="T7" s="649"/>
      <c r="U7" s="649"/>
      <c r="V7" s="650"/>
      <c r="W7" s="648" t="s">
        <v>85</v>
      </c>
      <c r="X7" s="649"/>
      <c r="Y7" s="649"/>
      <c r="Z7" s="650"/>
      <c r="AA7" s="76"/>
      <c r="AB7" s="648" t="s">
        <v>86</v>
      </c>
      <c r="AC7" s="649"/>
      <c r="AD7" s="649"/>
      <c r="AE7" s="651"/>
      <c r="AF7" s="77"/>
      <c r="AG7" s="645"/>
      <c r="AH7" s="627"/>
      <c r="AI7" s="627"/>
      <c r="AJ7" s="620"/>
    </row>
    <row r="8" spans="1:36" ht="13.5" customHeight="1">
      <c r="A8" s="66"/>
      <c r="B8" s="66"/>
      <c r="C8" s="542" t="s">
        <v>87</v>
      </c>
      <c r="D8" s="543" t="s">
        <v>88</v>
      </c>
      <c r="E8" s="543" t="s">
        <v>89</v>
      </c>
      <c r="F8" s="544" t="s">
        <v>90</v>
      </c>
      <c r="G8" s="542" t="s">
        <v>87</v>
      </c>
      <c r="H8" s="543" t="s">
        <v>88</v>
      </c>
      <c r="I8" s="543" t="s">
        <v>89</v>
      </c>
      <c r="J8" s="544" t="s">
        <v>90</v>
      </c>
      <c r="K8" s="542" t="s">
        <v>87</v>
      </c>
      <c r="L8" s="543" t="s">
        <v>88</v>
      </c>
      <c r="M8" s="543" t="s">
        <v>89</v>
      </c>
      <c r="N8" s="544" t="s">
        <v>90</v>
      </c>
      <c r="O8" s="542" t="s">
        <v>87</v>
      </c>
      <c r="P8" s="543" t="s">
        <v>88</v>
      </c>
      <c r="Q8" s="543" t="s">
        <v>89</v>
      </c>
      <c r="R8" s="544" t="s">
        <v>90</v>
      </c>
      <c r="S8" s="542" t="s">
        <v>87</v>
      </c>
      <c r="T8" s="543" t="s">
        <v>88</v>
      </c>
      <c r="U8" s="543" t="s">
        <v>89</v>
      </c>
      <c r="V8" s="545" t="s">
        <v>90</v>
      </c>
      <c r="W8" s="545" t="s">
        <v>87</v>
      </c>
      <c r="X8" s="543" t="s">
        <v>88</v>
      </c>
      <c r="Y8" s="543" t="s">
        <v>89</v>
      </c>
      <c r="Z8" s="546" t="s">
        <v>90</v>
      </c>
      <c r="AA8" s="74"/>
      <c r="AB8" s="67" t="s">
        <v>89</v>
      </c>
      <c r="AC8" s="81" t="s">
        <v>90</v>
      </c>
      <c r="AD8" s="68"/>
      <c r="AE8" s="82"/>
      <c r="AF8" s="74"/>
      <c r="AG8" s="83"/>
      <c r="AH8" s="83"/>
      <c r="AI8" s="83"/>
      <c r="AJ8" s="83"/>
    </row>
    <row r="9" spans="1:36" ht="14.25" customHeight="1">
      <c r="A9" s="66"/>
      <c r="B9" s="84" t="s">
        <v>91</v>
      </c>
      <c r="C9" s="85"/>
      <c r="D9" s="86">
        <f t="shared" ref="D9:Y9" si="0">(D10-C10)/C10</f>
        <v>8.9997297230890214E-2</v>
      </c>
      <c r="E9" s="86">
        <f t="shared" si="0"/>
        <v>0.17400556334503989</v>
      </c>
      <c r="F9" s="87">
        <f t="shared" si="0"/>
        <v>7.0044738004263318E-3</v>
      </c>
      <c r="G9" s="85">
        <f t="shared" si="0"/>
        <v>-0.10797814124295943</v>
      </c>
      <c r="H9" s="86">
        <f t="shared" si="0"/>
        <v>-8.5753738553485351E-2</v>
      </c>
      <c r="I9" s="86">
        <f t="shared" si="0"/>
        <v>0.17886885974141373</v>
      </c>
      <c r="J9" s="87">
        <f t="shared" si="0"/>
        <v>0.10100473211771188</v>
      </c>
      <c r="K9" s="86">
        <f t="shared" si="0"/>
        <v>-0.10625029271789915</v>
      </c>
      <c r="L9" s="86">
        <f t="shared" si="0"/>
        <v>-5.9666477210888594E-2</v>
      </c>
      <c r="M9" s="86">
        <f t="shared" si="0"/>
        <v>0.1160465883906258</v>
      </c>
      <c r="N9" s="86">
        <f t="shared" si="0"/>
        <v>0.11300643753744996</v>
      </c>
      <c r="O9" s="88">
        <f t="shared" si="0"/>
        <v>-0.2452470761192537</v>
      </c>
      <c r="P9" s="89">
        <f t="shared" si="0"/>
        <v>0.1019368644377789</v>
      </c>
      <c r="Q9" s="89">
        <f t="shared" si="0"/>
        <v>0.21598519489788312</v>
      </c>
      <c r="R9" s="87">
        <f t="shared" si="0"/>
        <v>8.253881590172342E-2</v>
      </c>
      <c r="S9" s="86">
        <f t="shared" si="0"/>
        <v>-2.0933809947106353E-2</v>
      </c>
      <c r="T9" s="86">
        <f t="shared" si="0"/>
        <v>3.2518021745223471E-4</v>
      </c>
      <c r="U9" s="86">
        <f t="shared" si="0"/>
        <v>0.14717828888502668</v>
      </c>
      <c r="V9" s="87">
        <f t="shared" si="0"/>
        <v>1.4317137358105232E-2</v>
      </c>
      <c r="W9" s="89">
        <f t="shared" si="0"/>
        <v>2.4368722841044831E-3</v>
      </c>
      <c r="X9" s="89">
        <f t="shared" si="0"/>
        <v>2.686184156066327E-2</v>
      </c>
      <c r="Y9" s="89">
        <f t="shared" si="0"/>
        <v>0.11426997541280964</v>
      </c>
      <c r="Z9" s="87">
        <f>AC10</f>
        <v>0.06</v>
      </c>
      <c r="AA9" s="74"/>
      <c r="AB9" s="90"/>
      <c r="AC9" s="91"/>
      <c r="AD9" s="91"/>
      <c r="AE9" s="92"/>
      <c r="AF9" s="74"/>
      <c r="AG9" s="93"/>
      <c r="AH9" s="93"/>
      <c r="AI9" s="93"/>
      <c r="AJ9" s="93"/>
    </row>
    <row r="10" spans="1:36" ht="14.25" customHeight="1" thickBot="1">
      <c r="A10" s="66"/>
      <c r="B10" s="84" t="s">
        <v>48</v>
      </c>
      <c r="C10" s="94">
        <v>7325.82</v>
      </c>
      <c r="D10" s="95">
        <v>7985.1239999999998</v>
      </c>
      <c r="E10" s="95">
        <v>9374.5799999999981</v>
      </c>
      <c r="F10" s="96">
        <f>(947.938*36-SUM(C10:E10))</f>
        <v>9440.2439999999988</v>
      </c>
      <c r="G10" s="94">
        <v>8420.9039999999986</v>
      </c>
      <c r="H10" s="95">
        <v>7698.78</v>
      </c>
      <c r="I10" s="95">
        <v>9075.8520000000008</v>
      </c>
      <c r="J10" s="95">
        <v>9992.5560000000005</v>
      </c>
      <c r="K10" s="97">
        <v>8930.844000000001</v>
      </c>
      <c r="L10" s="98">
        <v>8397.9719999999998</v>
      </c>
      <c r="M10" s="95">
        <v>9372.5280000000002</v>
      </c>
      <c r="N10" s="95">
        <v>10431.684000000001</v>
      </c>
      <c r="O10" s="94">
        <v>7873.3440000000001</v>
      </c>
      <c r="P10" s="95">
        <v>8675.9279999999999</v>
      </c>
      <c r="Q10" s="95">
        <v>10549.800000000001</v>
      </c>
      <c r="R10" s="95">
        <v>11420.568000000003</v>
      </c>
      <c r="S10" s="94">
        <v>11181.491999999998</v>
      </c>
      <c r="T10" s="95">
        <v>11185.127999999999</v>
      </c>
      <c r="U10" s="95">
        <v>12831.335999999999</v>
      </c>
      <c r="V10" s="95">
        <v>13015.044</v>
      </c>
      <c r="W10" s="94">
        <v>13046.76</v>
      </c>
      <c r="X10" s="95">
        <v>13397.22</v>
      </c>
      <c r="Y10" s="95">
        <v>14928.12</v>
      </c>
      <c r="Z10" s="71">
        <v>15823.807200000001</v>
      </c>
      <c r="AA10" s="99"/>
      <c r="AB10" s="100">
        <f>Y9</f>
        <v>0.11426997541280964</v>
      </c>
      <c r="AC10" s="552">
        <v>0.06</v>
      </c>
      <c r="AD10" s="101"/>
      <c r="AE10" s="101"/>
      <c r="AF10" s="83" t="s">
        <v>92</v>
      </c>
      <c r="AG10" s="93"/>
      <c r="AH10" s="93"/>
      <c r="AI10" s="93"/>
      <c r="AJ10" s="93"/>
    </row>
    <row r="11" spans="1:36" ht="14.25" customHeight="1">
      <c r="A11" s="66"/>
      <c r="B11" s="84" t="s">
        <v>93</v>
      </c>
      <c r="C11" s="94">
        <v>4036.4639999999999</v>
      </c>
      <c r="D11" s="95">
        <v>3868.884</v>
      </c>
      <c r="E11" s="95">
        <v>4621.1760000000004</v>
      </c>
      <c r="F11" s="96">
        <f>(473.077*36)-SUM(C11:E11)</f>
        <v>4504.2479999999996</v>
      </c>
      <c r="G11" s="94">
        <v>4047.4079999999999</v>
      </c>
      <c r="H11" s="95">
        <v>3783.672</v>
      </c>
      <c r="I11" s="95">
        <v>4544.28</v>
      </c>
      <c r="J11" s="95">
        <v>4998.8159999999998</v>
      </c>
      <c r="K11" s="97">
        <v>4431.7439999999997</v>
      </c>
      <c r="L11" s="98">
        <v>4380.8040000000001</v>
      </c>
      <c r="M11" s="95">
        <v>4930.8120000000008</v>
      </c>
      <c r="N11" s="95">
        <v>5462.1719999999987</v>
      </c>
      <c r="O11" s="94">
        <v>4620.6828000000005</v>
      </c>
      <c r="P11" s="95">
        <v>4943.7</v>
      </c>
      <c r="Q11" s="95">
        <v>5530.0680000000002</v>
      </c>
      <c r="R11" s="95">
        <v>5687.8451999999979</v>
      </c>
      <c r="S11" s="94">
        <v>5393.268</v>
      </c>
      <c r="T11" s="95">
        <v>5256.18</v>
      </c>
      <c r="U11" s="95">
        <v>5974.0199999999995</v>
      </c>
      <c r="V11" s="95">
        <v>5988.4920000000011</v>
      </c>
      <c r="W11" s="94">
        <v>6214.86</v>
      </c>
      <c r="X11" s="95">
        <v>6692.76</v>
      </c>
      <c r="Y11" s="95">
        <v>7265.5559999999996</v>
      </c>
      <c r="Z11" s="71">
        <v>7782.6427251231216</v>
      </c>
      <c r="AA11" s="99"/>
      <c r="AB11" s="100">
        <f>W36</f>
        <v>0.47635274964818847</v>
      </c>
      <c r="AC11" s="100">
        <f>AVERAGE(V36,R36,N36,J36,F36)</f>
        <v>0.49183124053250105</v>
      </c>
      <c r="AD11" s="101"/>
      <c r="AE11" s="101"/>
      <c r="AF11" s="83" t="s">
        <v>94</v>
      </c>
      <c r="AG11" s="93"/>
      <c r="AH11" s="93"/>
      <c r="AI11" s="93"/>
      <c r="AJ11" s="93"/>
    </row>
    <row r="12" spans="1:36" ht="14.25" customHeight="1">
      <c r="A12" s="66"/>
      <c r="B12" s="540" t="s">
        <v>334</v>
      </c>
      <c r="C12" s="539">
        <v>1.08</v>
      </c>
      <c r="D12" s="539">
        <v>0.252</v>
      </c>
      <c r="E12" s="539">
        <v>-0.42120000000000002</v>
      </c>
      <c r="F12" s="539">
        <f>0.029-SUM(C12:E12)</f>
        <v>-0.88180000000000003</v>
      </c>
      <c r="G12" s="539">
        <v>0.1404</v>
      </c>
      <c r="H12" s="113">
        <v>1.5839999999999999</v>
      </c>
      <c r="I12" s="113">
        <v>-0.108</v>
      </c>
      <c r="J12" s="114">
        <v>-1.4543999999999999</v>
      </c>
      <c r="K12" s="115">
        <v>4.2120000000000006</v>
      </c>
      <c r="L12" s="113">
        <v>2.052</v>
      </c>
      <c r="M12" s="113">
        <v>0.504</v>
      </c>
      <c r="N12" s="114">
        <v>-2.7360000000000011</v>
      </c>
      <c r="O12" s="115">
        <v>-0.19440000000000002</v>
      </c>
      <c r="P12" s="113">
        <v>-2.016</v>
      </c>
      <c r="Q12" s="113">
        <v>0.68399999999999994</v>
      </c>
      <c r="R12" s="114">
        <v>1.4040000000000004</v>
      </c>
      <c r="S12" s="115">
        <v>0.27360000000000001</v>
      </c>
      <c r="T12" s="113">
        <v>2.484</v>
      </c>
      <c r="U12" s="113">
        <v>-0.46080000000000004</v>
      </c>
      <c r="V12" s="113">
        <v>-1.7207999999999999</v>
      </c>
      <c r="W12" s="115">
        <v>-2.3040000000000003</v>
      </c>
      <c r="X12" s="113">
        <v>1.3319999999999999</v>
      </c>
      <c r="Y12" s="113">
        <v>3.6719999999999997</v>
      </c>
      <c r="Z12" s="103">
        <v>0</v>
      </c>
      <c r="AA12" s="99"/>
      <c r="AB12" s="104"/>
      <c r="AC12" s="105"/>
      <c r="AD12" s="105"/>
      <c r="AE12" s="105"/>
      <c r="AF12" s="83"/>
      <c r="AG12" s="106"/>
      <c r="AH12" s="106"/>
      <c r="AI12" s="106"/>
      <c r="AJ12" s="106"/>
    </row>
    <row r="13" spans="1:36" ht="14.25" customHeight="1">
      <c r="A13" s="66"/>
      <c r="B13" s="84" t="s">
        <v>50</v>
      </c>
      <c r="C13" s="107">
        <f t="shared" ref="C13:H13" si="1">(C10-C11-C12)</f>
        <v>3288.2759999999998</v>
      </c>
      <c r="D13" s="107">
        <f t="shared" si="1"/>
        <v>4115.9879999999994</v>
      </c>
      <c r="E13" s="107">
        <f t="shared" si="1"/>
        <v>4753.8251999999975</v>
      </c>
      <c r="F13" s="107">
        <f t="shared" si="1"/>
        <v>4936.8777999999993</v>
      </c>
      <c r="G13" s="107">
        <f t="shared" si="1"/>
        <v>4373.355599999999</v>
      </c>
      <c r="H13" s="107">
        <f t="shared" si="1"/>
        <v>3913.5239999999999</v>
      </c>
      <c r="I13" s="107">
        <f t="shared" ref="I13:Z13" si="2">(I10-I11-I12)</f>
        <v>4531.6800000000012</v>
      </c>
      <c r="J13" s="107">
        <f t="shared" si="2"/>
        <v>4995.1944000000003</v>
      </c>
      <c r="K13" s="107">
        <f t="shared" si="2"/>
        <v>4494.8880000000008</v>
      </c>
      <c r="L13" s="107">
        <f t="shared" si="2"/>
        <v>4015.1159999999995</v>
      </c>
      <c r="M13" s="107">
        <f t="shared" si="2"/>
        <v>4441.2119999999995</v>
      </c>
      <c r="N13" s="107">
        <f t="shared" si="2"/>
        <v>4972.2480000000023</v>
      </c>
      <c r="O13" s="107">
        <f t="shared" si="2"/>
        <v>3252.8555999999994</v>
      </c>
      <c r="P13" s="107">
        <f t="shared" si="2"/>
        <v>3734.2440000000001</v>
      </c>
      <c r="Q13" s="107">
        <f t="shared" si="2"/>
        <v>5019.0480000000007</v>
      </c>
      <c r="R13" s="107">
        <f t="shared" si="2"/>
        <v>5731.3188000000046</v>
      </c>
      <c r="S13" s="107">
        <f t="shared" si="2"/>
        <v>5787.9503999999979</v>
      </c>
      <c r="T13" s="107">
        <f t="shared" si="2"/>
        <v>5926.4639999999981</v>
      </c>
      <c r="U13" s="107">
        <f t="shared" si="2"/>
        <v>6857.7767999999996</v>
      </c>
      <c r="V13" s="107">
        <f t="shared" si="2"/>
        <v>7028.2727999999988</v>
      </c>
      <c r="W13" s="107">
        <f t="shared" si="2"/>
        <v>6834.2040000000006</v>
      </c>
      <c r="X13" s="107">
        <f t="shared" si="2"/>
        <v>6703.1279999999988</v>
      </c>
      <c r="Y13" s="107">
        <f t="shared" si="2"/>
        <v>7658.8920000000016</v>
      </c>
      <c r="Z13" s="107">
        <f t="shared" si="2"/>
        <v>8041.1644748768795</v>
      </c>
      <c r="AA13" s="99"/>
      <c r="AB13" s="109"/>
      <c r="AC13" s="110"/>
      <c r="AD13" s="110"/>
      <c r="AE13" s="110"/>
      <c r="AF13" s="83" t="s">
        <v>95</v>
      </c>
      <c r="AG13" s="83"/>
      <c r="AH13" s="93"/>
      <c r="AI13" s="93"/>
      <c r="AJ13" s="93"/>
    </row>
    <row r="14" spans="1:36" ht="14.25" customHeight="1">
      <c r="A14" s="66"/>
      <c r="B14" s="111" t="s">
        <v>96</v>
      </c>
      <c r="C14" s="94">
        <v>751.60799999999995</v>
      </c>
      <c r="D14" s="95">
        <v>828.25200000000007</v>
      </c>
      <c r="E14" s="95">
        <v>930.24</v>
      </c>
      <c r="F14" s="96">
        <v>978.44399999999951</v>
      </c>
      <c r="G14" s="94">
        <v>941.61599999999999</v>
      </c>
      <c r="H14" s="95">
        <v>913.17599999999993</v>
      </c>
      <c r="I14" s="95">
        <v>991.29600000000005</v>
      </c>
      <c r="J14" s="95">
        <v>1038.3480000000002</v>
      </c>
      <c r="K14" s="97">
        <v>962.20800000000008</v>
      </c>
      <c r="L14" s="98">
        <v>951.84</v>
      </c>
      <c r="M14" s="95">
        <v>1012.6079999999999</v>
      </c>
      <c r="N14" s="95">
        <v>1110.7079999999999</v>
      </c>
      <c r="O14" s="94">
        <v>936.64800000000002</v>
      </c>
      <c r="P14" s="95">
        <v>977.93999999999994</v>
      </c>
      <c r="Q14" s="95">
        <v>1129.6079999999999</v>
      </c>
      <c r="R14" s="4">
        <v>1257.9479999999999</v>
      </c>
      <c r="S14" s="94">
        <v>1163.6279999999999</v>
      </c>
      <c r="T14" s="95">
        <v>1206.72</v>
      </c>
      <c r="U14" s="95">
        <v>1472.076</v>
      </c>
      <c r="V14" s="95">
        <v>1379.5920000000001</v>
      </c>
      <c r="W14" s="94">
        <v>1407.96</v>
      </c>
      <c r="X14" s="95">
        <v>1460.9879999999998</v>
      </c>
      <c r="Y14" s="95">
        <v>1499.3999999999999</v>
      </c>
      <c r="Z14" s="71">
        <v>1677.893382593893</v>
      </c>
      <c r="AA14" s="99"/>
      <c r="AB14" s="112">
        <f t="shared" ref="AB14:AB15" si="3">W38</f>
        <v>0.10791644822162744</v>
      </c>
      <c r="AC14" s="101">
        <f t="shared" ref="AC14:AC15" si="4">AVERAGE(V38,R38,N38,J38,F38)</f>
        <v>0.10603601025888972</v>
      </c>
      <c r="AD14" s="101"/>
      <c r="AE14" s="101"/>
      <c r="AF14" s="83" t="s">
        <v>97</v>
      </c>
      <c r="AG14" s="106"/>
      <c r="AH14" s="106"/>
      <c r="AI14" s="106"/>
      <c r="AJ14" s="106"/>
    </row>
    <row r="15" spans="1:36" ht="14.25" customHeight="1">
      <c r="A15" s="66"/>
      <c r="B15" s="102" t="s">
        <v>52</v>
      </c>
      <c r="C15" s="539">
        <v>0.28800000000000003</v>
      </c>
      <c r="D15" s="539">
        <v>0.216</v>
      </c>
      <c r="E15" s="539">
        <v>-1.8719999999999999</v>
      </c>
      <c r="F15" s="539">
        <v>0.3239999999999999</v>
      </c>
      <c r="G15" s="539">
        <v>-0.68399999999999994</v>
      </c>
      <c r="H15" s="539">
        <v>3.0959999999999996</v>
      </c>
      <c r="I15" s="539">
        <v>10.331999999999999</v>
      </c>
      <c r="J15" s="539">
        <v>36.396000000000001</v>
      </c>
      <c r="K15" s="115">
        <v>46.872</v>
      </c>
      <c r="L15" s="113">
        <v>23.832000000000001</v>
      </c>
      <c r="M15" s="113">
        <v>-0.252</v>
      </c>
      <c r="N15" s="114">
        <v>5.1839999999999966</v>
      </c>
      <c r="O15" s="115">
        <v>2.6459999999999999</v>
      </c>
      <c r="P15" s="113">
        <v>9.3960000000000008</v>
      </c>
      <c r="Q15" s="113">
        <v>5.2559999999999993</v>
      </c>
      <c r="R15" s="114">
        <v>0.5579999999999985</v>
      </c>
      <c r="S15" s="115">
        <v>-2.4480000000000004</v>
      </c>
      <c r="T15" s="113">
        <v>0.30600000000000005</v>
      </c>
      <c r="U15" s="113">
        <v>-16.02</v>
      </c>
      <c r="V15" s="113">
        <v>-7.3979999999999961</v>
      </c>
      <c r="W15" s="115">
        <v>6.8040000000000003</v>
      </c>
      <c r="X15" s="113">
        <v>-1.9079999999999999</v>
      </c>
      <c r="Y15" s="113">
        <v>3.3479999999999999</v>
      </c>
      <c r="Z15" s="103">
        <v>0</v>
      </c>
      <c r="AA15" s="99"/>
      <c r="AB15" s="104">
        <f t="shared" si="3"/>
        <v>5.2150878838884136E-4</v>
      </c>
      <c r="AC15" s="105">
        <f t="shared" si="4"/>
        <v>7.308040274127273E-4</v>
      </c>
      <c r="AD15" s="105"/>
      <c r="AE15" s="105"/>
      <c r="AF15" s="83" t="s">
        <v>98</v>
      </c>
      <c r="AG15" s="106"/>
      <c r="AH15" s="106"/>
      <c r="AI15" s="106"/>
      <c r="AJ15" s="106"/>
    </row>
    <row r="16" spans="1:36" ht="14.25" customHeight="1">
      <c r="A16" s="66"/>
      <c r="B16" s="84" t="s">
        <v>99</v>
      </c>
      <c r="C16" s="107">
        <f>(C13-SUM(C14:C15))</f>
        <v>2536.38</v>
      </c>
      <c r="D16" s="71">
        <f>(D13-SUM(D14:D15))</f>
        <v>3287.5199999999995</v>
      </c>
      <c r="E16" s="71">
        <f>(E13-SUM(E14:E15))</f>
        <v>3825.4571999999976</v>
      </c>
      <c r="F16" s="71">
        <f>F13-SUM(F14:F15)</f>
        <v>3958.1097999999997</v>
      </c>
      <c r="G16" s="107">
        <f t="shared" ref="G16:S16" si="5">(G13-SUM(G14:G15))</f>
        <v>3432.4235999999992</v>
      </c>
      <c r="H16" s="71">
        <f t="shared" si="5"/>
        <v>2997.252</v>
      </c>
      <c r="I16" s="71">
        <f t="shared" si="5"/>
        <v>3530.052000000001</v>
      </c>
      <c r="J16" s="108">
        <f t="shared" si="5"/>
        <v>3920.4504000000002</v>
      </c>
      <c r="K16" s="107">
        <f t="shared" si="5"/>
        <v>3485.8080000000009</v>
      </c>
      <c r="L16" s="71">
        <f t="shared" si="5"/>
        <v>3039.4439999999995</v>
      </c>
      <c r="M16" s="71">
        <f t="shared" si="5"/>
        <v>3428.8559999999998</v>
      </c>
      <c r="N16" s="108">
        <f t="shared" si="5"/>
        <v>3856.3560000000025</v>
      </c>
      <c r="O16" s="107">
        <f t="shared" si="5"/>
        <v>2313.5615999999995</v>
      </c>
      <c r="P16" s="71">
        <f t="shared" si="5"/>
        <v>2746.9080000000004</v>
      </c>
      <c r="Q16" s="71">
        <f t="shared" si="5"/>
        <v>3884.1840000000007</v>
      </c>
      <c r="R16" s="108">
        <f t="shared" si="5"/>
        <v>4472.8128000000052</v>
      </c>
      <c r="S16" s="107">
        <f t="shared" si="5"/>
        <v>4626.7703999999976</v>
      </c>
      <c r="T16" s="107">
        <f t="shared" ref="T16" si="6">(T13-SUM(T14:T15))</f>
        <v>4719.4379999999983</v>
      </c>
      <c r="U16" s="107">
        <f t="shared" ref="U16" si="7">(U13-SUM(U14:U15))</f>
        <v>5401.7207999999991</v>
      </c>
      <c r="V16" s="107">
        <f t="shared" ref="V16" si="8">(V13-SUM(V14:V15))</f>
        <v>5656.0787999999984</v>
      </c>
      <c r="W16" s="107">
        <f t="shared" ref="W16" si="9">(W13-SUM(W14:W15))</f>
        <v>5419.4400000000005</v>
      </c>
      <c r="X16" s="107">
        <f t="shared" ref="X16" si="10">(X13-SUM(X14:X15))</f>
        <v>5244.0479999999989</v>
      </c>
      <c r="Y16" s="107">
        <f t="shared" ref="Y16" si="11">(Y13-SUM(Y14:Y15))</f>
        <v>6156.1440000000021</v>
      </c>
      <c r="Z16" s="71">
        <f>Z13-Z14-Z15</f>
        <v>6363.2710922829865</v>
      </c>
      <c r="AA16" s="99"/>
      <c r="AB16" s="109"/>
      <c r="AC16" s="110"/>
      <c r="AD16" s="110"/>
      <c r="AE16" s="110"/>
      <c r="AF16" s="83" t="s">
        <v>99</v>
      </c>
      <c r="AG16" s="93"/>
      <c r="AH16" s="93"/>
      <c r="AI16" s="93"/>
      <c r="AJ16" s="93"/>
    </row>
    <row r="17" spans="1:36" ht="14.25" customHeight="1">
      <c r="A17" s="66"/>
      <c r="B17" s="84" t="s">
        <v>54</v>
      </c>
      <c r="C17" s="94">
        <v>0</v>
      </c>
      <c r="D17" s="95">
        <v>0</v>
      </c>
      <c r="E17" s="95">
        <v>0</v>
      </c>
      <c r="F17" s="4">
        <v>0</v>
      </c>
      <c r="G17" s="95">
        <v>0</v>
      </c>
      <c r="H17" s="95">
        <v>0</v>
      </c>
      <c r="I17" s="95">
        <v>0</v>
      </c>
      <c r="J17" s="4">
        <v>0</v>
      </c>
      <c r="K17" s="94">
        <v>0</v>
      </c>
      <c r="L17" s="95">
        <v>0</v>
      </c>
      <c r="M17" s="95">
        <v>0</v>
      </c>
      <c r="N17" s="4">
        <v>0</v>
      </c>
      <c r="O17" s="94">
        <v>0</v>
      </c>
      <c r="P17" s="95">
        <v>0</v>
      </c>
      <c r="Q17" s="95">
        <v>0</v>
      </c>
      <c r="R17" s="4">
        <v>0</v>
      </c>
      <c r="S17" s="94">
        <v>0</v>
      </c>
      <c r="T17" s="95">
        <v>0</v>
      </c>
      <c r="U17" s="95">
        <v>0</v>
      </c>
      <c r="V17" s="95">
        <v>0</v>
      </c>
      <c r="W17" s="94">
        <v>0</v>
      </c>
      <c r="X17" s="95">
        <v>0</v>
      </c>
      <c r="Y17" s="95">
        <v>0</v>
      </c>
      <c r="Z17" s="71">
        <f>AC17*Z$10</f>
        <v>0</v>
      </c>
      <c r="AA17" s="99"/>
      <c r="AB17" s="112">
        <f t="shared" ref="AB17:AB18" si="12">W41</f>
        <v>0</v>
      </c>
      <c r="AC17" s="101">
        <f t="shared" ref="AC17:AC18" si="13">AVERAGE(V41,R41,N41,J41,F41)</f>
        <v>0</v>
      </c>
      <c r="AD17" s="101"/>
      <c r="AE17" s="101"/>
      <c r="AF17" s="83" t="s">
        <v>100</v>
      </c>
      <c r="AG17" s="106"/>
      <c r="AH17" s="106"/>
      <c r="AI17" s="106"/>
      <c r="AJ17" s="106"/>
    </row>
    <row r="18" spans="1:36" ht="14.25" customHeight="1">
      <c r="A18" s="66"/>
      <c r="B18" s="102" t="s">
        <v>101</v>
      </c>
      <c r="C18" s="539">
        <v>64.44</v>
      </c>
      <c r="D18" s="539">
        <v>75.06</v>
      </c>
      <c r="E18" s="539">
        <v>71.532000000000011</v>
      </c>
      <c r="F18" s="539">
        <v>77.04000000000002</v>
      </c>
      <c r="G18" s="539">
        <v>88.92</v>
      </c>
      <c r="H18" s="539">
        <v>103.03200000000001</v>
      </c>
      <c r="I18" s="539">
        <v>88.632000000000005</v>
      </c>
      <c r="J18" s="539">
        <v>100.044</v>
      </c>
      <c r="K18" s="97">
        <v>112.176</v>
      </c>
      <c r="L18" s="119">
        <v>113.72399999999999</v>
      </c>
      <c r="M18" s="117">
        <v>131.43599999999998</v>
      </c>
      <c r="N18" s="118">
        <v>142.55999999999997</v>
      </c>
      <c r="O18" s="116">
        <v>140.976</v>
      </c>
      <c r="P18" s="117">
        <v>152.67599999999999</v>
      </c>
      <c r="Q18" s="117">
        <v>160.12800000000001</v>
      </c>
      <c r="R18" s="118">
        <v>163.40399999999994</v>
      </c>
      <c r="S18" s="116">
        <v>130.5</v>
      </c>
      <c r="T18" s="117">
        <v>190.94400000000002</v>
      </c>
      <c r="U18" s="117">
        <v>182.73599999999999</v>
      </c>
      <c r="V18" s="117">
        <v>143.56799999999998</v>
      </c>
      <c r="W18" s="116">
        <v>162.93599999999998</v>
      </c>
      <c r="X18" s="117">
        <v>134.02799999999999</v>
      </c>
      <c r="Y18" s="117">
        <v>102.52799999999999</v>
      </c>
      <c r="Z18" s="103">
        <v>180.95319076078627</v>
      </c>
      <c r="AA18" s="99"/>
      <c r="AB18" s="104">
        <f t="shared" si="12"/>
        <v>1.248861786374548E-2</v>
      </c>
      <c r="AC18" s="105">
        <f t="shared" si="13"/>
        <v>1.143550275061404E-2</v>
      </c>
      <c r="AD18" s="105"/>
      <c r="AE18" s="105"/>
      <c r="AF18" s="83" t="s">
        <v>102</v>
      </c>
      <c r="AG18" s="106"/>
      <c r="AH18" s="106"/>
      <c r="AI18" s="106"/>
      <c r="AJ18" s="106"/>
    </row>
    <row r="19" spans="1:36" ht="14.25" customHeight="1">
      <c r="A19" s="66"/>
      <c r="B19" s="84" t="s">
        <v>103</v>
      </c>
      <c r="C19" s="120">
        <f t="shared" ref="C19:Z19" si="14">(C16-C17+C18)</f>
        <v>2600.8200000000002</v>
      </c>
      <c r="D19" s="121">
        <f t="shared" si="14"/>
        <v>3362.5799999999995</v>
      </c>
      <c r="E19" s="121">
        <f t="shared" si="14"/>
        <v>3896.9891999999977</v>
      </c>
      <c r="F19" s="122">
        <f t="shared" si="14"/>
        <v>4035.1497999999997</v>
      </c>
      <c r="G19" s="120">
        <f t="shared" si="14"/>
        <v>3521.3435999999992</v>
      </c>
      <c r="H19" s="121">
        <f t="shared" si="14"/>
        <v>3100.2840000000001</v>
      </c>
      <c r="I19" s="121">
        <f t="shared" si="14"/>
        <v>3618.6840000000011</v>
      </c>
      <c r="J19" s="123">
        <f t="shared" si="14"/>
        <v>4020.4944</v>
      </c>
      <c r="K19" s="120">
        <f t="shared" si="14"/>
        <v>3597.9840000000008</v>
      </c>
      <c r="L19" s="121">
        <f t="shared" si="14"/>
        <v>3153.1679999999997</v>
      </c>
      <c r="M19" s="121">
        <f t="shared" si="14"/>
        <v>3560.2919999999999</v>
      </c>
      <c r="N19" s="123">
        <f t="shared" si="14"/>
        <v>3998.9160000000024</v>
      </c>
      <c r="O19" s="120">
        <f t="shared" si="14"/>
        <v>2454.5375999999997</v>
      </c>
      <c r="P19" s="121">
        <f t="shared" si="14"/>
        <v>2899.5840000000003</v>
      </c>
      <c r="Q19" s="121">
        <f t="shared" si="14"/>
        <v>4044.3120000000008</v>
      </c>
      <c r="R19" s="123">
        <f t="shared" si="14"/>
        <v>4636.2168000000047</v>
      </c>
      <c r="S19" s="120">
        <f t="shared" si="14"/>
        <v>4757.2703999999976</v>
      </c>
      <c r="T19" s="121">
        <f t="shared" si="14"/>
        <v>4910.3819999999987</v>
      </c>
      <c r="U19" s="121">
        <f t="shared" si="14"/>
        <v>5584.456799999999</v>
      </c>
      <c r="V19" s="121">
        <f t="shared" si="14"/>
        <v>5799.6467999999986</v>
      </c>
      <c r="W19" s="120">
        <f t="shared" si="14"/>
        <v>5582.3760000000002</v>
      </c>
      <c r="X19" s="121">
        <f t="shared" si="14"/>
        <v>5378.0759999999991</v>
      </c>
      <c r="Y19" s="121">
        <f t="shared" si="14"/>
        <v>6258.6720000000023</v>
      </c>
      <c r="Z19" s="71">
        <f t="shared" si="14"/>
        <v>6544.2242830437726</v>
      </c>
      <c r="AA19" s="99"/>
      <c r="AB19" s="124"/>
      <c r="AC19" s="125"/>
      <c r="AD19" s="125"/>
      <c r="AE19" s="125"/>
      <c r="AF19" s="83" t="s">
        <v>103</v>
      </c>
      <c r="AG19" s="93"/>
      <c r="AH19" s="93"/>
      <c r="AI19" s="93"/>
      <c r="AJ19" s="93"/>
    </row>
    <row r="20" spans="1:36" ht="14.25" customHeight="1">
      <c r="A20" s="66"/>
      <c r="B20" s="111" t="s">
        <v>104</v>
      </c>
      <c r="C20" s="94">
        <v>268.56</v>
      </c>
      <c r="D20" s="95">
        <v>751.60799999999995</v>
      </c>
      <c r="E20" s="95">
        <v>412.56000000000006</v>
      </c>
      <c r="F20" s="96">
        <v>425.62800000000004</v>
      </c>
      <c r="G20" s="94">
        <v>367.23599999999999</v>
      </c>
      <c r="H20" s="95">
        <v>714.49200000000008</v>
      </c>
      <c r="I20" s="95">
        <v>380.48400000000004</v>
      </c>
      <c r="J20" s="96">
        <v>445.28399999999976</v>
      </c>
      <c r="K20" s="97">
        <v>365.61600000000004</v>
      </c>
      <c r="L20" s="98">
        <v>550.58400000000006</v>
      </c>
      <c r="M20" s="95">
        <v>352.72800000000001</v>
      </c>
      <c r="N20" s="96">
        <v>400.96799999999996</v>
      </c>
      <c r="O20" s="94">
        <v>244.58399999999997</v>
      </c>
      <c r="P20" s="95">
        <v>495.68400000000003</v>
      </c>
      <c r="Q20" s="95">
        <v>404.42399999999998</v>
      </c>
      <c r="R20" s="4">
        <v>457.34400000000005</v>
      </c>
      <c r="S20" s="94">
        <v>543.024</v>
      </c>
      <c r="T20" s="95">
        <v>558.21600000000001</v>
      </c>
      <c r="U20" s="95">
        <v>638.82000000000005</v>
      </c>
      <c r="V20" s="95">
        <v>658.22399999999993</v>
      </c>
      <c r="W20" s="94">
        <v>551.69999999999993</v>
      </c>
      <c r="X20" s="95">
        <v>536.72400000000005</v>
      </c>
      <c r="Y20" s="95">
        <v>625.428</v>
      </c>
      <c r="Z20" s="71">
        <v>692.15030777868174</v>
      </c>
      <c r="AA20" s="99"/>
      <c r="AB20" s="112">
        <f t="shared" ref="AB20:AB21" si="15">W44</f>
        <v>4.2286360751634881E-2</v>
      </c>
      <c r="AC20" s="101">
        <f t="shared" ref="AC20:AC21" si="16">AVERAGE(V44,R44,N44,J44,F44)</f>
        <v>4.3741073120423364E-2</v>
      </c>
      <c r="AD20" s="101"/>
      <c r="AE20" s="101"/>
      <c r="AF20" s="83" t="s">
        <v>105</v>
      </c>
      <c r="AG20" s="93"/>
      <c r="AH20" s="93"/>
      <c r="AI20" s="93"/>
      <c r="AJ20" s="93"/>
    </row>
    <row r="21" spans="1:36" ht="14.25" customHeight="1">
      <c r="A21" s="66"/>
      <c r="B21" s="126" t="s">
        <v>106</v>
      </c>
      <c r="C21" s="127">
        <v>0</v>
      </c>
      <c r="D21" s="128">
        <v>0</v>
      </c>
      <c r="E21" s="128">
        <v>0</v>
      </c>
      <c r="F21" s="128">
        <v>0</v>
      </c>
      <c r="G21" s="127">
        <v>0</v>
      </c>
      <c r="H21" s="128">
        <v>0</v>
      </c>
      <c r="I21" s="128">
        <v>0</v>
      </c>
      <c r="J21" s="128">
        <v>0</v>
      </c>
      <c r="K21" s="127">
        <v>0</v>
      </c>
      <c r="L21" s="128">
        <v>0</v>
      </c>
      <c r="M21" s="128">
        <v>0</v>
      </c>
      <c r="N21" s="128">
        <v>0</v>
      </c>
      <c r="O21" s="129">
        <v>0</v>
      </c>
      <c r="P21" s="128">
        <v>0</v>
      </c>
      <c r="Q21" s="128">
        <v>0</v>
      </c>
      <c r="R21" s="130">
        <v>0</v>
      </c>
      <c r="S21" s="129">
        <v>0</v>
      </c>
      <c r="T21" s="128">
        <v>0</v>
      </c>
      <c r="U21" s="128">
        <v>0</v>
      </c>
      <c r="V21" s="128">
        <v>0</v>
      </c>
      <c r="W21" s="129">
        <v>0</v>
      </c>
      <c r="X21" s="128">
        <v>0</v>
      </c>
      <c r="Y21" s="128">
        <v>0</v>
      </c>
      <c r="Z21" s="131">
        <v>0</v>
      </c>
      <c r="AA21" s="99"/>
      <c r="AB21" s="132">
        <f t="shared" si="15"/>
        <v>0</v>
      </c>
      <c r="AC21" s="105">
        <f t="shared" si="16"/>
        <v>0</v>
      </c>
      <c r="AD21" s="105"/>
      <c r="AE21" s="105"/>
      <c r="AF21" s="83" t="s">
        <v>107</v>
      </c>
      <c r="AG21" s="106"/>
      <c r="AH21" s="106"/>
      <c r="AI21" s="106"/>
      <c r="AJ21" s="106"/>
    </row>
    <row r="22" spans="1:36" ht="15.75" customHeight="1">
      <c r="A22" s="66"/>
      <c r="B22" s="133" t="s">
        <v>59</v>
      </c>
      <c r="C22" s="134">
        <f t="shared" ref="C22:Z22" si="17">C19-C20+C21</f>
        <v>2332.2600000000002</v>
      </c>
      <c r="D22" s="135">
        <f t="shared" si="17"/>
        <v>2610.9719999999998</v>
      </c>
      <c r="E22" s="135">
        <f t="shared" si="17"/>
        <v>3484.4291999999978</v>
      </c>
      <c r="F22" s="136">
        <f t="shared" si="17"/>
        <v>3609.5217999999995</v>
      </c>
      <c r="G22" s="134">
        <f t="shared" si="17"/>
        <v>3154.1075999999994</v>
      </c>
      <c r="H22" s="135">
        <f t="shared" si="17"/>
        <v>2385.7919999999999</v>
      </c>
      <c r="I22" s="135">
        <f t="shared" si="17"/>
        <v>3238.2000000000012</v>
      </c>
      <c r="J22" s="136">
        <f t="shared" si="17"/>
        <v>3575.2104000000004</v>
      </c>
      <c r="K22" s="134">
        <f t="shared" si="17"/>
        <v>3232.3680000000008</v>
      </c>
      <c r="L22" s="135">
        <f t="shared" si="17"/>
        <v>2602.5839999999998</v>
      </c>
      <c r="M22" s="135">
        <f t="shared" si="17"/>
        <v>3207.5639999999999</v>
      </c>
      <c r="N22" s="136">
        <f t="shared" si="17"/>
        <v>3597.9480000000026</v>
      </c>
      <c r="O22" s="134">
        <f t="shared" si="17"/>
        <v>2209.9535999999998</v>
      </c>
      <c r="P22" s="135">
        <f t="shared" si="17"/>
        <v>2403.9</v>
      </c>
      <c r="Q22" s="135">
        <f t="shared" si="17"/>
        <v>3639.8880000000008</v>
      </c>
      <c r="R22" s="136">
        <f t="shared" si="17"/>
        <v>4178.8728000000046</v>
      </c>
      <c r="S22" s="134">
        <f t="shared" si="17"/>
        <v>4214.2463999999973</v>
      </c>
      <c r="T22" s="135">
        <f t="shared" si="17"/>
        <v>4352.1659999999983</v>
      </c>
      <c r="U22" s="135">
        <f t="shared" si="17"/>
        <v>4945.6367999999993</v>
      </c>
      <c r="V22" s="136">
        <f t="shared" si="17"/>
        <v>5141.4227999999985</v>
      </c>
      <c r="W22" s="134">
        <f t="shared" si="17"/>
        <v>5030.6760000000004</v>
      </c>
      <c r="X22" s="135">
        <f t="shared" si="17"/>
        <v>4841.351999999999</v>
      </c>
      <c r="Y22" s="135">
        <f t="shared" si="17"/>
        <v>5633.2440000000024</v>
      </c>
      <c r="Z22" s="136">
        <f t="shared" si="17"/>
        <v>5852.0739752650907</v>
      </c>
      <c r="AA22" s="99"/>
      <c r="AB22" s="137"/>
      <c r="AC22" s="138"/>
      <c r="AD22" s="138"/>
      <c r="AE22" s="139"/>
      <c r="AF22" s="83" t="s">
        <v>59</v>
      </c>
      <c r="AG22" s="93"/>
      <c r="AH22" s="93"/>
      <c r="AI22" s="93"/>
      <c r="AJ22" s="93"/>
    </row>
    <row r="23" spans="1:36" ht="14.25" customHeight="1">
      <c r="A23" s="66"/>
      <c r="B23" s="66"/>
      <c r="C23" s="66"/>
      <c r="D23" s="66"/>
      <c r="E23" s="66"/>
      <c r="F23" s="66"/>
      <c r="G23" s="66"/>
      <c r="H23" s="66"/>
      <c r="I23" s="66"/>
      <c r="J23" s="66"/>
      <c r="K23" s="71"/>
      <c r="L23" s="66"/>
      <c r="M23" s="66"/>
      <c r="N23" s="66"/>
      <c r="O23" s="66"/>
      <c r="P23" s="66"/>
      <c r="Q23" s="66"/>
      <c r="R23" s="66"/>
      <c r="S23" s="66"/>
      <c r="T23" s="66"/>
      <c r="U23" s="66"/>
      <c r="V23" s="66"/>
      <c r="W23" s="66"/>
      <c r="X23" s="66"/>
      <c r="Y23" s="66"/>
      <c r="Z23" s="66"/>
      <c r="AA23" s="74"/>
      <c r="AB23" s="74"/>
      <c r="AC23" s="74"/>
      <c r="AD23" s="74"/>
      <c r="AE23" s="74"/>
      <c r="AF23" s="74"/>
      <c r="AG23" s="83"/>
      <c r="AH23" s="83"/>
      <c r="AI23" s="83"/>
      <c r="AJ23" s="140"/>
    </row>
    <row r="24" spans="1:36" ht="14.25" customHeight="1">
      <c r="A24" s="66"/>
      <c r="B24" s="66" t="s">
        <v>108</v>
      </c>
      <c r="C24" s="71">
        <f t="shared" ref="C24:K24" si="18">C22/C28</f>
        <v>2.4984207713114888</v>
      </c>
      <c r="D24" s="71">
        <f t="shared" si="18"/>
        <v>2.7969894772078154</v>
      </c>
      <c r="E24" s="71">
        <f t="shared" si="18"/>
        <v>3.7326757263102173</v>
      </c>
      <c r="F24" s="71">
        <f t="shared" si="18"/>
        <v>3.866680490006102</v>
      </c>
      <c r="G24" s="71">
        <f t="shared" si="18"/>
        <v>3.3788205186348979</v>
      </c>
      <c r="H24" s="71">
        <f t="shared" si="18"/>
        <v>2.5557666335780653</v>
      </c>
      <c r="I24" s="71">
        <f t="shared" si="18"/>
        <v>3.4689040422855366</v>
      </c>
      <c r="J24" s="71">
        <f t="shared" si="18"/>
        <v>3.8299245903839436</v>
      </c>
      <c r="K24" s="71">
        <f t="shared" si="18"/>
        <v>3.4626565441771398</v>
      </c>
      <c r="L24" s="71">
        <f t="shared" ref="L24:N24" si="19">L22/K28</f>
        <v>2.7880038780766032</v>
      </c>
      <c r="M24" s="71">
        <f t="shared" si="19"/>
        <v>3.4360853948148846</v>
      </c>
      <c r="N24" s="71">
        <f t="shared" si="19"/>
        <v>3.8542821200460646</v>
      </c>
      <c r="O24" s="71">
        <f t="shared" ref="O24:P24" si="20">O22/O28</f>
        <v>2.3674007091295999</v>
      </c>
      <c r="P24" s="71">
        <f t="shared" si="20"/>
        <v>2.5751647295566049</v>
      </c>
      <c r="Q24" s="71">
        <f t="shared" ref="Q24:R24" si="21">Q22/P28</f>
        <v>3.8992101157021231</v>
      </c>
      <c r="R24" s="71">
        <f t="shared" si="21"/>
        <v>4.4765946353273698</v>
      </c>
      <c r="S24" s="71">
        <f>S22/S28</f>
        <v>4.5144884108910057</v>
      </c>
      <c r="T24" s="71">
        <f t="shared" ref="T24:V24" si="22">T22/S28</f>
        <v>4.6622340281939545</v>
      </c>
      <c r="U24" s="71">
        <f t="shared" si="22"/>
        <v>5.2979863773689386</v>
      </c>
      <c r="V24" s="71">
        <f t="shared" si="22"/>
        <v>5.5077210592363066</v>
      </c>
      <c r="W24" s="71">
        <f t="shared" ref="W24:Z24" si="23">W22/W28</f>
        <v>5.389084155342112</v>
      </c>
      <c r="X24" s="71">
        <f t="shared" si="23"/>
        <v>5.1862718556380569</v>
      </c>
      <c r="Y24" s="71">
        <f t="shared" si="23"/>
        <v>6.0345818302701337</v>
      </c>
      <c r="Z24" s="71">
        <f t="shared" si="23"/>
        <v>6.2690022446269698</v>
      </c>
      <c r="AA24" s="66"/>
      <c r="AB24" s="66"/>
      <c r="AC24" s="66"/>
      <c r="AD24" s="66"/>
      <c r="AE24" s="66"/>
      <c r="AF24" s="66"/>
      <c r="AG24" s="140"/>
      <c r="AH24" s="140"/>
      <c r="AI24" s="140"/>
      <c r="AJ24" s="140"/>
    </row>
    <row r="25" spans="1:36" ht="14.25" customHeight="1">
      <c r="A25" s="66"/>
      <c r="B25" s="66"/>
      <c r="C25" s="71"/>
      <c r="D25" s="71"/>
      <c r="E25" s="71"/>
      <c r="F25" s="71"/>
      <c r="G25" s="71"/>
      <c r="H25" s="71"/>
      <c r="I25" s="71"/>
      <c r="J25" s="71"/>
      <c r="K25" s="71"/>
      <c r="L25" s="71"/>
      <c r="M25" s="71"/>
      <c r="N25" s="71"/>
      <c r="O25" s="71"/>
      <c r="P25" s="71"/>
      <c r="Q25" s="71"/>
      <c r="R25" s="71"/>
      <c r="S25" s="71"/>
      <c r="T25" s="71"/>
      <c r="U25" s="71"/>
      <c r="V25" s="71"/>
      <c r="W25" s="71"/>
      <c r="X25" s="71"/>
      <c r="Y25" s="71"/>
      <c r="Z25" s="71"/>
      <c r="AA25" s="66"/>
      <c r="AB25" s="66"/>
      <c r="AC25" s="66"/>
      <c r="AD25" s="66"/>
      <c r="AE25" s="66"/>
      <c r="AF25" s="66"/>
      <c r="AG25" s="66"/>
      <c r="AH25" s="66"/>
      <c r="AI25" s="66"/>
      <c r="AJ25" s="66"/>
    </row>
    <row r="26" spans="1:36" ht="14.25" customHeight="1">
      <c r="A26" s="66"/>
      <c r="B26" s="541" t="s">
        <v>60</v>
      </c>
      <c r="C26" s="141">
        <v>0</v>
      </c>
      <c r="D26" s="549">
        <v>0.752</v>
      </c>
      <c r="E26" s="141">
        <v>0</v>
      </c>
      <c r="F26" s="141">
        <v>0</v>
      </c>
      <c r="G26" s="141">
        <v>0</v>
      </c>
      <c r="H26" s="549">
        <v>0.92100000000000004</v>
      </c>
      <c r="I26" s="141">
        <v>0</v>
      </c>
      <c r="J26" s="141">
        <v>0</v>
      </c>
      <c r="K26" s="141">
        <v>0</v>
      </c>
      <c r="L26" s="549">
        <v>1.036</v>
      </c>
      <c r="M26" s="141">
        <v>0</v>
      </c>
      <c r="N26" s="141">
        <v>0</v>
      </c>
      <c r="O26" s="141">
        <v>0</v>
      </c>
      <c r="P26" s="549">
        <v>1.018</v>
      </c>
      <c r="Q26" s="549">
        <v>0.253</v>
      </c>
      <c r="R26" s="549">
        <v>0.32400000000000001</v>
      </c>
      <c r="S26" s="549">
        <v>0.32900000000000001</v>
      </c>
      <c r="T26" s="549">
        <v>0.33200000000000002</v>
      </c>
      <c r="U26" s="549">
        <v>0.33700000000000002</v>
      </c>
      <c r="V26" s="549">
        <v>0.34899999999999998</v>
      </c>
      <c r="W26" s="549">
        <v>0.35399999999999998</v>
      </c>
      <c r="X26" s="549">
        <v>0.35599999999999998</v>
      </c>
      <c r="Y26" s="549">
        <v>0.39200000000000002</v>
      </c>
      <c r="Z26" s="549">
        <v>0.39</v>
      </c>
      <c r="AA26" s="66"/>
      <c r="AB26" s="66" t="s">
        <v>60</v>
      </c>
      <c r="AC26" s="71"/>
      <c r="AD26" s="66"/>
      <c r="AE26" s="66"/>
      <c r="AF26" s="66"/>
      <c r="AG26" s="66"/>
      <c r="AH26" s="66"/>
      <c r="AI26" s="66"/>
      <c r="AJ26" s="66"/>
    </row>
    <row r="27" spans="1:36" ht="14.25" customHeight="1">
      <c r="A27" s="66"/>
      <c r="B27" s="66"/>
      <c r="C27" s="66"/>
      <c r="D27" s="66"/>
      <c r="E27" s="66"/>
      <c r="F27" s="66"/>
      <c r="G27" s="66"/>
      <c r="H27" s="142"/>
      <c r="I27" s="66"/>
      <c r="J27" s="66"/>
      <c r="K27" s="66"/>
      <c r="L27" s="142"/>
      <c r="M27" s="66"/>
      <c r="N27" s="66"/>
      <c r="O27" s="66"/>
      <c r="P27" s="142"/>
      <c r="Q27" s="66"/>
      <c r="R27" s="66"/>
      <c r="S27" s="66"/>
      <c r="T27" s="142"/>
      <c r="U27" s="66"/>
      <c r="V27" s="66"/>
      <c r="W27" s="66"/>
      <c r="X27" s="142"/>
      <c r="Y27" s="66"/>
      <c r="Z27" s="66"/>
      <c r="AA27" s="66"/>
      <c r="AB27" s="66"/>
      <c r="AC27" s="66"/>
      <c r="AD27" s="72"/>
      <c r="AE27" s="553"/>
      <c r="AF27" s="66"/>
      <c r="AG27" s="66"/>
      <c r="AH27" s="66"/>
      <c r="AI27" s="66"/>
      <c r="AJ27" s="66"/>
    </row>
    <row r="28" spans="1:36" s="758" customFormat="1" ht="14.25" customHeight="1">
      <c r="A28" s="541"/>
      <c r="B28" s="541" t="s">
        <v>109</v>
      </c>
      <c r="C28" s="756">
        <f>25.93038*36</f>
        <v>933.49368000000004</v>
      </c>
      <c r="D28" s="756">
        <f t="shared" ref="D28:Z28" si="24">25.93038*36</f>
        <v>933.49368000000004</v>
      </c>
      <c r="E28" s="756">
        <f t="shared" si="24"/>
        <v>933.49368000000004</v>
      </c>
      <c r="F28" s="756">
        <f t="shared" si="24"/>
        <v>933.49368000000004</v>
      </c>
      <c r="G28" s="756">
        <f t="shared" si="24"/>
        <v>933.49368000000004</v>
      </c>
      <c r="H28" s="756">
        <f t="shared" si="24"/>
        <v>933.49368000000004</v>
      </c>
      <c r="I28" s="756">
        <f t="shared" si="24"/>
        <v>933.49368000000004</v>
      </c>
      <c r="J28" s="756">
        <f t="shared" si="24"/>
        <v>933.49368000000004</v>
      </c>
      <c r="K28" s="756">
        <f t="shared" si="24"/>
        <v>933.49368000000004</v>
      </c>
      <c r="L28" s="756">
        <f t="shared" si="24"/>
        <v>933.49368000000004</v>
      </c>
      <c r="M28" s="756">
        <f t="shared" si="24"/>
        <v>933.49368000000004</v>
      </c>
      <c r="N28" s="756">
        <f t="shared" si="24"/>
        <v>933.49368000000004</v>
      </c>
      <c r="O28" s="756">
        <f t="shared" si="24"/>
        <v>933.49368000000004</v>
      </c>
      <c r="P28" s="756">
        <f t="shared" si="24"/>
        <v>933.49368000000004</v>
      </c>
      <c r="Q28" s="756">
        <f t="shared" si="24"/>
        <v>933.49368000000004</v>
      </c>
      <c r="R28" s="756">
        <f t="shared" si="24"/>
        <v>933.49368000000004</v>
      </c>
      <c r="S28" s="756">
        <f t="shared" si="24"/>
        <v>933.49368000000004</v>
      </c>
      <c r="T28" s="756">
        <f t="shared" si="24"/>
        <v>933.49368000000004</v>
      </c>
      <c r="U28" s="756">
        <f t="shared" si="24"/>
        <v>933.49368000000004</v>
      </c>
      <c r="V28" s="756">
        <f t="shared" si="24"/>
        <v>933.49368000000004</v>
      </c>
      <c r="W28" s="756">
        <f t="shared" si="24"/>
        <v>933.49368000000004</v>
      </c>
      <c r="X28" s="756">
        <f t="shared" si="24"/>
        <v>933.49368000000004</v>
      </c>
      <c r="Y28" s="756">
        <f t="shared" si="24"/>
        <v>933.49368000000004</v>
      </c>
      <c r="Z28" s="756">
        <f t="shared" si="24"/>
        <v>933.49368000000004</v>
      </c>
      <c r="AA28" s="541"/>
      <c r="AB28" s="757" t="s">
        <v>110</v>
      </c>
      <c r="AC28" s="541"/>
      <c r="AD28" s="541"/>
      <c r="AE28" s="541"/>
      <c r="AF28" s="541"/>
      <c r="AG28" s="541"/>
      <c r="AH28" s="541"/>
      <c r="AI28" s="541"/>
      <c r="AJ28" s="541"/>
    </row>
    <row r="29" spans="1:36" ht="14.25" customHeight="1">
      <c r="A29" s="66"/>
      <c r="B29" s="66"/>
      <c r="C29" s="66"/>
      <c r="D29" s="142">
        <f>SUM(C26:F26)</f>
        <v>0.752</v>
      </c>
      <c r="E29" s="66"/>
      <c r="F29" s="66"/>
      <c r="G29" s="143"/>
      <c r="H29" s="142">
        <f>SUM(G26:J26)</f>
        <v>0.92100000000000004</v>
      </c>
      <c r="I29" s="66"/>
      <c r="J29" s="66"/>
      <c r="K29" s="66"/>
      <c r="L29" s="142">
        <f>SUM(K26:N26)</f>
        <v>1.036</v>
      </c>
      <c r="M29" s="66"/>
      <c r="N29" s="66"/>
      <c r="O29" s="66"/>
      <c r="P29" s="142">
        <f>SUM(O26:R26)</f>
        <v>1.595</v>
      </c>
      <c r="Q29" s="66"/>
      <c r="R29" s="66"/>
      <c r="S29" s="66"/>
      <c r="T29" s="142">
        <f>SUM(S26:V26)</f>
        <v>1.347</v>
      </c>
      <c r="U29" s="66"/>
      <c r="V29" s="144"/>
      <c r="W29" s="144"/>
      <c r="X29" s="142">
        <f>SUM(W26:Z26)</f>
        <v>1.492</v>
      </c>
      <c r="Y29" s="66"/>
      <c r="Z29" s="66"/>
      <c r="AA29" s="66"/>
      <c r="AB29" s="66"/>
      <c r="AC29" s="66"/>
      <c r="AD29" s="66"/>
      <c r="AE29" s="66"/>
      <c r="AF29" s="66"/>
      <c r="AG29" s="66"/>
      <c r="AH29" s="66"/>
      <c r="AI29" s="66"/>
      <c r="AJ29" s="66"/>
    </row>
    <row r="30" spans="1:36" ht="14.4">
      <c r="A30" s="66"/>
      <c r="B30" s="66"/>
      <c r="C30" s="66"/>
      <c r="D30" s="66"/>
      <c r="E30" s="66"/>
      <c r="F30" s="66"/>
      <c r="G30" s="66"/>
      <c r="H30" s="550">
        <f>(H29-D29)/D29</f>
        <v>0.22473404255319154</v>
      </c>
      <c r="I30" s="66"/>
      <c r="J30" s="66"/>
      <c r="K30" s="66"/>
      <c r="L30" s="550">
        <f>(L29-H29)/H29</f>
        <v>0.12486427795874049</v>
      </c>
      <c r="M30" s="66"/>
      <c r="N30" s="66"/>
      <c r="O30" s="66"/>
      <c r="P30" s="550">
        <f>(P29-L29)/L29</f>
        <v>0.53957528957528955</v>
      </c>
      <c r="Q30" s="66"/>
      <c r="R30" s="66"/>
      <c r="S30" s="66"/>
      <c r="T30" s="550">
        <f>(T29-P29)/P29</f>
        <v>-0.1554858934169279</v>
      </c>
      <c r="U30" s="66"/>
      <c r="V30" s="66"/>
      <c r="W30" s="66"/>
      <c r="X30" s="550">
        <f>(X29-T29)/T29</f>
        <v>0.10764662212323683</v>
      </c>
      <c r="Y30" s="66"/>
      <c r="Z30" s="66"/>
      <c r="AA30" s="66"/>
      <c r="AB30" s="66"/>
      <c r="AC30" s="66"/>
      <c r="AD30" s="66"/>
      <c r="AE30" s="66"/>
      <c r="AF30" s="66"/>
      <c r="AG30" s="66"/>
      <c r="AH30" s="66"/>
      <c r="AI30" s="66"/>
      <c r="AJ30" s="66"/>
    </row>
    <row r="31" spans="1:36" ht="28.5" customHeight="1">
      <c r="A31" s="145"/>
      <c r="B31" s="146" t="s">
        <v>111</v>
      </c>
      <c r="C31" s="147"/>
      <c r="D31" s="145"/>
      <c r="E31" s="145"/>
      <c r="F31" s="145"/>
      <c r="G31" s="145"/>
      <c r="H31" s="145"/>
      <c r="I31" s="145"/>
      <c r="J31" s="145"/>
      <c r="K31" s="145"/>
      <c r="L31" s="145"/>
      <c r="M31" s="145"/>
      <c r="N31" s="145"/>
      <c r="O31" s="145"/>
      <c r="P31" s="145"/>
      <c r="Q31" s="145"/>
      <c r="R31" s="145"/>
      <c r="S31" s="145"/>
      <c r="T31" s="145"/>
      <c r="U31" s="145"/>
      <c r="V31" s="145"/>
      <c r="W31" s="145"/>
      <c r="X31" s="145"/>
      <c r="Y31" s="145"/>
      <c r="Z31" s="148"/>
      <c r="AA31" s="66"/>
      <c r="AB31" s="66"/>
      <c r="AC31" s="66"/>
      <c r="AD31" s="66"/>
      <c r="AE31" s="66"/>
      <c r="AF31" s="66"/>
      <c r="AG31" s="66"/>
      <c r="AH31" s="66"/>
      <c r="AI31" s="66"/>
      <c r="AJ31" s="66"/>
    </row>
    <row r="32" spans="1:36" ht="24" customHeight="1">
      <c r="A32" s="145"/>
      <c r="B32" s="66"/>
      <c r="C32" s="648" t="str">
        <f>C7</f>
        <v>FY 2016</v>
      </c>
      <c r="D32" s="649"/>
      <c r="E32" s="649"/>
      <c r="F32" s="650"/>
      <c r="G32" s="648" t="str">
        <f>G7</f>
        <v>FY 2017</v>
      </c>
      <c r="H32" s="649"/>
      <c r="I32" s="649"/>
      <c r="J32" s="650"/>
      <c r="K32" s="648" t="str">
        <f>K7</f>
        <v>FY 2018</v>
      </c>
      <c r="L32" s="649"/>
      <c r="M32" s="649"/>
      <c r="N32" s="650"/>
      <c r="O32" s="648" t="str">
        <f>O7</f>
        <v>FY 2019</v>
      </c>
      <c r="P32" s="649"/>
      <c r="Q32" s="649"/>
      <c r="R32" s="650"/>
      <c r="S32" s="648" t="str">
        <f>S7</f>
        <v>FY 2020</v>
      </c>
      <c r="T32" s="649"/>
      <c r="U32" s="649"/>
      <c r="V32" s="650"/>
      <c r="W32" s="648" t="str">
        <f>W7</f>
        <v>FY 2021</v>
      </c>
      <c r="X32" s="649"/>
      <c r="Y32" s="649"/>
      <c r="Z32" s="650"/>
      <c r="AA32" s="66"/>
      <c r="AB32" s="66"/>
      <c r="AC32" s="66"/>
      <c r="AD32" s="66"/>
      <c r="AE32" s="66"/>
      <c r="AF32" s="66"/>
      <c r="AG32" s="66"/>
      <c r="AH32" s="66"/>
      <c r="AI32" s="66"/>
      <c r="AJ32" s="66"/>
    </row>
    <row r="33" spans="1:36" ht="14.25" customHeight="1">
      <c r="A33" s="145"/>
      <c r="B33" s="66"/>
      <c r="C33" s="78" t="s">
        <v>87</v>
      </c>
      <c r="D33" s="67" t="s">
        <v>88</v>
      </c>
      <c r="E33" s="67" t="s">
        <v>89</v>
      </c>
      <c r="F33" s="79" t="s">
        <v>90</v>
      </c>
      <c r="G33" s="78" t="s">
        <v>87</v>
      </c>
      <c r="H33" s="67" t="s">
        <v>88</v>
      </c>
      <c r="I33" s="67" t="s">
        <v>89</v>
      </c>
      <c r="J33" s="79" t="s">
        <v>90</v>
      </c>
      <c r="K33" s="78" t="s">
        <v>87</v>
      </c>
      <c r="L33" s="67" t="s">
        <v>88</v>
      </c>
      <c r="M33" s="67" t="s">
        <v>89</v>
      </c>
      <c r="N33" s="79" t="s">
        <v>90</v>
      </c>
      <c r="O33" s="78" t="s">
        <v>87</v>
      </c>
      <c r="P33" s="67" t="s">
        <v>88</v>
      </c>
      <c r="Q33" s="67" t="s">
        <v>89</v>
      </c>
      <c r="R33" s="79" t="s">
        <v>90</v>
      </c>
      <c r="S33" s="78" t="s">
        <v>87</v>
      </c>
      <c r="T33" s="67" t="s">
        <v>88</v>
      </c>
      <c r="U33" s="67" t="s">
        <v>89</v>
      </c>
      <c r="V33" s="67" t="s">
        <v>90</v>
      </c>
      <c r="W33" s="80" t="s">
        <v>87</v>
      </c>
      <c r="X33" s="80" t="s">
        <v>88</v>
      </c>
      <c r="Y33" s="80" t="s">
        <v>89</v>
      </c>
      <c r="Z33" s="149" t="s">
        <v>90</v>
      </c>
      <c r="AA33" s="66"/>
      <c r="AB33" s="66"/>
      <c r="AC33" s="66"/>
      <c r="AD33" s="66"/>
      <c r="AE33" s="66"/>
      <c r="AF33" s="66"/>
      <c r="AG33" s="66"/>
      <c r="AH33" s="66"/>
      <c r="AI33" s="66"/>
      <c r="AJ33" s="66"/>
    </row>
    <row r="34" spans="1:36" ht="14.25" customHeight="1">
      <c r="A34" s="145"/>
      <c r="B34" s="66"/>
      <c r="C34" s="150"/>
      <c r="D34" s="646"/>
      <c r="E34" s="625"/>
      <c r="F34" s="647"/>
      <c r="G34" s="150"/>
      <c r="H34" s="646"/>
      <c r="I34" s="625"/>
      <c r="J34" s="647"/>
      <c r="K34" s="150"/>
      <c r="L34" s="646"/>
      <c r="M34" s="625"/>
      <c r="N34" s="647"/>
      <c r="O34" s="150"/>
      <c r="P34" s="646"/>
      <c r="Q34" s="625"/>
      <c r="R34" s="647"/>
      <c r="S34" s="150"/>
      <c r="T34" s="646"/>
      <c r="U34" s="625"/>
      <c r="V34" s="647"/>
      <c r="W34" s="150"/>
      <c r="X34" s="646" t="s">
        <v>112</v>
      </c>
      <c r="Y34" s="625"/>
      <c r="Z34" s="647"/>
      <c r="AA34" s="66"/>
      <c r="AB34" s="66"/>
      <c r="AC34" s="66"/>
      <c r="AD34" s="66"/>
      <c r="AE34" s="66"/>
      <c r="AF34" s="66"/>
      <c r="AG34" s="66"/>
      <c r="AH34" s="66"/>
      <c r="AI34" s="66"/>
      <c r="AJ34" s="66"/>
    </row>
    <row r="35" spans="1:36" ht="12.75" customHeight="1">
      <c r="A35" s="145"/>
      <c r="B35" s="66" t="s">
        <v>48</v>
      </c>
      <c r="C35" s="151">
        <f t="shared" ref="C35:Z35" si="25">C10/C$10</f>
        <v>1</v>
      </c>
      <c r="D35" s="151">
        <f t="shared" si="25"/>
        <v>1</v>
      </c>
      <c r="E35" s="151">
        <f t="shared" si="25"/>
        <v>1</v>
      </c>
      <c r="F35" s="151">
        <f t="shared" si="25"/>
        <v>1</v>
      </c>
      <c r="G35" s="151">
        <f t="shared" si="25"/>
        <v>1</v>
      </c>
      <c r="H35" s="151">
        <f t="shared" si="25"/>
        <v>1</v>
      </c>
      <c r="I35" s="151">
        <f t="shared" si="25"/>
        <v>1</v>
      </c>
      <c r="J35" s="151">
        <f t="shared" si="25"/>
        <v>1</v>
      </c>
      <c r="K35" s="151">
        <f t="shared" si="25"/>
        <v>1</v>
      </c>
      <c r="L35" s="151">
        <f t="shared" si="25"/>
        <v>1</v>
      </c>
      <c r="M35" s="151">
        <f t="shared" si="25"/>
        <v>1</v>
      </c>
      <c r="N35" s="151">
        <f t="shared" si="25"/>
        <v>1</v>
      </c>
      <c r="O35" s="151">
        <f t="shared" si="25"/>
        <v>1</v>
      </c>
      <c r="P35" s="151">
        <f t="shared" si="25"/>
        <v>1</v>
      </c>
      <c r="Q35" s="151">
        <f t="shared" si="25"/>
        <v>1</v>
      </c>
      <c r="R35" s="151">
        <f t="shared" si="25"/>
        <v>1</v>
      </c>
      <c r="S35" s="151">
        <f t="shared" si="25"/>
        <v>1</v>
      </c>
      <c r="T35" s="151">
        <f t="shared" si="25"/>
        <v>1</v>
      </c>
      <c r="U35" s="151">
        <f t="shared" si="25"/>
        <v>1</v>
      </c>
      <c r="V35" s="151">
        <f t="shared" si="25"/>
        <v>1</v>
      </c>
      <c r="W35" s="151">
        <f t="shared" si="25"/>
        <v>1</v>
      </c>
      <c r="X35" s="151">
        <f t="shared" si="25"/>
        <v>1</v>
      </c>
      <c r="Y35" s="151">
        <f t="shared" si="25"/>
        <v>1</v>
      </c>
      <c r="Z35" s="152">
        <f t="shared" si="25"/>
        <v>1</v>
      </c>
      <c r="AA35" s="66"/>
      <c r="AB35" s="66"/>
      <c r="AC35" s="86"/>
      <c r="AD35" s="66"/>
      <c r="AE35" s="66"/>
      <c r="AF35" s="66"/>
      <c r="AG35" s="66"/>
      <c r="AH35" s="66"/>
      <c r="AI35" s="66"/>
      <c r="AJ35" s="66"/>
    </row>
    <row r="36" spans="1:36" ht="14.25" customHeight="1">
      <c r="A36" s="145"/>
      <c r="B36" s="153" t="s">
        <v>93</v>
      </c>
      <c r="C36" s="154">
        <f t="shared" ref="C36:Z36" si="26">C11/C$10</f>
        <v>0.55099142485073349</v>
      </c>
      <c r="D36" s="154">
        <f t="shared" si="26"/>
        <v>0.48451144903948895</v>
      </c>
      <c r="E36" s="154">
        <f t="shared" si="26"/>
        <v>0.49294752404907755</v>
      </c>
      <c r="F36" s="154">
        <f t="shared" si="26"/>
        <v>0.47713258259002628</v>
      </c>
      <c r="G36" s="154">
        <f t="shared" si="26"/>
        <v>0.48063818326393465</v>
      </c>
      <c r="H36" s="154">
        <f t="shared" si="26"/>
        <v>0.49146384232306939</v>
      </c>
      <c r="I36" s="154">
        <f t="shared" si="26"/>
        <v>0.50070009956090067</v>
      </c>
      <c r="J36" s="154">
        <f t="shared" si="26"/>
        <v>0.50025398906946328</v>
      </c>
      <c r="K36" s="154">
        <f t="shared" si="26"/>
        <v>0.49622902381902528</v>
      </c>
      <c r="L36" s="154">
        <f t="shared" si="26"/>
        <v>0.52165022698337171</v>
      </c>
      <c r="M36" s="154">
        <f t="shared" si="26"/>
        <v>0.52609199993854383</v>
      </c>
      <c r="N36" s="154">
        <f t="shared" si="26"/>
        <v>0.52361363706952757</v>
      </c>
      <c r="O36" s="154">
        <f t="shared" si="26"/>
        <v>0.58687678323213111</v>
      </c>
      <c r="P36" s="154">
        <f t="shared" si="26"/>
        <v>0.56981800678843808</v>
      </c>
      <c r="Q36" s="154">
        <f t="shared" si="26"/>
        <v>0.52418699880566455</v>
      </c>
      <c r="R36" s="154">
        <f t="shared" si="26"/>
        <v>0.49803522907091807</v>
      </c>
      <c r="S36" s="154">
        <f t="shared" si="26"/>
        <v>0.4823388506650097</v>
      </c>
      <c r="T36" s="154">
        <f t="shared" si="26"/>
        <v>0.46992578001789526</v>
      </c>
      <c r="U36" s="154">
        <f t="shared" si="26"/>
        <v>0.46558051320610727</v>
      </c>
      <c r="V36" s="154">
        <f t="shared" si="26"/>
        <v>0.46012076486256992</v>
      </c>
      <c r="W36" s="154">
        <f t="shared" si="26"/>
        <v>0.47635274964818847</v>
      </c>
      <c r="X36" s="154">
        <f t="shared" si="26"/>
        <v>0.49956334224563009</v>
      </c>
      <c r="Y36" s="154">
        <f t="shared" si="26"/>
        <v>0.48670267923891281</v>
      </c>
      <c r="Z36" s="155">
        <f t="shared" si="26"/>
        <v>0.49183124053250099</v>
      </c>
      <c r="AA36" s="66"/>
      <c r="AB36" s="66"/>
      <c r="AC36" s="66"/>
      <c r="AD36" s="66"/>
      <c r="AE36" s="66"/>
      <c r="AF36" s="66"/>
      <c r="AG36" s="66"/>
      <c r="AH36" s="66"/>
      <c r="AI36" s="66"/>
      <c r="AJ36" s="66"/>
    </row>
    <row r="37" spans="1:36" ht="14.25" customHeight="1">
      <c r="A37" s="145"/>
      <c r="B37" s="66" t="s">
        <v>50</v>
      </c>
      <c r="C37" s="151">
        <f t="shared" ref="C37:Z37" si="27">C13/C$10</f>
        <v>0.44886115137964078</v>
      </c>
      <c r="D37" s="151">
        <f t="shared" si="27"/>
        <v>0.51545699227713926</v>
      </c>
      <c r="E37" s="151">
        <f t="shared" si="27"/>
        <v>0.50709740596378705</v>
      </c>
      <c r="F37" s="151">
        <f t="shared" si="27"/>
        <v>0.52296082601254801</v>
      </c>
      <c r="G37" s="151">
        <f t="shared" si="27"/>
        <v>0.51934514394179054</v>
      </c>
      <c r="H37" s="151">
        <f t="shared" si="27"/>
        <v>0.5083304107923593</v>
      </c>
      <c r="I37" s="151">
        <f t="shared" si="27"/>
        <v>0.4993118001483498</v>
      </c>
      <c r="J37" s="151">
        <f t="shared" si="27"/>
        <v>0.49989155927672563</v>
      </c>
      <c r="K37" s="151">
        <f t="shared" si="27"/>
        <v>0.50329935222247757</v>
      </c>
      <c r="L37" s="151">
        <f t="shared" si="27"/>
        <v>0.4781054283105492</v>
      </c>
      <c r="M37" s="151">
        <f t="shared" si="27"/>
        <v>0.4738542258822806</v>
      </c>
      <c r="N37" s="151">
        <f t="shared" si="27"/>
        <v>0.47664864081388986</v>
      </c>
      <c r="O37" s="151">
        <f t="shared" si="27"/>
        <v>0.41314790767429943</v>
      </c>
      <c r="P37" s="151">
        <f t="shared" si="27"/>
        <v>0.43041436028514762</v>
      </c>
      <c r="Q37" s="151">
        <f t="shared" si="27"/>
        <v>0.47574816584200652</v>
      </c>
      <c r="R37" s="151">
        <f t="shared" si="27"/>
        <v>0.50184183483693656</v>
      </c>
      <c r="S37" s="151">
        <f t="shared" si="27"/>
        <v>0.5176366803285285</v>
      </c>
      <c r="T37" s="151">
        <f t="shared" si="27"/>
        <v>0.52985213937650055</v>
      </c>
      <c r="U37" s="151">
        <f t="shared" si="27"/>
        <v>0.53445539887662519</v>
      </c>
      <c r="V37" s="151">
        <f t="shared" si="27"/>
        <v>0.54001145136351436</v>
      </c>
      <c r="W37" s="151">
        <f t="shared" si="27"/>
        <v>0.52382384592036646</v>
      </c>
      <c r="X37" s="151">
        <f t="shared" si="27"/>
        <v>0.50033723414260567</v>
      </c>
      <c r="Y37" s="151">
        <f t="shared" si="27"/>
        <v>0.51305134203101266</v>
      </c>
      <c r="Z37" s="152">
        <f t="shared" si="27"/>
        <v>0.50816875946749895</v>
      </c>
      <c r="AA37" s="66"/>
      <c r="AB37" s="66"/>
      <c r="AC37" s="66"/>
      <c r="AD37" s="66"/>
      <c r="AE37" s="66"/>
      <c r="AF37" s="66"/>
      <c r="AG37" s="66"/>
      <c r="AH37" s="66"/>
      <c r="AI37" s="66"/>
      <c r="AJ37" s="66"/>
    </row>
    <row r="38" spans="1:36" ht="14.25" customHeight="1">
      <c r="A38" s="145"/>
      <c r="B38" s="156" t="s">
        <v>96</v>
      </c>
      <c r="C38" s="151">
        <f t="shared" ref="C38:Z38" si="28">C14/C$10</f>
        <v>0.10259711540824099</v>
      </c>
      <c r="D38" s="151">
        <f t="shared" si="28"/>
        <v>0.10372437547619801</v>
      </c>
      <c r="E38" s="151">
        <f t="shared" si="28"/>
        <v>9.9230045506038686E-2</v>
      </c>
      <c r="F38" s="151">
        <f t="shared" si="28"/>
        <v>0.10364604982667817</v>
      </c>
      <c r="G38" s="151">
        <f t="shared" si="28"/>
        <v>0.11181887360311911</v>
      </c>
      <c r="H38" s="151">
        <f t="shared" si="28"/>
        <v>0.11861307895536695</v>
      </c>
      <c r="I38" s="151">
        <f t="shared" si="28"/>
        <v>0.10922346464001396</v>
      </c>
      <c r="J38" s="151">
        <f t="shared" si="28"/>
        <v>0.10391215220610224</v>
      </c>
      <c r="K38" s="151">
        <f t="shared" si="28"/>
        <v>0.10773987318555782</v>
      </c>
      <c r="L38" s="151">
        <f t="shared" si="28"/>
        <v>0.11334164962683849</v>
      </c>
      <c r="M38" s="151">
        <f t="shared" si="28"/>
        <v>0.10804000798930662</v>
      </c>
      <c r="N38" s="151">
        <f t="shared" si="28"/>
        <v>0.10647446759315177</v>
      </c>
      <c r="O38" s="151">
        <f t="shared" si="28"/>
        <v>0.11896444509473993</v>
      </c>
      <c r="P38" s="151">
        <f t="shared" si="28"/>
        <v>0.11271877774919294</v>
      </c>
      <c r="Q38" s="151">
        <f t="shared" si="28"/>
        <v>0.10707387817778534</v>
      </c>
      <c r="R38" s="151">
        <f t="shared" si="28"/>
        <v>0.11014758635472417</v>
      </c>
      <c r="S38" s="151">
        <f t="shared" si="28"/>
        <v>0.10406732840304318</v>
      </c>
      <c r="T38" s="151">
        <f t="shared" si="28"/>
        <v>0.10788611449059861</v>
      </c>
      <c r="U38" s="151">
        <f t="shared" si="28"/>
        <v>0.11472507617289424</v>
      </c>
      <c r="V38" s="151">
        <f t="shared" si="28"/>
        <v>0.10599979531379226</v>
      </c>
      <c r="W38" s="151">
        <f t="shared" si="28"/>
        <v>0.10791644822162744</v>
      </c>
      <c r="X38" s="151">
        <f t="shared" si="28"/>
        <v>0.10905157935750849</v>
      </c>
      <c r="Y38" s="151">
        <f t="shared" si="28"/>
        <v>0.1004413147804278</v>
      </c>
      <c r="Z38" s="152">
        <f t="shared" si="28"/>
        <v>0.10603601025888972</v>
      </c>
      <c r="AA38" s="66"/>
      <c r="AB38" s="66"/>
      <c r="AC38" s="66"/>
      <c r="AD38" s="66"/>
      <c r="AE38" s="66"/>
      <c r="AF38" s="66"/>
      <c r="AG38" s="66"/>
      <c r="AH38" s="66"/>
      <c r="AI38" s="66"/>
      <c r="AJ38" s="66"/>
    </row>
    <row r="39" spans="1:36" ht="14.25" customHeight="1">
      <c r="A39" s="145"/>
      <c r="B39" s="153" t="s">
        <v>52</v>
      </c>
      <c r="C39" s="154">
        <f t="shared" ref="C39:Z39" si="29">C15/C$10</f>
        <v>3.9313005233543831E-5</v>
      </c>
      <c r="D39" s="154">
        <f t="shared" si="29"/>
        <v>2.7050300032911198E-5</v>
      </c>
      <c r="E39" s="154">
        <f t="shared" si="29"/>
        <v>-1.9968894606478373E-4</v>
      </c>
      <c r="F39" s="154">
        <f t="shared" si="29"/>
        <v>3.4321146783917864E-5</v>
      </c>
      <c r="G39" s="154">
        <f t="shared" si="29"/>
        <v>-8.1226433646553871E-5</v>
      </c>
      <c r="H39" s="154">
        <f t="shared" si="29"/>
        <v>4.021416380257651E-4</v>
      </c>
      <c r="I39" s="154">
        <f t="shared" si="29"/>
        <v>1.1384055182918362E-3</v>
      </c>
      <c r="J39" s="154">
        <f t="shared" si="29"/>
        <v>3.6423113365589344E-3</v>
      </c>
      <c r="K39" s="154">
        <f t="shared" si="29"/>
        <v>5.2483281535317377E-3</v>
      </c>
      <c r="L39" s="154">
        <f t="shared" si="29"/>
        <v>2.8378279899004188E-3</v>
      </c>
      <c r="M39" s="154">
        <f t="shared" si="29"/>
        <v>-2.6887089587782507E-5</v>
      </c>
      <c r="N39" s="154">
        <f t="shared" si="29"/>
        <v>4.9694756858048963E-4</v>
      </c>
      <c r="O39" s="154">
        <f t="shared" si="29"/>
        <v>3.3607067086107248E-4</v>
      </c>
      <c r="P39" s="154">
        <f t="shared" si="29"/>
        <v>1.0829965393903684E-3</v>
      </c>
      <c r="Q39" s="154">
        <f t="shared" si="29"/>
        <v>4.9820849684354199E-4</v>
      </c>
      <c r="R39" s="154">
        <f t="shared" si="29"/>
        <v>4.8859216109041016E-5</v>
      </c>
      <c r="S39" s="154">
        <f t="shared" si="29"/>
        <v>-2.1893321571039005E-4</v>
      </c>
      <c r="T39" s="154">
        <f t="shared" si="29"/>
        <v>2.7357755762830796E-5</v>
      </c>
      <c r="U39" s="154">
        <f t="shared" si="29"/>
        <v>-1.2485060012457003E-3</v>
      </c>
      <c r="V39" s="154">
        <f t="shared" si="29"/>
        <v>-5.6841913096874629E-4</v>
      </c>
      <c r="W39" s="154">
        <f t="shared" si="29"/>
        <v>5.2150878838884136E-4</v>
      </c>
      <c r="X39" s="154">
        <f t="shared" si="29"/>
        <v>-1.4241760604065621E-4</v>
      </c>
      <c r="Y39" s="154">
        <f t="shared" si="29"/>
        <v>2.2427472447970672E-4</v>
      </c>
      <c r="Z39" s="155">
        <f t="shared" si="29"/>
        <v>0</v>
      </c>
      <c r="AA39" s="66"/>
      <c r="AB39" s="66"/>
      <c r="AC39" s="66"/>
      <c r="AD39" s="66"/>
      <c r="AE39" s="66"/>
      <c r="AF39" s="66"/>
      <c r="AG39" s="66"/>
      <c r="AH39" s="66"/>
      <c r="AI39" s="66"/>
      <c r="AJ39" s="66"/>
    </row>
    <row r="40" spans="1:36" ht="14.25" customHeight="1">
      <c r="A40" s="145"/>
      <c r="B40" s="66" t="s">
        <v>99</v>
      </c>
      <c r="C40" s="151">
        <f t="shared" ref="C40:Z40" si="30">C16/C$10</f>
        <v>0.3462247229661663</v>
      </c>
      <c r="D40" s="151">
        <f t="shared" si="30"/>
        <v>0.41170556650090839</v>
      </c>
      <c r="E40" s="151">
        <f t="shared" si="30"/>
        <v>0.40806704940381311</v>
      </c>
      <c r="F40" s="151">
        <f t="shared" si="30"/>
        <v>0.4192804550390859</v>
      </c>
      <c r="G40" s="151">
        <f t="shared" si="30"/>
        <v>0.407607496772318</v>
      </c>
      <c r="H40" s="151">
        <f t="shared" si="30"/>
        <v>0.3893151901989666</v>
      </c>
      <c r="I40" s="151">
        <f t="shared" si="30"/>
        <v>0.38894992999004402</v>
      </c>
      <c r="J40" s="151">
        <f t="shared" si="30"/>
        <v>0.39233709573406444</v>
      </c>
      <c r="K40" s="151">
        <f t="shared" si="30"/>
        <v>0.39031115088338802</v>
      </c>
      <c r="L40" s="151">
        <f t="shared" si="30"/>
        <v>0.36192595069381034</v>
      </c>
      <c r="M40" s="151">
        <f t="shared" si="30"/>
        <v>0.36584110498256178</v>
      </c>
      <c r="N40" s="151">
        <f t="shared" si="30"/>
        <v>0.3696772256521576</v>
      </c>
      <c r="O40" s="151">
        <f t="shared" si="30"/>
        <v>0.29384739190869846</v>
      </c>
      <c r="P40" s="151">
        <f t="shared" si="30"/>
        <v>0.31661258599656433</v>
      </c>
      <c r="Q40" s="151">
        <f t="shared" si="30"/>
        <v>0.3681760791673776</v>
      </c>
      <c r="R40" s="151">
        <f t="shared" si="30"/>
        <v>0.39164538926610343</v>
      </c>
      <c r="S40" s="151">
        <f t="shared" si="30"/>
        <v>0.4137882851411957</v>
      </c>
      <c r="T40" s="151">
        <f t="shared" si="30"/>
        <v>0.42193866713013911</v>
      </c>
      <c r="U40" s="151">
        <f t="shared" si="30"/>
        <v>0.4209788287049766</v>
      </c>
      <c r="V40" s="151">
        <f t="shared" si="30"/>
        <v>0.43458007518069081</v>
      </c>
      <c r="W40" s="151">
        <f t="shared" si="30"/>
        <v>0.41538588891035017</v>
      </c>
      <c r="X40" s="151">
        <f t="shared" si="30"/>
        <v>0.3914280723911378</v>
      </c>
      <c r="Y40" s="151">
        <f t="shared" si="30"/>
        <v>0.41238575252610521</v>
      </c>
      <c r="Z40" s="152">
        <f t="shared" si="30"/>
        <v>0.40213274920860931</v>
      </c>
      <c r="AA40" s="66"/>
      <c r="AB40" s="66"/>
      <c r="AC40" s="66"/>
      <c r="AD40" s="66"/>
      <c r="AE40" s="66"/>
      <c r="AF40" s="66"/>
      <c r="AG40" s="66"/>
      <c r="AH40" s="66"/>
      <c r="AI40" s="66"/>
      <c r="AJ40" s="66"/>
    </row>
    <row r="41" spans="1:36" ht="14.25" customHeight="1">
      <c r="A41" s="145"/>
      <c r="B41" s="66" t="s">
        <v>54</v>
      </c>
      <c r="C41" s="151">
        <f t="shared" ref="C41:Z41" si="31">C17/C$10</f>
        <v>0</v>
      </c>
      <c r="D41" s="151">
        <f t="shared" si="31"/>
        <v>0</v>
      </c>
      <c r="E41" s="151">
        <f t="shared" si="31"/>
        <v>0</v>
      </c>
      <c r="F41" s="151">
        <f t="shared" si="31"/>
        <v>0</v>
      </c>
      <c r="G41" s="151">
        <f t="shared" si="31"/>
        <v>0</v>
      </c>
      <c r="H41" s="151">
        <f t="shared" si="31"/>
        <v>0</v>
      </c>
      <c r="I41" s="151">
        <f t="shared" si="31"/>
        <v>0</v>
      </c>
      <c r="J41" s="151">
        <f t="shared" si="31"/>
        <v>0</v>
      </c>
      <c r="K41" s="151">
        <f t="shared" si="31"/>
        <v>0</v>
      </c>
      <c r="L41" s="151">
        <f t="shared" si="31"/>
        <v>0</v>
      </c>
      <c r="M41" s="151">
        <f t="shared" si="31"/>
        <v>0</v>
      </c>
      <c r="N41" s="151">
        <f t="shared" si="31"/>
        <v>0</v>
      </c>
      <c r="O41" s="151">
        <f t="shared" si="31"/>
        <v>0</v>
      </c>
      <c r="P41" s="151">
        <f t="shared" si="31"/>
        <v>0</v>
      </c>
      <c r="Q41" s="151">
        <f t="shared" si="31"/>
        <v>0</v>
      </c>
      <c r="R41" s="151">
        <f t="shared" si="31"/>
        <v>0</v>
      </c>
      <c r="S41" s="151">
        <f t="shared" si="31"/>
        <v>0</v>
      </c>
      <c r="T41" s="151">
        <f t="shared" si="31"/>
        <v>0</v>
      </c>
      <c r="U41" s="151">
        <f t="shared" si="31"/>
        <v>0</v>
      </c>
      <c r="V41" s="151">
        <f t="shared" si="31"/>
        <v>0</v>
      </c>
      <c r="W41" s="151">
        <f t="shared" si="31"/>
        <v>0</v>
      </c>
      <c r="X41" s="151">
        <f t="shared" si="31"/>
        <v>0</v>
      </c>
      <c r="Y41" s="151">
        <f t="shared" si="31"/>
        <v>0</v>
      </c>
      <c r="Z41" s="152">
        <f t="shared" si="31"/>
        <v>0</v>
      </c>
      <c r="AA41" s="66"/>
      <c r="AB41" s="66"/>
      <c r="AC41" s="66"/>
      <c r="AD41" s="66"/>
      <c r="AE41" s="66"/>
      <c r="AF41" s="66"/>
      <c r="AG41" s="66"/>
      <c r="AH41" s="66"/>
      <c r="AI41" s="66"/>
      <c r="AJ41" s="66"/>
    </row>
    <row r="42" spans="1:36" ht="14.25" customHeight="1">
      <c r="A42" s="145"/>
      <c r="B42" s="153" t="s">
        <v>101</v>
      </c>
      <c r="C42" s="154">
        <f t="shared" ref="C42:Z42" si="32">C18/C$10</f>
        <v>8.7962849210054296E-3</v>
      </c>
      <c r="D42" s="154">
        <f t="shared" si="32"/>
        <v>9.3999792614366424E-3</v>
      </c>
      <c r="E42" s="154">
        <f t="shared" si="32"/>
        <v>7.6304218428985644E-3</v>
      </c>
      <c r="F42" s="154">
        <f t="shared" si="32"/>
        <v>8.1608060130649203E-3</v>
      </c>
      <c r="G42" s="154">
        <f t="shared" si="32"/>
        <v>1.0559436374052003E-2</v>
      </c>
      <c r="H42" s="154">
        <f t="shared" si="32"/>
        <v>1.338289962825279E-2</v>
      </c>
      <c r="I42" s="154">
        <f t="shared" si="32"/>
        <v>9.7656947248588883E-3</v>
      </c>
      <c r="J42" s="154">
        <f t="shared" si="32"/>
        <v>1.0011852823241621E-2</v>
      </c>
      <c r="K42" s="154">
        <f t="shared" si="32"/>
        <v>1.2560514997238781E-2</v>
      </c>
      <c r="L42" s="154">
        <f t="shared" si="32"/>
        <v>1.3541840815854113E-2</v>
      </c>
      <c r="M42" s="154">
        <f t="shared" si="32"/>
        <v>1.4023537726427702E-2</v>
      </c>
      <c r="N42" s="154">
        <f t="shared" si="32"/>
        <v>1.366605813596347E-2</v>
      </c>
      <c r="O42" s="154">
        <f t="shared" si="32"/>
        <v>1.7905479552271564E-2</v>
      </c>
      <c r="P42" s="154">
        <f t="shared" si="32"/>
        <v>1.7597656412086406E-2</v>
      </c>
      <c r="Q42" s="154">
        <f t="shared" si="32"/>
        <v>1.5178297218904624E-2</v>
      </c>
      <c r="R42" s="154">
        <f t="shared" si="32"/>
        <v>1.4307869801221786E-2</v>
      </c>
      <c r="S42" s="154">
        <f t="shared" si="32"/>
        <v>1.1671072161031821E-2</v>
      </c>
      <c r="T42" s="154">
        <f t="shared" si="32"/>
        <v>1.7071239596006416E-2</v>
      </c>
      <c r="U42" s="154">
        <f t="shared" si="32"/>
        <v>1.4241385308591405E-2</v>
      </c>
      <c r="V42" s="154">
        <f t="shared" si="32"/>
        <v>1.1030926979578401E-2</v>
      </c>
      <c r="W42" s="154">
        <f t="shared" si="32"/>
        <v>1.248861786374548E-2</v>
      </c>
      <c r="X42" s="154">
        <f t="shared" si="32"/>
        <v>1.0004165043195528E-2</v>
      </c>
      <c r="Y42" s="154">
        <f t="shared" si="32"/>
        <v>6.8681119926688686E-3</v>
      </c>
      <c r="Z42" s="155">
        <f t="shared" si="32"/>
        <v>1.143550275061404E-2</v>
      </c>
      <c r="AA42" s="66"/>
      <c r="AB42" s="66"/>
      <c r="AC42" s="66"/>
      <c r="AD42" s="66"/>
      <c r="AE42" s="66"/>
      <c r="AF42" s="66"/>
      <c r="AG42" s="66"/>
      <c r="AH42" s="66"/>
      <c r="AI42" s="66"/>
      <c r="AJ42" s="66"/>
    </row>
    <row r="43" spans="1:36" ht="14.25" customHeight="1">
      <c r="A43" s="145"/>
      <c r="B43" s="66" t="s">
        <v>103</v>
      </c>
      <c r="C43" s="151">
        <f t="shared" ref="C43:Z43" si="33">C19/C$10</f>
        <v>0.35502100788717172</v>
      </c>
      <c r="D43" s="151">
        <f t="shared" si="33"/>
        <v>0.42110554576234505</v>
      </c>
      <c r="E43" s="151">
        <f t="shared" si="33"/>
        <v>0.41569747124671169</v>
      </c>
      <c r="F43" s="151">
        <f t="shared" si="33"/>
        <v>0.4274412610521508</v>
      </c>
      <c r="G43" s="151">
        <f t="shared" si="33"/>
        <v>0.41816693314636999</v>
      </c>
      <c r="H43" s="151">
        <f t="shared" si="33"/>
        <v>0.40269808982721939</v>
      </c>
      <c r="I43" s="151">
        <f t="shared" si="33"/>
        <v>0.39871562471490291</v>
      </c>
      <c r="J43" s="151">
        <f t="shared" si="33"/>
        <v>0.40234894855730602</v>
      </c>
      <c r="K43" s="151">
        <f t="shared" si="33"/>
        <v>0.40287166588062678</v>
      </c>
      <c r="L43" s="151">
        <f t="shared" si="33"/>
        <v>0.37546779150966447</v>
      </c>
      <c r="M43" s="151">
        <f t="shared" si="33"/>
        <v>0.37986464270898951</v>
      </c>
      <c r="N43" s="151">
        <f t="shared" si="33"/>
        <v>0.3833432837881211</v>
      </c>
      <c r="O43" s="151">
        <f t="shared" si="33"/>
        <v>0.31175287146097003</v>
      </c>
      <c r="P43" s="151">
        <f t="shared" si="33"/>
        <v>0.33421024240865072</v>
      </c>
      <c r="Q43" s="151">
        <f t="shared" si="33"/>
        <v>0.38335437638628223</v>
      </c>
      <c r="R43" s="151">
        <f t="shared" si="33"/>
        <v>0.40595325906732516</v>
      </c>
      <c r="S43" s="151">
        <f t="shared" si="33"/>
        <v>0.4254593573022275</v>
      </c>
      <c r="T43" s="151">
        <f t="shared" si="33"/>
        <v>0.43900990672614559</v>
      </c>
      <c r="U43" s="151">
        <f t="shared" si="33"/>
        <v>0.43522021401356797</v>
      </c>
      <c r="V43" s="151">
        <f t="shared" si="33"/>
        <v>0.44561100216026922</v>
      </c>
      <c r="W43" s="151">
        <f t="shared" si="33"/>
        <v>0.42787450677409566</v>
      </c>
      <c r="X43" s="151">
        <f t="shared" si="33"/>
        <v>0.40143223743433337</v>
      </c>
      <c r="Y43" s="151">
        <f t="shared" si="33"/>
        <v>0.41925386451877411</v>
      </c>
      <c r="Z43" s="152">
        <f t="shared" si="33"/>
        <v>0.41356825195922331</v>
      </c>
      <c r="AA43" s="66"/>
      <c r="AB43" s="66"/>
      <c r="AC43" s="157"/>
      <c r="AD43" s="66"/>
      <c r="AE43" s="66"/>
      <c r="AF43" s="66"/>
      <c r="AG43" s="66"/>
      <c r="AH43" s="66"/>
      <c r="AI43" s="66"/>
      <c r="AJ43" s="66"/>
    </row>
    <row r="44" spans="1:36" ht="13.5" customHeight="1">
      <c r="A44" s="145"/>
      <c r="B44" s="66" t="s">
        <v>104</v>
      </c>
      <c r="C44" s="154">
        <f t="shared" ref="C44:Z44" si="34">C20/C$10</f>
        <v>3.6659377380279613E-2</v>
      </c>
      <c r="D44" s="154">
        <f t="shared" si="34"/>
        <v>9.412602734785333E-2</v>
      </c>
      <c r="E44" s="154">
        <f t="shared" si="34"/>
        <v>4.4008371575046577E-2</v>
      </c>
      <c r="F44" s="154">
        <f t="shared" si="34"/>
        <v>4.5086546491806788E-2</v>
      </c>
      <c r="G44" s="154">
        <f t="shared" si="34"/>
        <v>4.3610044717289263E-2</v>
      </c>
      <c r="H44" s="154">
        <f t="shared" si="34"/>
        <v>9.2805873138341419E-2</v>
      </c>
      <c r="I44" s="154">
        <f t="shared" si="34"/>
        <v>4.1922675689290659E-2</v>
      </c>
      <c r="J44" s="154">
        <f t="shared" si="34"/>
        <v>4.4561571633924268E-2</v>
      </c>
      <c r="K44" s="154">
        <f t="shared" si="34"/>
        <v>4.0938571987149258E-2</v>
      </c>
      <c r="L44" s="154">
        <f t="shared" si="34"/>
        <v>6.5561542715312712E-2</v>
      </c>
      <c r="M44" s="154">
        <f t="shared" si="34"/>
        <v>3.7634243397298997E-2</v>
      </c>
      <c r="N44" s="154">
        <f t="shared" si="34"/>
        <v>3.843751401978817E-2</v>
      </c>
      <c r="O44" s="154">
        <f t="shared" si="34"/>
        <v>3.1064818201770428E-2</v>
      </c>
      <c r="P44" s="154">
        <f t="shared" si="34"/>
        <v>5.7133254217877329E-2</v>
      </c>
      <c r="Q44" s="154">
        <f t="shared" si="34"/>
        <v>3.833475516123528E-2</v>
      </c>
      <c r="R44" s="154">
        <f t="shared" si="34"/>
        <v>4.004564396446831E-2</v>
      </c>
      <c r="S44" s="154">
        <f t="shared" si="34"/>
        <v>4.8564538614345926E-2</v>
      </c>
      <c r="T44" s="154">
        <f t="shared" si="34"/>
        <v>4.9906983630406382E-2</v>
      </c>
      <c r="U44" s="154">
        <f t="shared" si="34"/>
        <v>4.978593031933698E-2</v>
      </c>
      <c r="V44" s="154">
        <f t="shared" si="34"/>
        <v>5.0574089492129257E-2</v>
      </c>
      <c r="W44" s="154">
        <f t="shared" si="34"/>
        <v>4.2286360751634881E-2</v>
      </c>
      <c r="X44" s="154">
        <f t="shared" si="34"/>
        <v>4.0062341291700818E-2</v>
      </c>
      <c r="Y44" s="154">
        <f t="shared" si="34"/>
        <v>4.1895965466515542E-2</v>
      </c>
      <c r="Z44" s="155">
        <f t="shared" si="34"/>
        <v>4.3741073120423364E-2</v>
      </c>
      <c r="AA44" s="66"/>
      <c r="AB44" s="66"/>
      <c r="AC44" s="66"/>
      <c r="AD44" s="66"/>
      <c r="AE44" s="66"/>
      <c r="AF44" s="66"/>
      <c r="AG44" s="66"/>
      <c r="AH44" s="66"/>
      <c r="AI44" s="66"/>
      <c r="AJ44" s="66"/>
    </row>
    <row r="45" spans="1:36" ht="13.5" customHeight="1">
      <c r="A45" s="145"/>
      <c r="B45" s="158" t="s">
        <v>106</v>
      </c>
      <c r="C45" s="159">
        <f t="shared" ref="C45:Z45" si="35">C21/C$10</f>
        <v>0</v>
      </c>
      <c r="D45" s="159">
        <f t="shared" si="35"/>
        <v>0</v>
      </c>
      <c r="E45" s="159">
        <f t="shared" si="35"/>
        <v>0</v>
      </c>
      <c r="F45" s="159">
        <f t="shared" si="35"/>
        <v>0</v>
      </c>
      <c r="G45" s="159">
        <f t="shared" si="35"/>
        <v>0</v>
      </c>
      <c r="H45" s="159">
        <f t="shared" si="35"/>
        <v>0</v>
      </c>
      <c r="I45" s="159">
        <f t="shared" si="35"/>
        <v>0</v>
      </c>
      <c r="J45" s="159">
        <f t="shared" si="35"/>
        <v>0</v>
      </c>
      <c r="K45" s="159">
        <f t="shared" si="35"/>
        <v>0</v>
      </c>
      <c r="L45" s="159">
        <f t="shared" si="35"/>
        <v>0</v>
      </c>
      <c r="M45" s="159">
        <f t="shared" si="35"/>
        <v>0</v>
      </c>
      <c r="N45" s="159">
        <f t="shared" si="35"/>
        <v>0</v>
      </c>
      <c r="O45" s="159">
        <f t="shared" si="35"/>
        <v>0</v>
      </c>
      <c r="P45" s="159">
        <f t="shared" si="35"/>
        <v>0</v>
      </c>
      <c r="Q45" s="159">
        <f t="shared" si="35"/>
        <v>0</v>
      </c>
      <c r="R45" s="159">
        <f t="shared" si="35"/>
        <v>0</v>
      </c>
      <c r="S45" s="159">
        <f t="shared" si="35"/>
        <v>0</v>
      </c>
      <c r="T45" s="159">
        <f t="shared" si="35"/>
        <v>0</v>
      </c>
      <c r="U45" s="159">
        <f t="shared" si="35"/>
        <v>0</v>
      </c>
      <c r="V45" s="159">
        <f t="shared" si="35"/>
        <v>0</v>
      </c>
      <c r="W45" s="159">
        <f t="shared" si="35"/>
        <v>0</v>
      </c>
      <c r="X45" s="159">
        <f t="shared" si="35"/>
        <v>0</v>
      </c>
      <c r="Y45" s="159">
        <f t="shared" si="35"/>
        <v>0</v>
      </c>
      <c r="Z45" s="160">
        <f t="shared" si="35"/>
        <v>0</v>
      </c>
      <c r="AA45" s="66"/>
      <c r="AB45" s="66"/>
      <c r="AC45" s="66"/>
      <c r="AD45" s="66"/>
      <c r="AE45" s="66"/>
      <c r="AF45" s="66"/>
      <c r="AG45" s="66"/>
      <c r="AH45" s="66"/>
      <c r="AI45" s="66"/>
      <c r="AJ45" s="66"/>
    </row>
    <row r="46" spans="1:36" ht="14.25" customHeight="1">
      <c r="A46" s="145"/>
      <c r="B46" s="66" t="s">
        <v>59</v>
      </c>
      <c r="C46" s="151">
        <f t="shared" ref="C46:Z46" si="36">C22/C$10</f>
        <v>0.31836163050689209</v>
      </c>
      <c r="D46" s="151">
        <f t="shared" si="36"/>
        <v>0.32697951841449174</v>
      </c>
      <c r="E46" s="151">
        <f t="shared" si="36"/>
        <v>0.37168909967166514</v>
      </c>
      <c r="F46" s="151">
        <f t="shared" si="36"/>
        <v>0.38235471456034398</v>
      </c>
      <c r="G46" s="151">
        <f t="shared" si="36"/>
        <v>0.37455688842908075</v>
      </c>
      <c r="H46" s="151">
        <f t="shared" si="36"/>
        <v>0.30989221668887795</v>
      </c>
      <c r="I46" s="151">
        <f t="shared" si="36"/>
        <v>0.35679294902561226</v>
      </c>
      <c r="J46" s="151">
        <f t="shared" si="36"/>
        <v>0.35778737692338181</v>
      </c>
      <c r="K46" s="151">
        <f t="shared" si="36"/>
        <v>0.36193309389347755</v>
      </c>
      <c r="L46" s="151">
        <f t="shared" si="36"/>
        <v>0.30990624879435175</v>
      </c>
      <c r="M46" s="151">
        <f t="shared" si="36"/>
        <v>0.34223039931169047</v>
      </c>
      <c r="N46" s="151">
        <f t="shared" si="36"/>
        <v>0.34490576976833293</v>
      </c>
      <c r="O46" s="151">
        <f t="shared" si="36"/>
        <v>0.2806880532591996</v>
      </c>
      <c r="P46" s="151">
        <f t="shared" si="36"/>
        <v>0.27707698819077337</v>
      </c>
      <c r="Q46" s="151">
        <f t="shared" si="36"/>
        <v>0.34501962122504698</v>
      </c>
      <c r="R46" s="151">
        <f t="shared" si="36"/>
        <v>0.36590761510285685</v>
      </c>
      <c r="S46" s="151">
        <f t="shared" si="36"/>
        <v>0.37689481868788155</v>
      </c>
      <c r="T46" s="151">
        <f t="shared" si="36"/>
        <v>0.38910292309573918</v>
      </c>
      <c r="U46" s="151">
        <f t="shared" si="36"/>
        <v>0.38543428369423105</v>
      </c>
      <c r="V46" s="151">
        <f t="shared" si="36"/>
        <v>0.39503691266813995</v>
      </c>
      <c r="W46" s="151">
        <f t="shared" si="36"/>
        <v>0.38558814602246078</v>
      </c>
      <c r="X46" s="151">
        <f t="shared" si="36"/>
        <v>0.36136989614263254</v>
      </c>
      <c r="Y46" s="151">
        <f t="shared" si="36"/>
        <v>0.37735789905225858</v>
      </c>
      <c r="Z46" s="152">
        <f t="shared" si="36"/>
        <v>0.36982717883879995</v>
      </c>
      <c r="AA46" s="66"/>
      <c r="AB46" s="66"/>
      <c r="AC46" s="66"/>
      <c r="AD46" s="66"/>
      <c r="AE46" s="66"/>
      <c r="AF46" s="66"/>
      <c r="AG46" s="66"/>
      <c r="AH46" s="66"/>
      <c r="AI46" s="66"/>
      <c r="AJ46" s="66"/>
    </row>
    <row r="47" spans="1:36" ht="14.25" customHeight="1">
      <c r="A47" s="145"/>
      <c r="B47" s="145"/>
      <c r="C47" s="145"/>
      <c r="D47" s="145"/>
      <c r="E47" s="145"/>
      <c r="F47" s="145"/>
      <c r="G47" s="161"/>
      <c r="H47" s="162"/>
      <c r="I47" s="162"/>
      <c r="J47" s="162"/>
      <c r="K47" s="162"/>
      <c r="L47" s="162"/>
      <c r="M47" s="162"/>
      <c r="N47" s="162"/>
      <c r="O47" s="162"/>
      <c r="P47" s="162"/>
      <c r="Q47" s="162"/>
      <c r="R47" s="162"/>
      <c r="S47" s="162"/>
      <c r="T47" s="162"/>
      <c r="U47" s="162"/>
      <c r="V47" s="162"/>
      <c r="W47" s="145"/>
      <c r="X47" s="163"/>
      <c r="Y47" s="145"/>
      <c r="Z47" s="148"/>
      <c r="AA47" s="66"/>
      <c r="AB47" s="66"/>
      <c r="AC47" s="66"/>
      <c r="AD47" s="66"/>
      <c r="AE47" s="66"/>
      <c r="AF47" s="66"/>
      <c r="AG47" s="66"/>
      <c r="AH47" s="66"/>
      <c r="AI47" s="66"/>
      <c r="AJ47" s="66"/>
    </row>
    <row r="48" spans="1:36" ht="14.25" customHeight="1">
      <c r="A48" s="66"/>
      <c r="B48" s="66"/>
      <c r="C48" s="66"/>
      <c r="D48" s="66"/>
      <c r="E48" s="66"/>
      <c r="F48" s="66"/>
      <c r="G48" s="71"/>
      <c r="H48" s="72"/>
      <c r="I48" s="72"/>
      <c r="J48" s="72"/>
      <c r="K48" s="72"/>
      <c r="L48" s="72"/>
      <c r="M48" s="72"/>
      <c r="N48" s="72"/>
      <c r="O48" s="72"/>
      <c r="P48" s="72"/>
      <c r="Q48" s="72"/>
      <c r="R48" s="72"/>
      <c r="S48" s="72"/>
      <c r="T48" s="72"/>
      <c r="U48" s="72"/>
      <c r="V48" s="72"/>
      <c r="W48" s="66"/>
      <c r="X48" s="66"/>
      <c r="Y48" s="66"/>
      <c r="Z48" s="66"/>
      <c r="AA48" s="66"/>
      <c r="AB48" s="66"/>
      <c r="AC48" s="66"/>
      <c r="AD48" s="66"/>
      <c r="AE48" s="66"/>
      <c r="AF48" s="66"/>
      <c r="AG48" s="66"/>
      <c r="AH48" s="66"/>
      <c r="AI48" s="66"/>
      <c r="AJ48" s="66"/>
    </row>
    <row r="49" spans="1:36" ht="14.25" customHeight="1">
      <c r="A49" s="66"/>
      <c r="B49" s="66"/>
      <c r="C49" s="66"/>
      <c r="D49" s="66"/>
      <c r="E49" s="66"/>
      <c r="F49" s="66"/>
      <c r="G49" s="71"/>
      <c r="H49" s="72"/>
      <c r="I49" s="72"/>
      <c r="J49" s="72"/>
      <c r="K49" s="72"/>
      <c r="L49" s="72"/>
      <c r="M49" s="72"/>
      <c r="N49" s="72"/>
      <c r="O49" s="72"/>
      <c r="P49" s="72"/>
      <c r="Q49" s="72"/>
      <c r="R49" s="72"/>
      <c r="S49" s="72"/>
      <c r="T49" s="72"/>
      <c r="U49" s="72"/>
      <c r="V49" s="72"/>
      <c r="W49" s="66"/>
      <c r="X49" s="66"/>
      <c r="Y49" s="66"/>
      <c r="Z49" s="66"/>
      <c r="AA49" s="66"/>
      <c r="AB49" s="66"/>
      <c r="AC49" s="66"/>
      <c r="AD49" s="66"/>
      <c r="AE49" s="66"/>
      <c r="AF49" s="66"/>
      <c r="AG49" s="66"/>
      <c r="AH49" s="66"/>
      <c r="AI49" s="66"/>
      <c r="AJ49" s="66"/>
    </row>
    <row r="50" spans="1:36" ht="30.75" customHeight="1">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c r="AI50" s="66"/>
      <c r="AJ50" s="66"/>
    </row>
    <row r="51" spans="1:36" ht="25.5" customHeight="1">
      <c r="A51" s="145"/>
      <c r="B51" s="164" t="s">
        <v>113</v>
      </c>
      <c r="C51" s="165"/>
      <c r="D51" s="165"/>
      <c r="E51" s="165"/>
      <c r="F51" s="165"/>
      <c r="G51" s="165"/>
      <c r="H51" s="145"/>
      <c r="I51" s="145"/>
      <c r="J51" s="145"/>
      <c r="K51" s="145"/>
      <c r="L51" s="145"/>
      <c r="M51" s="145"/>
      <c r="N51" s="145"/>
      <c r="O51" s="145"/>
      <c r="P51" s="145"/>
      <c r="Q51" s="145"/>
      <c r="R51" s="145"/>
      <c r="S51" s="145"/>
      <c r="T51" s="145"/>
      <c r="U51" s="145"/>
      <c r="V51" s="145"/>
      <c r="W51" s="145"/>
      <c r="X51" s="145"/>
      <c r="Y51" s="145"/>
      <c r="Z51" s="145"/>
      <c r="AA51" s="66"/>
      <c r="AB51" s="66"/>
      <c r="AC51" s="66"/>
      <c r="AD51" s="66"/>
      <c r="AE51" s="66"/>
      <c r="AF51" s="66"/>
      <c r="AG51" s="66"/>
      <c r="AH51" s="66"/>
      <c r="AI51" s="66"/>
      <c r="AJ51" s="66"/>
    </row>
    <row r="52" spans="1:36" ht="15.75" customHeight="1">
      <c r="A52" s="145"/>
      <c r="B52" s="166" t="s">
        <v>114</v>
      </c>
      <c r="C52" s="164"/>
      <c r="D52" s="164"/>
      <c r="E52" s="164"/>
      <c r="F52" s="164"/>
      <c r="G52" s="164"/>
      <c r="H52" s="146"/>
      <c r="I52" s="146"/>
      <c r="J52" s="146"/>
      <c r="K52" s="146"/>
      <c r="L52" s="146"/>
      <c r="M52" s="146"/>
      <c r="N52" s="146"/>
      <c r="O52" s="146"/>
      <c r="P52" s="146"/>
      <c r="Q52" s="146"/>
      <c r="R52" s="146"/>
      <c r="S52" s="146"/>
      <c r="T52" s="146"/>
      <c r="U52" s="146"/>
      <c r="V52" s="146"/>
      <c r="W52" s="146"/>
      <c r="X52" s="146"/>
      <c r="Y52" s="146"/>
      <c r="Z52" s="146"/>
      <c r="AA52" s="66"/>
      <c r="AB52" s="66"/>
      <c r="AC52" s="66"/>
      <c r="AD52" s="66"/>
      <c r="AE52" s="66"/>
      <c r="AF52" s="66"/>
      <c r="AG52" s="66"/>
      <c r="AH52" s="66"/>
      <c r="AI52" s="66"/>
      <c r="AJ52" s="66"/>
    </row>
    <row r="53" spans="1:36" ht="10.5" customHeight="1">
      <c r="A53" s="145"/>
      <c r="B53" s="145"/>
      <c r="C53" s="145"/>
      <c r="D53" s="145"/>
      <c r="E53" s="145"/>
      <c r="F53" s="145"/>
      <c r="G53" s="145"/>
      <c r="H53" s="145"/>
      <c r="I53" s="145"/>
      <c r="J53" s="145"/>
      <c r="K53" s="145"/>
      <c r="L53" s="145"/>
      <c r="M53" s="145"/>
      <c r="N53" s="145"/>
      <c r="O53" s="145"/>
      <c r="P53" s="145"/>
      <c r="Q53" s="145"/>
      <c r="R53" s="145"/>
      <c r="S53" s="145"/>
      <c r="T53" s="145"/>
      <c r="U53" s="145"/>
      <c r="V53" s="145"/>
      <c r="W53" s="145"/>
      <c r="X53" s="145"/>
      <c r="Y53" s="145"/>
      <c r="Z53" s="145"/>
      <c r="AA53" s="66"/>
      <c r="AB53" s="66"/>
      <c r="AC53" s="66"/>
      <c r="AD53" s="66"/>
      <c r="AE53" s="66"/>
      <c r="AF53" s="66"/>
      <c r="AG53" s="66"/>
      <c r="AH53" s="66"/>
      <c r="AI53" s="66"/>
      <c r="AJ53" s="66"/>
    </row>
    <row r="54" spans="1:36" ht="25.5" customHeight="1">
      <c r="A54" s="167"/>
      <c r="B54" s="168"/>
      <c r="C54" s="648" t="s">
        <v>87</v>
      </c>
      <c r="D54" s="649"/>
      <c r="E54" s="649"/>
      <c r="F54" s="649"/>
      <c r="G54" s="649"/>
      <c r="H54" s="650"/>
      <c r="I54" s="648" t="s">
        <v>88</v>
      </c>
      <c r="J54" s="649"/>
      <c r="K54" s="649"/>
      <c r="L54" s="649"/>
      <c r="M54" s="649"/>
      <c r="N54" s="650"/>
      <c r="O54" s="648" t="s">
        <v>89</v>
      </c>
      <c r="P54" s="649"/>
      <c r="Q54" s="649"/>
      <c r="R54" s="649"/>
      <c r="S54" s="649"/>
      <c r="T54" s="650"/>
      <c r="U54" s="648" t="s">
        <v>90</v>
      </c>
      <c r="V54" s="649"/>
      <c r="W54" s="649"/>
      <c r="X54" s="649"/>
      <c r="Y54" s="649"/>
      <c r="Z54" s="650"/>
      <c r="AA54" s="168"/>
      <c r="AB54" s="168"/>
      <c r="AC54" s="168"/>
      <c r="AD54" s="168"/>
      <c r="AE54" s="168"/>
      <c r="AF54" s="168"/>
      <c r="AG54" s="168"/>
      <c r="AH54" s="168"/>
      <c r="AI54" s="168"/>
      <c r="AJ54" s="168"/>
    </row>
    <row r="55" spans="1:36" ht="14.25" customHeight="1">
      <c r="A55" s="145"/>
      <c r="B55" s="66"/>
      <c r="C55" s="78">
        <v>2016</v>
      </c>
      <c r="D55" s="67">
        <v>2017</v>
      </c>
      <c r="E55" s="67">
        <v>2018</v>
      </c>
      <c r="F55" s="67">
        <v>2019</v>
      </c>
      <c r="G55" s="67">
        <v>2020</v>
      </c>
      <c r="H55" s="82">
        <v>2021</v>
      </c>
      <c r="I55" s="78">
        <v>2016</v>
      </c>
      <c r="J55" s="67">
        <v>2017</v>
      </c>
      <c r="K55" s="67">
        <v>2018</v>
      </c>
      <c r="L55" s="67">
        <v>2019</v>
      </c>
      <c r="M55" s="67">
        <v>2020</v>
      </c>
      <c r="N55" s="82">
        <v>2021</v>
      </c>
      <c r="O55" s="78">
        <v>2016</v>
      </c>
      <c r="P55" s="67">
        <v>2017</v>
      </c>
      <c r="Q55" s="67">
        <v>2018</v>
      </c>
      <c r="R55" s="67">
        <v>2019</v>
      </c>
      <c r="S55" s="67">
        <v>2020</v>
      </c>
      <c r="T55" s="82">
        <v>2021</v>
      </c>
      <c r="U55" s="78">
        <v>2016</v>
      </c>
      <c r="V55" s="67">
        <v>2017</v>
      </c>
      <c r="W55" s="67">
        <v>2018</v>
      </c>
      <c r="X55" s="67">
        <v>2019</v>
      </c>
      <c r="Y55" s="67">
        <v>2020</v>
      </c>
      <c r="Z55" s="82">
        <v>2021</v>
      </c>
      <c r="AA55" s="66"/>
      <c r="AB55" s="66"/>
      <c r="AC55" s="66"/>
      <c r="AD55" s="66"/>
      <c r="AE55" s="66"/>
      <c r="AF55" s="66"/>
      <c r="AG55" s="66"/>
      <c r="AH55" s="66"/>
      <c r="AI55" s="66"/>
      <c r="AJ55" s="66"/>
    </row>
    <row r="56" spans="1:36" ht="14.25" customHeight="1">
      <c r="A56" s="145"/>
      <c r="B56" s="66" t="s">
        <v>91</v>
      </c>
      <c r="C56" s="169"/>
      <c r="D56" s="86">
        <f t="shared" ref="D56:H56" si="37">(D57-C57)/C57</f>
        <v>0.14948278827489606</v>
      </c>
      <c r="E56" s="86">
        <f t="shared" si="37"/>
        <v>6.0556443821233728E-2</v>
      </c>
      <c r="F56" s="86">
        <f t="shared" si="37"/>
        <v>-0.11840986137480408</v>
      </c>
      <c r="G56" s="86">
        <f t="shared" si="37"/>
        <v>0.42017064159777578</v>
      </c>
      <c r="H56" s="170">
        <f t="shared" si="37"/>
        <v>0.1668174515529772</v>
      </c>
      <c r="I56" s="169"/>
      <c r="J56" s="86">
        <f t="shared" ref="J56:N56" si="38">(J57-I57)/I57</f>
        <v>-3.5859681076962621E-2</v>
      </c>
      <c r="K56" s="86">
        <f t="shared" si="38"/>
        <v>9.0818545276004775E-2</v>
      </c>
      <c r="L56" s="86">
        <f t="shared" si="38"/>
        <v>3.3097990800636169E-2</v>
      </c>
      <c r="M56" s="86">
        <f t="shared" si="38"/>
        <v>0.28921401837359634</v>
      </c>
      <c r="N56" s="170">
        <f t="shared" si="38"/>
        <v>0.19777082568925458</v>
      </c>
      <c r="O56" s="169"/>
      <c r="P56" s="86">
        <f t="shared" ref="P56:T56" si="39">(P57-O57)/O57</f>
        <v>-3.1865747585491551E-2</v>
      </c>
      <c r="Q56" s="86">
        <f t="shared" si="39"/>
        <v>3.2688501310951239E-2</v>
      </c>
      <c r="R56" s="86">
        <f t="shared" si="39"/>
        <v>0.12560880052852344</v>
      </c>
      <c r="S56" s="86">
        <f t="shared" si="39"/>
        <v>0.21626343627367325</v>
      </c>
      <c r="T56" s="170">
        <f t="shared" si="39"/>
        <v>0.16341119895854972</v>
      </c>
      <c r="U56" s="169"/>
      <c r="V56" s="86">
        <f t="shared" ref="V56:Z56" si="40">(V57-U57)/U57</f>
        <v>5.8506114884318859E-2</v>
      </c>
      <c r="W56" s="86">
        <f t="shared" si="40"/>
        <v>4.3945513039906965E-2</v>
      </c>
      <c r="X56" s="86">
        <f t="shared" si="40"/>
        <v>9.4796199731510433E-2</v>
      </c>
      <c r="Y56" s="86">
        <f t="shared" si="40"/>
        <v>0.13961442197971208</v>
      </c>
      <c r="Z56" s="170">
        <f t="shared" si="40"/>
        <v>0.21580896691551724</v>
      </c>
      <c r="AA56" s="66"/>
      <c r="AB56" s="66"/>
      <c r="AC56" s="66"/>
      <c r="AD56" s="66"/>
      <c r="AE56" s="66"/>
      <c r="AF56" s="86"/>
      <c r="AG56" s="66"/>
      <c r="AH56" s="66"/>
      <c r="AI56" s="66"/>
      <c r="AJ56" s="66"/>
    </row>
    <row r="57" spans="1:36" ht="14.25" customHeight="1">
      <c r="A57" s="145"/>
      <c r="B57" s="66" t="s">
        <v>48</v>
      </c>
      <c r="C57" s="107">
        <f t="shared" ref="C57:L67" si="41">VLOOKUP($B57,$B$10:$Z$28,C$74,FALSE)</f>
        <v>7325.82</v>
      </c>
      <c r="D57" s="71">
        <f t="shared" si="41"/>
        <v>8420.9039999999986</v>
      </c>
      <c r="E57" s="71">
        <f t="shared" si="41"/>
        <v>8930.844000000001</v>
      </c>
      <c r="F57" s="71">
        <f t="shared" si="41"/>
        <v>7873.3440000000001</v>
      </c>
      <c r="G57" s="71">
        <f t="shared" si="41"/>
        <v>11181.491999999998</v>
      </c>
      <c r="H57" s="108">
        <f t="shared" si="41"/>
        <v>13046.76</v>
      </c>
      <c r="I57" s="107">
        <f t="shared" si="41"/>
        <v>7985.1239999999998</v>
      </c>
      <c r="J57" s="71">
        <f t="shared" si="41"/>
        <v>7698.78</v>
      </c>
      <c r="K57" s="71">
        <f t="shared" si="41"/>
        <v>8397.9719999999998</v>
      </c>
      <c r="L57" s="71">
        <f t="shared" si="41"/>
        <v>8675.9279999999999</v>
      </c>
      <c r="M57" s="71">
        <f t="shared" ref="M57:Z67" si="42">VLOOKUP($B57,$B$10:$Z$28,M$74,FALSE)</f>
        <v>11185.127999999999</v>
      </c>
      <c r="N57" s="108">
        <f t="shared" si="42"/>
        <v>13397.22</v>
      </c>
      <c r="O57" s="107">
        <f t="shared" si="42"/>
        <v>9374.5799999999981</v>
      </c>
      <c r="P57" s="71">
        <f t="shared" si="42"/>
        <v>9075.8520000000008</v>
      </c>
      <c r="Q57" s="71">
        <f t="shared" si="42"/>
        <v>9372.5280000000002</v>
      </c>
      <c r="R57" s="71">
        <f t="shared" si="42"/>
        <v>10549.800000000001</v>
      </c>
      <c r="S57" s="71">
        <f t="shared" si="42"/>
        <v>12831.335999999999</v>
      </c>
      <c r="T57" s="108">
        <f t="shared" si="42"/>
        <v>14928.12</v>
      </c>
      <c r="U57" s="107">
        <f t="shared" si="42"/>
        <v>9440.2439999999988</v>
      </c>
      <c r="V57" s="71">
        <f t="shared" si="42"/>
        <v>9992.5560000000005</v>
      </c>
      <c r="W57" s="71">
        <f t="shared" si="42"/>
        <v>10431.684000000001</v>
      </c>
      <c r="X57" s="71">
        <f t="shared" si="42"/>
        <v>11420.568000000003</v>
      </c>
      <c r="Y57" s="71">
        <f t="shared" si="42"/>
        <v>13015.044</v>
      </c>
      <c r="Z57" s="108">
        <f t="shared" si="42"/>
        <v>15823.807200000001</v>
      </c>
      <c r="AA57" s="71"/>
      <c r="AB57" s="71"/>
      <c r="AC57" s="71"/>
      <c r="AD57" s="71"/>
      <c r="AE57" s="71"/>
      <c r="AF57" s="66"/>
      <c r="AG57" s="66"/>
      <c r="AH57" s="66"/>
      <c r="AI57" s="66"/>
      <c r="AJ57" s="66"/>
    </row>
    <row r="58" spans="1:36" ht="14.25" customHeight="1">
      <c r="A58" s="145"/>
      <c r="B58" s="153" t="s">
        <v>93</v>
      </c>
      <c r="C58" s="107">
        <f t="shared" si="41"/>
        <v>4036.4639999999999</v>
      </c>
      <c r="D58" s="103">
        <f t="shared" si="41"/>
        <v>4047.4079999999999</v>
      </c>
      <c r="E58" s="103">
        <f t="shared" si="41"/>
        <v>4431.7439999999997</v>
      </c>
      <c r="F58" s="103">
        <f t="shared" si="41"/>
        <v>4620.6828000000005</v>
      </c>
      <c r="G58" s="103">
        <f t="shared" si="41"/>
        <v>5393.268</v>
      </c>
      <c r="H58" s="171">
        <f t="shared" si="41"/>
        <v>6214.86</v>
      </c>
      <c r="I58" s="107">
        <f t="shared" si="41"/>
        <v>3868.884</v>
      </c>
      <c r="J58" s="103">
        <f t="shared" si="41"/>
        <v>3783.672</v>
      </c>
      <c r="K58" s="103">
        <f t="shared" si="41"/>
        <v>4380.8040000000001</v>
      </c>
      <c r="L58" s="103">
        <f t="shared" si="41"/>
        <v>4943.7</v>
      </c>
      <c r="M58" s="103">
        <f t="shared" si="42"/>
        <v>5256.18</v>
      </c>
      <c r="N58" s="171">
        <f t="shared" si="42"/>
        <v>6692.76</v>
      </c>
      <c r="O58" s="107">
        <f t="shared" si="42"/>
        <v>4621.1760000000004</v>
      </c>
      <c r="P58" s="103">
        <f t="shared" si="42"/>
        <v>4544.28</v>
      </c>
      <c r="Q58" s="103">
        <f t="shared" si="42"/>
        <v>4930.8120000000008</v>
      </c>
      <c r="R58" s="103">
        <f t="shared" si="42"/>
        <v>5530.0680000000002</v>
      </c>
      <c r="S58" s="103">
        <f t="shared" si="42"/>
        <v>5974.0199999999995</v>
      </c>
      <c r="T58" s="171">
        <f t="shared" si="42"/>
        <v>7265.5559999999996</v>
      </c>
      <c r="U58" s="107">
        <f t="shared" si="42"/>
        <v>4504.2479999999996</v>
      </c>
      <c r="V58" s="103">
        <f t="shared" si="42"/>
        <v>4998.8159999999998</v>
      </c>
      <c r="W58" s="103">
        <f t="shared" si="42"/>
        <v>5462.1719999999987</v>
      </c>
      <c r="X58" s="103">
        <f t="shared" si="42"/>
        <v>5687.8451999999979</v>
      </c>
      <c r="Y58" s="103">
        <f t="shared" si="42"/>
        <v>5988.4920000000011</v>
      </c>
      <c r="Z58" s="171">
        <f t="shared" si="42"/>
        <v>7782.6427251231216</v>
      </c>
      <c r="AA58" s="71"/>
      <c r="AB58" s="71"/>
      <c r="AC58" s="71"/>
      <c r="AD58" s="71"/>
      <c r="AE58" s="71"/>
      <c r="AF58" s="71"/>
      <c r="AG58" s="66"/>
      <c r="AH58" s="66"/>
      <c r="AI58" s="66"/>
      <c r="AJ58" s="66"/>
    </row>
    <row r="59" spans="1:36" ht="14.25" customHeight="1">
      <c r="A59" s="145"/>
      <c r="B59" s="66" t="s">
        <v>50</v>
      </c>
      <c r="C59" s="120">
        <f t="shared" si="41"/>
        <v>3288.2759999999998</v>
      </c>
      <c r="D59" s="121">
        <f t="shared" si="41"/>
        <v>4373.355599999999</v>
      </c>
      <c r="E59" s="121">
        <f t="shared" si="41"/>
        <v>4494.8880000000008</v>
      </c>
      <c r="F59" s="121">
        <f t="shared" si="41"/>
        <v>3252.8555999999994</v>
      </c>
      <c r="G59" s="121">
        <f t="shared" si="41"/>
        <v>5787.9503999999979</v>
      </c>
      <c r="H59" s="108">
        <f t="shared" si="41"/>
        <v>6834.2040000000006</v>
      </c>
      <c r="I59" s="120">
        <f t="shared" si="41"/>
        <v>4115.9879999999994</v>
      </c>
      <c r="J59" s="121">
        <f t="shared" si="41"/>
        <v>3913.5239999999999</v>
      </c>
      <c r="K59" s="121">
        <f t="shared" si="41"/>
        <v>4015.1159999999995</v>
      </c>
      <c r="L59" s="121">
        <f t="shared" si="41"/>
        <v>3734.2440000000001</v>
      </c>
      <c r="M59" s="121">
        <f t="shared" si="42"/>
        <v>5926.4639999999981</v>
      </c>
      <c r="N59" s="108">
        <f t="shared" si="42"/>
        <v>6703.1279999999988</v>
      </c>
      <c r="O59" s="120">
        <f t="shared" si="42"/>
        <v>4753.8251999999975</v>
      </c>
      <c r="P59" s="121">
        <f t="shared" si="42"/>
        <v>4531.6800000000012</v>
      </c>
      <c r="Q59" s="121">
        <f t="shared" si="42"/>
        <v>4441.2119999999995</v>
      </c>
      <c r="R59" s="121">
        <f t="shared" si="42"/>
        <v>5019.0480000000007</v>
      </c>
      <c r="S59" s="121">
        <f t="shared" si="42"/>
        <v>6857.7767999999996</v>
      </c>
      <c r="T59" s="108">
        <f t="shared" si="42"/>
        <v>7658.8920000000016</v>
      </c>
      <c r="U59" s="120">
        <f t="shared" si="42"/>
        <v>4936.8777999999993</v>
      </c>
      <c r="V59" s="121">
        <f t="shared" si="42"/>
        <v>4995.1944000000003</v>
      </c>
      <c r="W59" s="121">
        <f t="shared" si="42"/>
        <v>4972.2480000000023</v>
      </c>
      <c r="X59" s="121">
        <f t="shared" si="42"/>
        <v>5731.3188000000046</v>
      </c>
      <c r="Y59" s="121">
        <f t="shared" si="42"/>
        <v>7028.2727999999988</v>
      </c>
      <c r="Z59" s="108">
        <f t="shared" si="42"/>
        <v>8041.1644748768795</v>
      </c>
      <c r="AA59" s="71"/>
      <c r="AB59" s="71"/>
      <c r="AC59" s="71"/>
      <c r="AD59" s="71"/>
      <c r="AE59" s="71"/>
      <c r="AF59" s="66"/>
      <c r="AG59" s="66"/>
      <c r="AH59" s="66"/>
      <c r="AI59" s="66"/>
      <c r="AJ59" s="66"/>
    </row>
    <row r="60" spans="1:36" ht="14.25" customHeight="1">
      <c r="A60" s="145"/>
      <c r="B60" s="156" t="s">
        <v>96</v>
      </c>
      <c r="C60" s="107">
        <f t="shared" si="41"/>
        <v>751.60799999999995</v>
      </c>
      <c r="D60" s="71">
        <f t="shared" si="41"/>
        <v>941.61599999999999</v>
      </c>
      <c r="E60" s="71">
        <f t="shared" si="41"/>
        <v>962.20800000000008</v>
      </c>
      <c r="F60" s="71">
        <f t="shared" si="41"/>
        <v>936.64800000000002</v>
      </c>
      <c r="G60" s="71">
        <f t="shared" si="41"/>
        <v>1163.6279999999999</v>
      </c>
      <c r="H60" s="108">
        <f t="shared" si="41"/>
        <v>1407.96</v>
      </c>
      <c r="I60" s="107">
        <f t="shared" si="41"/>
        <v>828.25200000000007</v>
      </c>
      <c r="J60" s="71">
        <f t="shared" si="41"/>
        <v>913.17599999999993</v>
      </c>
      <c r="K60" s="71">
        <f t="shared" si="41"/>
        <v>951.84</v>
      </c>
      <c r="L60" s="71">
        <f t="shared" si="41"/>
        <v>977.93999999999994</v>
      </c>
      <c r="M60" s="71">
        <f t="shared" si="42"/>
        <v>1206.72</v>
      </c>
      <c r="N60" s="108">
        <f t="shared" si="42"/>
        <v>1460.9879999999998</v>
      </c>
      <c r="O60" s="107">
        <f t="shared" si="42"/>
        <v>930.24</v>
      </c>
      <c r="P60" s="71">
        <f t="shared" si="42"/>
        <v>991.29600000000005</v>
      </c>
      <c r="Q60" s="71">
        <f t="shared" si="42"/>
        <v>1012.6079999999999</v>
      </c>
      <c r="R60" s="71">
        <f t="shared" si="42"/>
        <v>1129.6079999999999</v>
      </c>
      <c r="S60" s="71">
        <f t="shared" si="42"/>
        <v>1472.076</v>
      </c>
      <c r="T60" s="108">
        <f t="shared" si="42"/>
        <v>1499.3999999999999</v>
      </c>
      <c r="U60" s="107">
        <f t="shared" si="42"/>
        <v>978.44399999999951</v>
      </c>
      <c r="V60" s="71">
        <f t="shared" si="42"/>
        <v>1038.3480000000002</v>
      </c>
      <c r="W60" s="71">
        <f t="shared" si="42"/>
        <v>1110.7079999999999</v>
      </c>
      <c r="X60" s="71">
        <f t="shared" si="42"/>
        <v>1257.9479999999999</v>
      </c>
      <c r="Y60" s="71">
        <f t="shared" si="42"/>
        <v>1379.5920000000001</v>
      </c>
      <c r="Z60" s="108">
        <f t="shared" si="42"/>
        <v>1677.893382593893</v>
      </c>
      <c r="AA60" s="71"/>
      <c r="AB60" s="71"/>
      <c r="AC60" s="71"/>
      <c r="AD60" s="71"/>
      <c r="AE60" s="71"/>
      <c r="AF60" s="66"/>
      <c r="AG60" s="66"/>
      <c r="AH60" s="66"/>
      <c r="AI60" s="66"/>
      <c r="AJ60" s="66"/>
    </row>
    <row r="61" spans="1:36" ht="14.25" customHeight="1">
      <c r="A61" s="145"/>
      <c r="B61" s="153" t="s">
        <v>52</v>
      </c>
      <c r="C61" s="172">
        <f t="shared" si="41"/>
        <v>0.28800000000000003</v>
      </c>
      <c r="D61" s="103">
        <f t="shared" si="41"/>
        <v>-0.68399999999999994</v>
      </c>
      <c r="E61" s="103">
        <f t="shared" si="41"/>
        <v>46.872</v>
      </c>
      <c r="F61" s="103">
        <f t="shared" si="41"/>
        <v>2.6459999999999999</v>
      </c>
      <c r="G61" s="103">
        <f t="shared" si="41"/>
        <v>-2.4480000000000004</v>
      </c>
      <c r="H61" s="171">
        <f t="shared" si="41"/>
        <v>6.8040000000000003</v>
      </c>
      <c r="I61" s="172">
        <f t="shared" si="41"/>
        <v>0.216</v>
      </c>
      <c r="J61" s="103">
        <f t="shared" si="41"/>
        <v>3.0959999999999996</v>
      </c>
      <c r="K61" s="103">
        <f t="shared" si="41"/>
        <v>23.832000000000001</v>
      </c>
      <c r="L61" s="103">
        <f t="shared" si="41"/>
        <v>9.3960000000000008</v>
      </c>
      <c r="M61" s="103">
        <f t="shared" si="42"/>
        <v>0.30600000000000005</v>
      </c>
      <c r="N61" s="171">
        <f t="shared" si="42"/>
        <v>-1.9079999999999999</v>
      </c>
      <c r="O61" s="172">
        <f t="shared" si="42"/>
        <v>-1.8719999999999999</v>
      </c>
      <c r="P61" s="103">
        <f t="shared" si="42"/>
        <v>10.331999999999999</v>
      </c>
      <c r="Q61" s="103">
        <f t="shared" si="42"/>
        <v>-0.252</v>
      </c>
      <c r="R61" s="103">
        <f t="shared" si="42"/>
        <v>5.2559999999999993</v>
      </c>
      <c r="S61" s="103">
        <f t="shared" si="42"/>
        <v>-16.02</v>
      </c>
      <c r="T61" s="171">
        <f t="shared" si="42"/>
        <v>3.3479999999999999</v>
      </c>
      <c r="U61" s="172">
        <f t="shared" si="42"/>
        <v>0.3239999999999999</v>
      </c>
      <c r="V61" s="103">
        <f t="shared" si="42"/>
        <v>36.396000000000001</v>
      </c>
      <c r="W61" s="103">
        <f t="shared" si="42"/>
        <v>5.1839999999999966</v>
      </c>
      <c r="X61" s="103">
        <f t="shared" si="42"/>
        <v>0.5579999999999985</v>
      </c>
      <c r="Y61" s="103">
        <f t="shared" si="42"/>
        <v>-7.3979999999999961</v>
      </c>
      <c r="Z61" s="171">
        <f t="shared" si="42"/>
        <v>0</v>
      </c>
      <c r="AA61" s="71"/>
      <c r="AB61" s="71"/>
      <c r="AC61" s="71"/>
      <c r="AD61" s="71"/>
      <c r="AE61" s="71"/>
      <c r="AF61" s="66"/>
      <c r="AG61" s="66"/>
      <c r="AH61" s="66"/>
      <c r="AI61" s="66"/>
      <c r="AJ61" s="66"/>
    </row>
    <row r="62" spans="1:36" ht="14.25" customHeight="1">
      <c r="A62" s="145"/>
      <c r="B62" s="66" t="s">
        <v>99</v>
      </c>
      <c r="C62" s="107">
        <f t="shared" si="41"/>
        <v>2536.38</v>
      </c>
      <c r="D62" s="121">
        <f t="shared" si="41"/>
        <v>3432.4235999999992</v>
      </c>
      <c r="E62" s="121">
        <f t="shared" si="41"/>
        <v>3485.8080000000009</v>
      </c>
      <c r="F62" s="121">
        <f t="shared" si="41"/>
        <v>2313.5615999999995</v>
      </c>
      <c r="G62" s="121">
        <f t="shared" si="41"/>
        <v>4626.7703999999976</v>
      </c>
      <c r="H62" s="108">
        <f t="shared" si="41"/>
        <v>5419.4400000000005</v>
      </c>
      <c r="I62" s="107">
        <f t="shared" si="41"/>
        <v>3287.5199999999995</v>
      </c>
      <c r="J62" s="121">
        <f t="shared" si="41"/>
        <v>2997.252</v>
      </c>
      <c r="K62" s="121">
        <f t="shared" si="41"/>
        <v>3039.4439999999995</v>
      </c>
      <c r="L62" s="121">
        <f t="shared" si="41"/>
        <v>2746.9080000000004</v>
      </c>
      <c r="M62" s="121">
        <f t="shared" si="42"/>
        <v>4719.4379999999983</v>
      </c>
      <c r="N62" s="108">
        <f t="shared" si="42"/>
        <v>5244.0479999999989</v>
      </c>
      <c r="O62" s="107">
        <f t="shared" si="42"/>
        <v>3825.4571999999976</v>
      </c>
      <c r="P62" s="121">
        <f t="shared" si="42"/>
        <v>3530.052000000001</v>
      </c>
      <c r="Q62" s="121">
        <f t="shared" si="42"/>
        <v>3428.8559999999998</v>
      </c>
      <c r="R62" s="121">
        <f t="shared" si="42"/>
        <v>3884.1840000000007</v>
      </c>
      <c r="S62" s="121">
        <f t="shared" si="42"/>
        <v>5401.7207999999991</v>
      </c>
      <c r="T62" s="108">
        <f t="shared" si="42"/>
        <v>6156.1440000000021</v>
      </c>
      <c r="U62" s="107">
        <f t="shared" si="42"/>
        <v>3958.1097999999997</v>
      </c>
      <c r="V62" s="121">
        <f t="shared" si="42"/>
        <v>3920.4504000000002</v>
      </c>
      <c r="W62" s="121">
        <f t="shared" si="42"/>
        <v>3856.3560000000025</v>
      </c>
      <c r="X62" s="121">
        <f t="shared" si="42"/>
        <v>4472.8128000000052</v>
      </c>
      <c r="Y62" s="121">
        <f t="shared" si="42"/>
        <v>5656.0787999999984</v>
      </c>
      <c r="Z62" s="108">
        <f t="shared" si="42"/>
        <v>6363.2710922829865</v>
      </c>
      <c r="AA62" s="71"/>
      <c r="AB62" s="71"/>
      <c r="AC62" s="71"/>
      <c r="AD62" s="71"/>
      <c r="AE62" s="71"/>
      <c r="AF62" s="66"/>
      <c r="AG62" s="66"/>
      <c r="AH62" s="66"/>
      <c r="AI62" s="66"/>
      <c r="AJ62" s="66"/>
    </row>
    <row r="63" spans="1:36" ht="14.25" customHeight="1">
      <c r="A63" s="145"/>
      <c r="B63" s="66" t="s">
        <v>54</v>
      </c>
      <c r="C63" s="107">
        <f t="shared" si="41"/>
        <v>0</v>
      </c>
      <c r="D63" s="71">
        <f t="shared" si="41"/>
        <v>0</v>
      </c>
      <c r="E63" s="71">
        <f t="shared" si="41"/>
        <v>0</v>
      </c>
      <c r="F63" s="71">
        <f t="shared" si="41"/>
        <v>0</v>
      </c>
      <c r="G63" s="71">
        <f t="shared" si="41"/>
        <v>0</v>
      </c>
      <c r="H63" s="108">
        <f t="shared" si="41"/>
        <v>0</v>
      </c>
      <c r="I63" s="107">
        <f t="shared" si="41"/>
        <v>0</v>
      </c>
      <c r="J63" s="71">
        <f t="shared" si="41"/>
        <v>0</v>
      </c>
      <c r="K63" s="71">
        <f t="shared" si="41"/>
        <v>0</v>
      </c>
      <c r="L63" s="71">
        <f t="shared" si="41"/>
        <v>0</v>
      </c>
      <c r="M63" s="71">
        <f t="shared" si="42"/>
        <v>0</v>
      </c>
      <c r="N63" s="108">
        <f t="shared" si="42"/>
        <v>0</v>
      </c>
      <c r="O63" s="107">
        <f t="shared" si="42"/>
        <v>0</v>
      </c>
      <c r="P63" s="71">
        <f t="shared" si="42"/>
        <v>0</v>
      </c>
      <c r="Q63" s="71">
        <f t="shared" si="42"/>
        <v>0</v>
      </c>
      <c r="R63" s="71">
        <f t="shared" si="42"/>
        <v>0</v>
      </c>
      <c r="S63" s="71">
        <f t="shared" si="42"/>
        <v>0</v>
      </c>
      <c r="T63" s="108">
        <f t="shared" si="42"/>
        <v>0</v>
      </c>
      <c r="U63" s="107">
        <f t="shared" si="42"/>
        <v>0</v>
      </c>
      <c r="V63" s="71">
        <f t="shared" si="42"/>
        <v>0</v>
      </c>
      <c r="W63" s="71">
        <f t="shared" si="42"/>
        <v>0</v>
      </c>
      <c r="X63" s="71">
        <f t="shared" si="42"/>
        <v>0</v>
      </c>
      <c r="Y63" s="71">
        <f t="shared" si="42"/>
        <v>0</v>
      </c>
      <c r="Z63" s="108">
        <f t="shared" si="42"/>
        <v>0</v>
      </c>
      <c r="AA63" s="71"/>
      <c r="AB63" s="71"/>
      <c r="AC63" s="71"/>
      <c r="AD63" s="71"/>
      <c r="AE63" s="71"/>
      <c r="AF63" s="66"/>
      <c r="AG63" s="66"/>
      <c r="AH63" s="66"/>
      <c r="AI63" s="66"/>
      <c r="AJ63" s="66"/>
    </row>
    <row r="64" spans="1:36" ht="14.25" customHeight="1">
      <c r="A64" s="145"/>
      <c r="B64" s="153" t="s">
        <v>101</v>
      </c>
      <c r="C64" s="172">
        <f t="shared" si="41"/>
        <v>64.44</v>
      </c>
      <c r="D64" s="103">
        <f t="shared" si="41"/>
        <v>88.92</v>
      </c>
      <c r="E64" s="103">
        <f t="shared" si="41"/>
        <v>112.176</v>
      </c>
      <c r="F64" s="103">
        <f t="shared" si="41"/>
        <v>140.976</v>
      </c>
      <c r="G64" s="103">
        <f t="shared" si="41"/>
        <v>130.5</v>
      </c>
      <c r="H64" s="171">
        <f t="shared" si="41"/>
        <v>162.93599999999998</v>
      </c>
      <c r="I64" s="172">
        <f t="shared" si="41"/>
        <v>75.06</v>
      </c>
      <c r="J64" s="103">
        <f t="shared" si="41"/>
        <v>103.03200000000001</v>
      </c>
      <c r="K64" s="103">
        <f t="shared" si="41"/>
        <v>113.72399999999999</v>
      </c>
      <c r="L64" s="103">
        <f t="shared" si="41"/>
        <v>152.67599999999999</v>
      </c>
      <c r="M64" s="103">
        <f t="shared" si="42"/>
        <v>190.94400000000002</v>
      </c>
      <c r="N64" s="171">
        <f t="shared" si="42"/>
        <v>134.02799999999999</v>
      </c>
      <c r="O64" s="172">
        <f t="shared" si="42"/>
        <v>71.532000000000011</v>
      </c>
      <c r="P64" s="103">
        <f t="shared" si="42"/>
        <v>88.632000000000005</v>
      </c>
      <c r="Q64" s="103">
        <f t="shared" si="42"/>
        <v>131.43599999999998</v>
      </c>
      <c r="R64" s="103">
        <f t="shared" si="42"/>
        <v>160.12800000000001</v>
      </c>
      <c r="S64" s="103">
        <f t="shared" si="42"/>
        <v>182.73599999999999</v>
      </c>
      <c r="T64" s="171">
        <f t="shared" si="42"/>
        <v>102.52799999999999</v>
      </c>
      <c r="U64" s="172">
        <f t="shared" si="42"/>
        <v>77.04000000000002</v>
      </c>
      <c r="V64" s="103">
        <f t="shared" si="42"/>
        <v>100.044</v>
      </c>
      <c r="W64" s="103">
        <f t="shared" si="42"/>
        <v>142.55999999999997</v>
      </c>
      <c r="X64" s="103">
        <f t="shared" si="42"/>
        <v>163.40399999999994</v>
      </c>
      <c r="Y64" s="103">
        <f t="shared" si="42"/>
        <v>143.56799999999998</v>
      </c>
      <c r="Z64" s="171">
        <f t="shared" si="42"/>
        <v>180.95319076078627</v>
      </c>
      <c r="AA64" s="71"/>
      <c r="AB64" s="71"/>
      <c r="AC64" s="71"/>
      <c r="AD64" s="71"/>
      <c r="AE64" s="71"/>
      <c r="AF64" s="66"/>
      <c r="AG64" s="66"/>
      <c r="AH64" s="66"/>
      <c r="AI64" s="66"/>
      <c r="AJ64" s="66"/>
    </row>
    <row r="65" spans="1:36" ht="14.25" customHeight="1">
      <c r="A65" s="145"/>
      <c r="B65" s="66" t="s">
        <v>103</v>
      </c>
      <c r="C65" s="173">
        <f t="shared" si="41"/>
        <v>2600.8200000000002</v>
      </c>
      <c r="D65" s="71">
        <f t="shared" si="41"/>
        <v>3521.3435999999992</v>
      </c>
      <c r="E65" s="71">
        <f t="shared" si="41"/>
        <v>3597.9840000000008</v>
      </c>
      <c r="F65" s="71">
        <f t="shared" si="41"/>
        <v>2454.5375999999997</v>
      </c>
      <c r="G65" s="71">
        <f t="shared" si="41"/>
        <v>4757.2703999999976</v>
      </c>
      <c r="H65" s="171">
        <f t="shared" si="41"/>
        <v>5582.3760000000002</v>
      </c>
      <c r="I65" s="173">
        <f t="shared" si="41"/>
        <v>3362.5799999999995</v>
      </c>
      <c r="J65" s="71">
        <f t="shared" si="41"/>
        <v>3100.2840000000001</v>
      </c>
      <c r="K65" s="71">
        <f t="shared" si="41"/>
        <v>3153.1679999999997</v>
      </c>
      <c r="L65" s="71">
        <f t="shared" si="41"/>
        <v>2899.5840000000003</v>
      </c>
      <c r="M65" s="71">
        <f t="shared" si="42"/>
        <v>4910.3819999999987</v>
      </c>
      <c r="N65" s="171">
        <f t="shared" si="42"/>
        <v>5378.0759999999991</v>
      </c>
      <c r="O65" s="173">
        <f t="shared" si="42"/>
        <v>3896.9891999999977</v>
      </c>
      <c r="P65" s="71">
        <f t="shared" si="42"/>
        <v>3618.6840000000011</v>
      </c>
      <c r="Q65" s="71">
        <f t="shared" si="42"/>
        <v>3560.2919999999999</v>
      </c>
      <c r="R65" s="71">
        <f t="shared" si="42"/>
        <v>4044.3120000000008</v>
      </c>
      <c r="S65" s="71">
        <f t="shared" si="42"/>
        <v>5584.456799999999</v>
      </c>
      <c r="T65" s="171">
        <f t="shared" si="42"/>
        <v>6258.6720000000023</v>
      </c>
      <c r="U65" s="173">
        <f t="shared" si="42"/>
        <v>4035.1497999999997</v>
      </c>
      <c r="V65" s="71">
        <f t="shared" si="42"/>
        <v>4020.4944</v>
      </c>
      <c r="W65" s="71">
        <f t="shared" si="42"/>
        <v>3998.9160000000024</v>
      </c>
      <c r="X65" s="71">
        <f t="shared" si="42"/>
        <v>4636.2168000000047</v>
      </c>
      <c r="Y65" s="71">
        <f t="shared" si="42"/>
        <v>5799.6467999999986</v>
      </c>
      <c r="Z65" s="171">
        <f t="shared" si="42"/>
        <v>6544.2242830437726</v>
      </c>
      <c r="AA65" s="71"/>
      <c r="AB65" s="71"/>
      <c r="AC65" s="71"/>
      <c r="AD65" s="71"/>
      <c r="AE65" s="71"/>
      <c r="AF65" s="66"/>
      <c r="AG65" s="66"/>
      <c r="AH65" s="66"/>
      <c r="AI65" s="66"/>
      <c r="AJ65" s="66"/>
    </row>
    <row r="66" spans="1:36" ht="14.25" customHeight="1">
      <c r="A66" s="145"/>
      <c r="B66" s="174" t="s">
        <v>104</v>
      </c>
      <c r="C66" s="175">
        <f t="shared" si="41"/>
        <v>268.56</v>
      </c>
      <c r="D66" s="176">
        <f t="shared" si="41"/>
        <v>367.23599999999999</v>
      </c>
      <c r="E66" s="176">
        <f t="shared" si="41"/>
        <v>365.61600000000004</v>
      </c>
      <c r="F66" s="176">
        <f t="shared" si="41"/>
        <v>244.58399999999997</v>
      </c>
      <c r="G66" s="176">
        <f t="shared" si="41"/>
        <v>543.024</v>
      </c>
      <c r="H66" s="177">
        <f t="shared" si="41"/>
        <v>551.69999999999993</v>
      </c>
      <c r="I66" s="175">
        <f t="shared" si="41"/>
        <v>751.60799999999995</v>
      </c>
      <c r="J66" s="176">
        <f t="shared" si="41"/>
        <v>714.49200000000008</v>
      </c>
      <c r="K66" s="176">
        <f t="shared" si="41"/>
        <v>550.58400000000006</v>
      </c>
      <c r="L66" s="176">
        <f t="shared" si="41"/>
        <v>495.68400000000003</v>
      </c>
      <c r="M66" s="176">
        <f t="shared" si="42"/>
        <v>558.21600000000001</v>
      </c>
      <c r="N66" s="177">
        <f t="shared" si="42"/>
        <v>536.72400000000005</v>
      </c>
      <c r="O66" s="175">
        <f t="shared" si="42"/>
        <v>412.56000000000006</v>
      </c>
      <c r="P66" s="176">
        <f t="shared" si="42"/>
        <v>380.48400000000004</v>
      </c>
      <c r="Q66" s="176">
        <f t="shared" si="42"/>
        <v>352.72800000000001</v>
      </c>
      <c r="R66" s="176">
        <f t="shared" si="42"/>
        <v>404.42399999999998</v>
      </c>
      <c r="S66" s="176">
        <f t="shared" si="42"/>
        <v>638.82000000000005</v>
      </c>
      <c r="T66" s="177">
        <f t="shared" si="42"/>
        <v>625.428</v>
      </c>
      <c r="U66" s="175">
        <f t="shared" si="42"/>
        <v>425.62800000000004</v>
      </c>
      <c r="V66" s="176">
        <f t="shared" si="42"/>
        <v>445.28399999999976</v>
      </c>
      <c r="W66" s="176">
        <f t="shared" si="42"/>
        <v>400.96799999999996</v>
      </c>
      <c r="X66" s="176">
        <f t="shared" si="42"/>
        <v>457.34400000000005</v>
      </c>
      <c r="Y66" s="176">
        <f t="shared" si="42"/>
        <v>658.22399999999993</v>
      </c>
      <c r="Z66" s="177">
        <f t="shared" si="42"/>
        <v>692.15030777868174</v>
      </c>
      <c r="AA66" s="71"/>
      <c r="AB66" s="71"/>
      <c r="AC66" s="71"/>
      <c r="AD66" s="71"/>
      <c r="AE66" s="71"/>
      <c r="AF66" s="66"/>
      <c r="AG66" s="66"/>
      <c r="AH66" s="66"/>
      <c r="AI66" s="66"/>
      <c r="AJ66" s="66"/>
    </row>
    <row r="67" spans="1:36" ht="14.25" customHeight="1">
      <c r="A67" s="145"/>
      <c r="B67" s="66" t="s">
        <v>59</v>
      </c>
      <c r="C67" s="178">
        <f t="shared" si="41"/>
        <v>2332.2600000000002</v>
      </c>
      <c r="D67" s="179">
        <f t="shared" si="41"/>
        <v>3154.1075999999994</v>
      </c>
      <c r="E67" s="179">
        <f t="shared" si="41"/>
        <v>3232.3680000000008</v>
      </c>
      <c r="F67" s="179">
        <f t="shared" si="41"/>
        <v>2209.9535999999998</v>
      </c>
      <c r="G67" s="179">
        <f t="shared" si="41"/>
        <v>4214.2463999999973</v>
      </c>
      <c r="H67" s="180">
        <f t="shared" si="41"/>
        <v>5030.6760000000004</v>
      </c>
      <c r="I67" s="178">
        <f t="shared" si="41"/>
        <v>2610.9719999999998</v>
      </c>
      <c r="J67" s="179">
        <f t="shared" si="41"/>
        <v>2385.7919999999999</v>
      </c>
      <c r="K67" s="179">
        <f t="shared" si="41"/>
        <v>2602.5839999999998</v>
      </c>
      <c r="L67" s="179">
        <f t="shared" si="41"/>
        <v>2403.9</v>
      </c>
      <c r="M67" s="179">
        <f t="shared" si="42"/>
        <v>4352.1659999999983</v>
      </c>
      <c r="N67" s="180">
        <f t="shared" si="42"/>
        <v>4841.351999999999</v>
      </c>
      <c r="O67" s="178">
        <f t="shared" si="42"/>
        <v>3484.4291999999978</v>
      </c>
      <c r="P67" s="179">
        <f t="shared" si="42"/>
        <v>3238.2000000000012</v>
      </c>
      <c r="Q67" s="179">
        <f t="shared" si="42"/>
        <v>3207.5639999999999</v>
      </c>
      <c r="R67" s="179">
        <f t="shared" si="42"/>
        <v>3639.8880000000008</v>
      </c>
      <c r="S67" s="179">
        <f t="shared" si="42"/>
        <v>4945.6367999999993</v>
      </c>
      <c r="T67" s="180">
        <f t="shared" si="42"/>
        <v>5633.2440000000024</v>
      </c>
      <c r="U67" s="178">
        <f t="shared" si="42"/>
        <v>3609.5217999999995</v>
      </c>
      <c r="V67" s="179">
        <f t="shared" si="42"/>
        <v>3575.2104000000004</v>
      </c>
      <c r="W67" s="179">
        <f t="shared" si="42"/>
        <v>3597.9480000000026</v>
      </c>
      <c r="X67" s="179">
        <f t="shared" si="42"/>
        <v>4178.8728000000046</v>
      </c>
      <c r="Y67" s="179">
        <f t="shared" si="42"/>
        <v>5141.4227999999985</v>
      </c>
      <c r="Z67" s="180">
        <f t="shared" si="42"/>
        <v>5852.0739752650907</v>
      </c>
      <c r="AA67" s="71"/>
      <c r="AB67" s="71"/>
      <c r="AC67" s="71"/>
      <c r="AD67" s="71"/>
      <c r="AE67" s="71"/>
      <c r="AF67" s="66"/>
      <c r="AG67" s="66"/>
      <c r="AH67" s="66"/>
      <c r="AI67" s="66"/>
      <c r="AJ67" s="66"/>
    </row>
    <row r="68" spans="1:36" ht="14.25" customHeight="1">
      <c r="A68" s="145"/>
      <c r="B68" s="66"/>
      <c r="C68" s="71"/>
      <c r="D68" s="71"/>
      <c r="E68" s="71"/>
      <c r="F68" s="71"/>
      <c r="G68" s="71"/>
      <c r="H68" s="71"/>
      <c r="I68" s="71"/>
      <c r="J68" s="71"/>
      <c r="K68" s="71"/>
      <c r="L68" s="71"/>
      <c r="M68" s="71"/>
      <c r="N68" s="71"/>
      <c r="O68" s="71"/>
      <c r="P68" s="71"/>
      <c r="Q68" s="71"/>
      <c r="R68" s="71"/>
      <c r="S68" s="71"/>
      <c r="T68" s="71"/>
      <c r="U68" s="71"/>
      <c r="V68" s="71"/>
      <c r="W68" s="71"/>
      <c r="X68" s="71"/>
      <c r="Y68" s="71"/>
      <c r="Z68" s="71"/>
      <c r="AA68" s="66"/>
      <c r="AB68" s="66"/>
      <c r="AC68" s="66"/>
      <c r="AD68" s="66"/>
      <c r="AE68" s="66"/>
      <c r="AF68" s="66"/>
      <c r="AG68" s="66"/>
      <c r="AH68" s="66"/>
      <c r="AI68" s="66"/>
      <c r="AJ68" s="66"/>
    </row>
    <row r="69" spans="1:36" ht="14.25" customHeight="1">
      <c r="A69" s="145"/>
      <c r="B69" s="66" t="s">
        <v>108</v>
      </c>
      <c r="C69" s="71">
        <f t="shared" ref="C69:Z69" si="43">VLOOKUP($B69,$B$10:$Z$28,C$74,FALSE)</f>
        <v>2.4984207713114888</v>
      </c>
      <c r="D69" s="71">
        <f t="shared" si="43"/>
        <v>3.3788205186348979</v>
      </c>
      <c r="E69" s="71">
        <f t="shared" si="43"/>
        <v>3.4626565441771398</v>
      </c>
      <c r="F69" s="71">
        <f t="shared" si="43"/>
        <v>2.3674007091295999</v>
      </c>
      <c r="G69" s="71">
        <f t="shared" si="43"/>
        <v>4.5144884108910057</v>
      </c>
      <c r="H69" s="71">
        <f t="shared" si="43"/>
        <v>5.389084155342112</v>
      </c>
      <c r="I69" s="71">
        <f t="shared" si="43"/>
        <v>2.7969894772078154</v>
      </c>
      <c r="J69" s="71">
        <f t="shared" si="43"/>
        <v>2.5557666335780653</v>
      </c>
      <c r="K69" s="71">
        <f t="shared" si="43"/>
        <v>2.7880038780766032</v>
      </c>
      <c r="L69" s="71">
        <f t="shared" si="43"/>
        <v>2.5751647295566049</v>
      </c>
      <c r="M69" s="71">
        <f t="shared" si="43"/>
        <v>4.6622340281939545</v>
      </c>
      <c r="N69" s="71">
        <f t="shared" si="43"/>
        <v>5.1862718556380569</v>
      </c>
      <c r="O69" s="71">
        <f t="shared" si="43"/>
        <v>3.7326757263102173</v>
      </c>
      <c r="P69" s="71">
        <f t="shared" si="43"/>
        <v>3.4689040422855366</v>
      </c>
      <c r="Q69" s="71">
        <f t="shared" si="43"/>
        <v>3.4360853948148846</v>
      </c>
      <c r="R69" s="71">
        <f t="shared" si="43"/>
        <v>3.8992101157021231</v>
      </c>
      <c r="S69" s="71">
        <f t="shared" si="43"/>
        <v>5.2979863773689386</v>
      </c>
      <c r="T69" s="71">
        <f t="shared" si="43"/>
        <v>6.0345818302701337</v>
      </c>
      <c r="U69" s="71">
        <f t="shared" si="43"/>
        <v>3.866680490006102</v>
      </c>
      <c r="V69" s="71">
        <f t="shared" si="43"/>
        <v>3.8299245903839436</v>
      </c>
      <c r="W69" s="71">
        <f t="shared" si="43"/>
        <v>3.8542821200460646</v>
      </c>
      <c r="X69" s="71">
        <f t="shared" si="43"/>
        <v>4.4765946353273698</v>
      </c>
      <c r="Y69" s="71">
        <f t="shared" si="43"/>
        <v>5.5077210592363066</v>
      </c>
      <c r="Z69" s="603">
        <f t="shared" si="43"/>
        <v>6.2690022446269698</v>
      </c>
      <c r="AA69" s="66"/>
      <c r="AB69" s="66"/>
      <c r="AC69" s="66"/>
      <c r="AD69" s="66"/>
      <c r="AE69" s="66"/>
      <c r="AF69" s="66"/>
      <c r="AG69" s="66"/>
      <c r="AH69" s="66"/>
      <c r="AI69" s="66"/>
      <c r="AJ69" s="66"/>
    </row>
    <row r="70" spans="1:36" ht="14.25" customHeight="1">
      <c r="A70" s="14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c r="AI70" s="66"/>
      <c r="AJ70" s="66"/>
    </row>
    <row r="71" spans="1:36" ht="14.25" customHeight="1">
      <c r="A71" s="145"/>
      <c r="B71" s="66" t="s">
        <v>109</v>
      </c>
      <c r="C71" s="143">
        <f t="shared" ref="C71:Z71" si="44">VLOOKUP($B71,$B$10:$Z$28,C$74,FALSE)</f>
        <v>933.49368000000004</v>
      </c>
      <c r="D71" s="143">
        <f t="shared" si="44"/>
        <v>933.49368000000004</v>
      </c>
      <c r="E71" s="143">
        <f t="shared" si="44"/>
        <v>933.49368000000004</v>
      </c>
      <c r="F71" s="143">
        <f t="shared" si="44"/>
        <v>933.49368000000004</v>
      </c>
      <c r="G71" s="143">
        <f t="shared" si="44"/>
        <v>933.49368000000004</v>
      </c>
      <c r="H71" s="143">
        <f t="shared" si="44"/>
        <v>933.49368000000004</v>
      </c>
      <c r="I71" s="143">
        <f t="shared" si="44"/>
        <v>933.49368000000004</v>
      </c>
      <c r="J71" s="143">
        <f t="shared" si="44"/>
        <v>933.49368000000004</v>
      </c>
      <c r="K71" s="143">
        <f t="shared" si="44"/>
        <v>933.49368000000004</v>
      </c>
      <c r="L71" s="143">
        <f t="shared" si="44"/>
        <v>933.49368000000004</v>
      </c>
      <c r="M71" s="143">
        <f t="shared" si="44"/>
        <v>933.49368000000004</v>
      </c>
      <c r="N71" s="143">
        <f t="shared" si="44"/>
        <v>933.49368000000004</v>
      </c>
      <c r="O71" s="143">
        <f t="shared" si="44"/>
        <v>933.49368000000004</v>
      </c>
      <c r="P71" s="143">
        <f t="shared" si="44"/>
        <v>933.49368000000004</v>
      </c>
      <c r="Q71" s="143">
        <f t="shared" si="44"/>
        <v>933.49368000000004</v>
      </c>
      <c r="R71" s="143">
        <f t="shared" si="44"/>
        <v>933.49368000000004</v>
      </c>
      <c r="S71" s="143">
        <f t="shared" si="44"/>
        <v>933.49368000000004</v>
      </c>
      <c r="T71" s="143">
        <f t="shared" si="44"/>
        <v>933.49368000000004</v>
      </c>
      <c r="U71" s="143">
        <f t="shared" si="44"/>
        <v>933.49368000000004</v>
      </c>
      <c r="V71" s="143">
        <f t="shared" si="44"/>
        <v>933.49368000000004</v>
      </c>
      <c r="W71" s="143">
        <f t="shared" si="44"/>
        <v>933.49368000000004</v>
      </c>
      <c r="X71" s="143">
        <f t="shared" si="44"/>
        <v>933.49368000000004</v>
      </c>
      <c r="Y71" s="143">
        <f t="shared" si="44"/>
        <v>933.49368000000004</v>
      </c>
      <c r="Z71" s="602">
        <f t="shared" si="44"/>
        <v>933.49368000000004</v>
      </c>
      <c r="AA71" s="66"/>
      <c r="AB71" s="66"/>
      <c r="AC71" s="66"/>
      <c r="AD71" s="66"/>
      <c r="AE71" s="66"/>
      <c r="AF71" s="66"/>
      <c r="AG71" s="66"/>
      <c r="AH71" s="66"/>
      <c r="AI71" s="66"/>
      <c r="AJ71" s="66"/>
    </row>
    <row r="72" spans="1:36" ht="14.25" customHeight="1">
      <c r="A72" s="14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c r="AI72" s="66"/>
      <c r="AJ72" s="66"/>
    </row>
    <row r="73" spans="1:36" ht="14.25" customHeight="1">
      <c r="A73" s="14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c r="AI73" s="66"/>
      <c r="AJ73" s="66"/>
    </row>
    <row r="74" spans="1:36" ht="14.25" customHeight="1">
      <c r="A74" s="145"/>
      <c r="B74" s="66" t="s">
        <v>115</v>
      </c>
      <c r="C74" s="69">
        <v>2</v>
      </c>
      <c r="D74" s="66">
        <f t="shared" ref="D74:H74" si="45">C74+4</f>
        <v>6</v>
      </c>
      <c r="E74" s="66">
        <f t="shared" si="45"/>
        <v>10</v>
      </c>
      <c r="F74" s="66">
        <f t="shared" si="45"/>
        <v>14</v>
      </c>
      <c r="G74" s="66">
        <f t="shared" si="45"/>
        <v>18</v>
      </c>
      <c r="H74" s="66">
        <f t="shared" si="45"/>
        <v>22</v>
      </c>
      <c r="I74" s="66">
        <f>C74+1</f>
        <v>3</v>
      </c>
      <c r="J74" s="66">
        <f t="shared" ref="J74:N74" si="46">I74+4</f>
        <v>7</v>
      </c>
      <c r="K74" s="66">
        <f t="shared" si="46"/>
        <v>11</v>
      </c>
      <c r="L74" s="66">
        <f t="shared" si="46"/>
        <v>15</v>
      </c>
      <c r="M74" s="66">
        <f t="shared" si="46"/>
        <v>19</v>
      </c>
      <c r="N74" s="66">
        <f t="shared" si="46"/>
        <v>23</v>
      </c>
      <c r="O74" s="66">
        <f>I74+1</f>
        <v>4</v>
      </c>
      <c r="P74" s="66">
        <f t="shared" ref="P74:T74" si="47">O74+4</f>
        <v>8</v>
      </c>
      <c r="Q74" s="66">
        <f t="shared" si="47"/>
        <v>12</v>
      </c>
      <c r="R74" s="66">
        <f t="shared" si="47"/>
        <v>16</v>
      </c>
      <c r="S74" s="66">
        <f t="shared" si="47"/>
        <v>20</v>
      </c>
      <c r="T74" s="66">
        <f t="shared" si="47"/>
        <v>24</v>
      </c>
      <c r="U74" s="66">
        <f>O74+1</f>
        <v>5</v>
      </c>
      <c r="V74" s="66">
        <f t="shared" ref="V74:Z74" si="48">U74+4</f>
        <v>9</v>
      </c>
      <c r="W74" s="66">
        <f t="shared" si="48"/>
        <v>13</v>
      </c>
      <c r="X74" s="66">
        <f t="shared" si="48"/>
        <v>17</v>
      </c>
      <c r="Y74" s="66">
        <f t="shared" si="48"/>
        <v>21</v>
      </c>
      <c r="Z74" s="66">
        <f t="shared" si="48"/>
        <v>25</v>
      </c>
      <c r="AA74" s="66"/>
      <c r="AB74" s="66"/>
      <c r="AC74" s="66"/>
      <c r="AD74" s="66"/>
      <c r="AE74" s="66"/>
      <c r="AF74" s="66"/>
      <c r="AG74" s="66"/>
      <c r="AH74" s="66"/>
      <c r="AI74" s="66"/>
      <c r="AJ74" s="66"/>
    </row>
    <row r="75" spans="1:36" ht="14.25" customHeight="1">
      <c r="A75" s="145"/>
      <c r="B75" s="145"/>
      <c r="C75" s="145"/>
      <c r="D75" s="145"/>
      <c r="E75" s="145"/>
      <c r="F75" s="145"/>
      <c r="G75" s="145"/>
      <c r="H75" s="145"/>
      <c r="I75" s="145"/>
      <c r="J75" s="145"/>
      <c r="K75" s="145"/>
      <c r="L75" s="145"/>
      <c r="M75" s="145"/>
      <c r="N75" s="145"/>
      <c r="O75" s="145"/>
      <c r="P75" s="145"/>
      <c r="Q75" s="145"/>
      <c r="R75" s="145"/>
      <c r="S75" s="145"/>
      <c r="T75" s="145"/>
      <c r="U75" s="145"/>
      <c r="V75" s="145"/>
      <c r="W75" s="145"/>
      <c r="X75" s="145"/>
      <c r="Y75" s="145"/>
      <c r="Z75" s="145"/>
      <c r="AA75" s="66"/>
      <c r="AB75" s="66"/>
      <c r="AC75" s="66"/>
      <c r="AD75" s="66"/>
      <c r="AE75" s="66"/>
      <c r="AF75" s="66"/>
      <c r="AG75" s="66"/>
      <c r="AH75" s="66"/>
      <c r="AI75" s="66"/>
      <c r="AJ75" s="66"/>
    </row>
    <row r="76" spans="1:36" ht="14.25" customHeight="1">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c r="AI76" s="66"/>
      <c r="AJ76" s="66"/>
    </row>
    <row r="77" spans="1:36" ht="14.25" customHeight="1">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c r="AI77" s="66"/>
      <c r="AJ77" s="66"/>
    </row>
    <row r="78" spans="1:36" ht="14.25" customHeight="1">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c r="AI78" s="66"/>
      <c r="AJ78" s="66"/>
    </row>
    <row r="79" spans="1:36" ht="14.25" customHeight="1">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c r="AI79" s="66"/>
      <c r="AJ79" s="66"/>
    </row>
    <row r="80" spans="1:36" ht="14.25" customHeight="1">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row>
    <row r="81" spans="1:36" ht="14.25" customHeight="1">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c r="AI81" s="66"/>
      <c r="AJ81" s="66"/>
    </row>
    <row r="82" spans="1:36" ht="14.25" customHeight="1">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c r="AI82" s="66"/>
      <c r="AJ82" s="66"/>
    </row>
    <row r="83" spans="1:36" ht="14.25" customHeight="1">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c r="AI83" s="66"/>
      <c r="AJ83" s="66"/>
    </row>
    <row r="84" spans="1:36" ht="14.25" customHeight="1">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c r="AI84" s="66"/>
      <c r="AJ84" s="66"/>
    </row>
    <row r="85" spans="1:36" ht="14.25" customHeight="1">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c r="AI85" s="66"/>
      <c r="AJ85" s="66"/>
    </row>
    <row r="86" spans="1:36" ht="14.25" customHeight="1">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c r="AI86" s="66"/>
      <c r="AJ86" s="66"/>
    </row>
    <row r="87" spans="1:36" ht="14.25" customHeight="1">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c r="AI87" s="66"/>
      <c r="AJ87" s="66"/>
    </row>
    <row r="88" spans="1:36" ht="14.25" customHeight="1">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c r="AI88" s="66"/>
      <c r="AJ88" s="66"/>
    </row>
    <row r="89" spans="1:36" ht="14.25" customHeight="1">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c r="AI89" s="66"/>
      <c r="AJ89" s="66"/>
    </row>
    <row r="90" spans="1:36" ht="14.25" customHeight="1">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c r="AI90" s="66"/>
      <c r="AJ90" s="66"/>
    </row>
    <row r="91" spans="1:36" ht="14.25" customHeight="1">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c r="AI91" s="66"/>
      <c r="AJ91" s="66"/>
    </row>
    <row r="92" spans="1:36" ht="14.25" customHeight="1">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c r="AI92" s="66"/>
      <c r="AJ92" s="66"/>
    </row>
    <row r="93" spans="1:36" ht="14.25" customHeight="1">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c r="AI93" s="66"/>
      <c r="AJ93" s="66"/>
    </row>
    <row r="94" spans="1:36" ht="14.25" customHeight="1">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c r="AI94" s="66"/>
      <c r="AJ94" s="66"/>
    </row>
    <row r="95" spans="1:36" ht="14.25" customHeight="1">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c r="AI95" s="66"/>
      <c r="AJ95" s="66"/>
    </row>
    <row r="96" spans="1:36" ht="14.25" customHeight="1">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c r="AI96" s="66"/>
      <c r="AJ96" s="66"/>
    </row>
    <row r="97" spans="1:36" ht="14.25" customHeight="1">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c r="AI97" s="66"/>
      <c r="AJ97" s="66"/>
    </row>
    <row r="98" spans="1:36" ht="14.25" customHeight="1">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c r="AI98" s="66"/>
      <c r="AJ98" s="66"/>
    </row>
    <row r="99" spans="1:36" ht="14.25" customHeight="1">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c r="AI99" s="66"/>
      <c r="AJ99" s="66"/>
    </row>
    <row r="100" spans="1:36" ht="14.25" customHeight="1">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c r="AI100" s="66"/>
      <c r="AJ100" s="66"/>
    </row>
    <row r="101" spans="1:36" ht="14.25" customHeight="1">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c r="AI101" s="66"/>
      <c r="AJ101" s="66"/>
    </row>
    <row r="102" spans="1:36" ht="14.25" customHeight="1">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c r="AI102" s="66"/>
      <c r="AJ102" s="66"/>
    </row>
    <row r="103" spans="1:36" ht="14.25" customHeight="1">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c r="AI103" s="66"/>
      <c r="AJ103" s="66"/>
    </row>
    <row r="104" spans="1:36" ht="14.25" customHeight="1">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c r="AI104" s="66"/>
      <c r="AJ104" s="66"/>
    </row>
    <row r="105" spans="1:36" ht="14.25" customHeight="1">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row>
    <row r="106" spans="1:36" ht="14.25" customHeight="1">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row>
    <row r="107" spans="1:36" ht="14.25" customHeight="1">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row>
    <row r="108" spans="1:36" ht="14.25" customHeight="1">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row>
    <row r="109" spans="1:36" ht="14.25" customHeight="1">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row>
    <row r="110" spans="1:36" ht="14.25" customHeight="1">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row>
    <row r="111" spans="1:36" ht="14.25" customHeight="1">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row>
    <row r="112" spans="1:36" ht="14.25" customHeight="1">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row>
    <row r="113" spans="1:36" ht="14.25" customHeight="1">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row>
    <row r="114" spans="1:36" ht="14.25" customHeight="1">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row>
    <row r="115" spans="1:36" ht="14.25" customHeight="1">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row>
    <row r="116" spans="1:36" ht="14.25" customHeight="1">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row>
    <row r="117" spans="1:36" ht="14.25" customHeight="1">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row>
    <row r="118" spans="1:36" ht="14.25" customHeight="1">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row>
    <row r="119" spans="1:36" ht="14.25" customHeight="1">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row>
    <row r="120" spans="1:36" ht="14.25" customHeight="1">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row>
    <row r="121" spans="1:36" ht="14.25" customHeight="1">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row>
    <row r="122" spans="1:36" ht="14.25" customHeight="1">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row>
    <row r="123" spans="1:36" ht="14.25" customHeight="1">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row>
    <row r="124" spans="1:36" ht="14.25" customHeight="1">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row>
    <row r="125" spans="1:36" ht="14.25" customHeight="1">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row>
    <row r="126" spans="1:36" ht="14.25" customHeight="1">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row>
    <row r="127" spans="1:36" ht="14.25" customHeight="1">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row>
    <row r="128" spans="1:36" ht="14.25" customHeight="1">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row>
    <row r="129" spans="1:36" ht="14.25" customHeight="1">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row>
    <row r="130" spans="1:36" ht="14.25" customHeight="1">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row>
    <row r="131" spans="1:36" ht="14.25" customHeight="1">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row>
    <row r="132" spans="1:36" ht="14.25" customHeight="1">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row>
    <row r="133" spans="1:36" ht="14.25" customHeight="1">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row>
    <row r="134" spans="1:36" ht="14.25" customHeight="1">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row>
    <row r="135" spans="1:36" ht="14.25" customHeight="1">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row>
    <row r="136" spans="1:36" ht="14.25" customHeight="1">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row>
    <row r="137" spans="1:36" ht="14.25" customHeight="1">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row>
    <row r="138" spans="1:36" ht="14.25" customHeight="1">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row>
    <row r="139" spans="1:36" ht="14.25" customHeight="1">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row>
    <row r="140" spans="1:36" ht="14.25" customHeight="1">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row>
    <row r="141" spans="1:36" ht="14.25" customHeight="1">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c r="AI141" s="66"/>
      <c r="AJ141" s="66"/>
    </row>
    <row r="142" spans="1:36" ht="14.25" customHeight="1">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c r="AI142" s="66"/>
      <c r="AJ142" s="66"/>
    </row>
    <row r="143" spans="1:36" ht="14.25" customHeight="1">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c r="AI143" s="66"/>
      <c r="AJ143" s="66"/>
    </row>
    <row r="144" spans="1:36" ht="14.25" customHeight="1">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c r="AI144" s="66"/>
      <c r="AJ144" s="66"/>
    </row>
    <row r="145" spans="1:36" ht="14.25" customHeight="1">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c r="AI145" s="66"/>
      <c r="AJ145" s="66"/>
    </row>
    <row r="146" spans="1:36" ht="14.25" customHeight="1">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c r="AI146" s="66"/>
      <c r="AJ146" s="66"/>
    </row>
    <row r="147" spans="1:36" ht="14.25" customHeight="1">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c r="AI147" s="66"/>
      <c r="AJ147" s="66"/>
    </row>
    <row r="148" spans="1:36" ht="14.25" customHeight="1">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c r="AI148" s="66"/>
      <c r="AJ148" s="66"/>
    </row>
    <row r="149" spans="1:36" ht="14.25" customHeight="1">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c r="AI149" s="66"/>
      <c r="AJ149" s="66"/>
    </row>
    <row r="150" spans="1:36" ht="14.25" customHeight="1">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c r="AI150" s="66"/>
      <c r="AJ150" s="66"/>
    </row>
    <row r="151" spans="1:36" ht="14.25" customHeight="1">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c r="AI151" s="66"/>
      <c r="AJ151" s="66"/>
    </row>
    <row r="152" spans="1:36" ht="14.25" customHeight="1">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c r="AI152" s="66"/>
      <c r="AJ152" s="66"/>
    </row>
    <row r="153" spans="1:36" ht="14.25" customHeight="1">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c r="AI153" s="66"/>
      <c r="AJ153" s="66"/>
    </row>
    <row r="154" spans="1:36" ht="14.25" customHeight="1">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c r="AI154" s="66"/>
      <c r="AJ154" s="66"/>
    </row>
    <row r="155" spans="1:36" ht="14.25" customHeight="1">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c r="AI155" s="66"/>
      <c r="AJ155" s="66"/>
    </row>
    <row r="156" spans="1:36" ht="14.25" customHeight="1">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c r="AI156" s="66"/>
      <c r="AJ156" s="66"/>
    </row>
    <row r="157" spans="1:36" ht="14.25" customHeight="1">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c r="AI157" s="66"/>
      <c r="AJ157" s="66"/>
    </row>
    <row r="158" spans="1:36" ht="14.25" customHeight="1">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c r="AI158" s="66"/>
      <c r="AJ158" s="66"/>
    </row>
    <row r="159" spans="1:36" ht="14.25" customHeight="1">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c r="AI159" s="66"/>
      <c r="AJ159" s="66"/>
    </row>
    <row r="160" spans="1:36" ht="14.25" customHeight="1">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c r="AI160" s="66"/>
      <c r="AJ160" s="66"/>
    </row>
    <row r="161" spans="1:36" ht="14.25" customHeight="1">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row>
    <row r="162" spans="1:36" ht="14.25" customHeight="1">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row>
    <row r="163" spans="1:36" ht="14.25" customHeight="1">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row>
    <row r="164" spans="1:36" ht="14.25" customHeight="1">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row>
    <row r="165" spans="1:36" ht="14.25" customHeight="1">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row>
    <row r="166" spans="1:36" ht="14.25" customHeight="1">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row>
    <row r="167" spans="1:36" ht="14.25" customHeight="1">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row>
    <row r="168" spans="1:36" ht="14.25" customHeight="1">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row>
    <row r="169" spans="1:36" ht="14.25" customHeight="1">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row>
    <row r="170" spans="1:36" ht="14.25" customHeight="1">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row>
    <row r="171" spans="1:36" ht="14.25" customHeight="1">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row>
    <row r="172" spans="1:36" ht="14.25" customHeight="1">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row>
    <row r="173" spans="1:36" ht="14.25" customHeight="1">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row>
    <row r="174" spans="1:36" ht="14.25" customHeight="1">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row>
    <row r="175" spans="1:36" ht="14.25" customHeight="1">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row>
    <row r="176" spans="1:36" ht="14.25" customHeight="1">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row>
    <row r="177" spans="1:36" ht="14.25" customHeight="1">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row>
    <row r="178" spans="1:36" ht="14.25" customHeight="1">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row>
    <row r="179" spans="1:36" ht="14.25" customHeight="1">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row>
    <row r="180" spans="1:36" ht="14.25" customHeight="1">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row>
    <row r="181" spans="1:36" ht="14.25" customHeight="1">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row>
    <row r="182" spans="1:36" ht="14.25" customHeight="1">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row>
    <row r="183" spans="1:36" ht="14.25" customHeight="1">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row>
    <row r="184" spans="1:36" ht="14.25" customHeight="1">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row>
    <row r="185" spans="1:36" ht="14.25" customHeight="1">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row>
    <row r="186" spans="1:36" ht="14.25" customHeight="1">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row>
    <row r="187" spans="1:36" ht="14.25" customHeight="1">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row>
    <row r="188" spans="1:36" ht="14.25" customHeight="1">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row>
    <row r="189" spans="1:36" ht="14.25" customHeight="1">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row>
    <row r="190" spans="1:36" ht="14.25" customHeight="1">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row>
    <row r="191" spans="1:36" ht="14.25" customHeight="1">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row>
    <row r="192" spans="1:36" ht="14.25" customHeight="1">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row>
    <row r="193" spans="1:36" ht="14.25" customHeight="1">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row>
    <row r="194" spans="1:36" ht="14.25" customHeight="1">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row>
    <row r="195" spans="1:36" ht="14.25" customHeight="1">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row>
    <row r="196" spans="1:36" ht="14.25" customHeight="1">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row>
    <row r="197" spans="1:36" ht="14.25" customHeight="1">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c r="AI197" s="66"/>
      <c r="AJ197" s="66"/>
    </row>
    <row r="198" spans="1:36" ht="14.25" customHeight="1">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c r="AI198" s="66"/>
      <c r="AJ198" s="66"/>
    </row>
    <row r="199" spans="1:36" ht="14.25" customHeight="1">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c r="AI199" s="66"/>
      <c r="AJ199" s="66"/>
    </row>
    <row r="200" spans="1:36" ht="14.25" customHeight="1">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c r="AI200" s="66"/>
      <c r="AJ200" s="66"/>
    </row>
    <row r="201" spans="1:36" ht="14.25" customHeight="1">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c r="AI201" s="66"/>
      <c r="AJ201" s="66"/>
    </row>
    <row r="202" spans="1:36" ht="14.25" customHeight="1">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c r="AI202" s="66"/>
      <c r="AJ202" s="66"/>
    </row>
    <row r="203" spans="1:36" ht="14.25" customHeight="1">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c r="AI203" s="66"/>
      <c r="AJ203" s="66"/>
    </row>
    <row r="204" spans="1:36" ht="14.25" customHeight="1">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c r="AI204" s="66"/>
      <c r="AJ204" s="66"/>
    </row>
    <row r="205" spans="1:36" ht="14.25" customHeight="1">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c r="AI205" s="66"/>
      <c r="AJ205" s="66"/>
    </row>
    <row r="206" spans="1:36" ht="14.25" customHeight="1">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c r="AI206" s="66"/>
      <c r="AJ206" s="66"/>
    </row>
    <row r="207" spans="1:36" ht="14.25" customHeight="1">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c r="AI207" s="66"/>
      <c r="AJ207" s="66"/>
    </row>
    <row r="208" spans="1:36" ht="14.25" customHeight="1">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c r="AI208" s="66"/>
      <c r="AJ208" s="66"/>
    </row>
    <row r="209" spans="1:36" ht="14.25" customHeight="1">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c r="AI209" s="66"/>
      <c r="AJ209" s="66"/>
    </row>
    <row r="210" spans="1:36" ht="14.25" customHeight="1">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c r="AI210" s="66"/>
      <c r="AJ210" s="66"/>
    </row>
    <row r="211" spans="1:36" ht="14.25" customHeight="1">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c r="AI211" s="66"/>
      <c r="AJ211" s="66"/>
    </row>
    <row r="212" spans="1:36" ht="14.25" customHeight="1">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c r="AI212" s="66"/>
      <c r="AJ212" s="66"/>
    </row>
    <row r="213" spans="1:36" ht="14.25" customHeight="1">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c r="AI213" s="66"/>
      <c r="AJ213" s="66"/>
    </row>
    <row r="214" spans="1:36" ht="14.25" customHeight="1">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c r="AI214" s="66"/>
      <c r="AJ214" s="66"/>
    </row>
    <row r="215" spans="1:36" ht="14.25" customHeight="1">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c r="AI215" s="66"/>
      <c r="AJ215" s="66"/>
    </row>
    <row r="216" spans="1:36" ht="14.25" customHeight="1">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c r="AI216" s="66"/>
      <c r="AJ216" s="66"/>
    </row>
    <row r="217" spans="1:36" ht="14.25" customHeight="1">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c r="AI217" s="66"/>
      <c r="AJ217" s="66"/>
    </row>
    <row r="218" spans="1:36" ht="14.25" customHeight="1">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c r="AI218" s="66"/>
      <c r="AJ218" s="66"/>
    </row>
    <row r="219" spans="1:36" ht="14.25" customHeight="1">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c r="AI219" s="66"/>
      <c r="AJ219" s="66"/>
    </row>
    <row r="220" spans="1:36" ht="14.25" customHeight="1">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c r="AI220" s="66"/>
      <c r="AJ220" s="66"/>
    </row>
    <row r="221" spans="1:36" ht="14.25" customHeight="1">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c r="AI221" s="66"/>
      <c r="AJ221" s="66"/>
    </row>
    <row r="222" spans="1:36" ht="14.25" customHeight="1">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c r="AI222" s="66"/>
      <c r="AJ222" s="66"/>
    </row>
    <row r="223" spans="1:36" ht="14.25" customHeight="1">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c r="AI223" s="66"/>
      <c r="AJ223" s="66"/>
    </row>
    <row r="224" spans="1:36" ht="14.25" customHeight="1">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c r="AI224" s="66"/>
      <c r="AJ224" s="66"/>
    </row>
    <row r="225" spans="1:36" ht="14.25" customHeight="1">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c r="AI225" s="66"/>
      <c r="AJ225" s="66"/>
    </row>
    <row r="226" spans="1:36" ht="14.25" customHeight="1">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c r="AI226" s="66"/>
      <c r="AJ226" s="66"/>
    </row>
    <row r="227" spans="1:36" ht="14.25" customHeight="1">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c r="AI227" s="66"/>
      <c r="AJ227" s="66"/>
    </row>
    <row r="228" spans="1:36" ht="14.25" customHeight="1">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c r="AI228" s="66"/>
      <c r="AJ228" s="66"/>
    </row>
    <row r="229" spans="1:36" ht="14.25" customHeight="1">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c r="AI229" s="66"/>
      <c r="AJ229" s="66"/>
    </row>
    <row r="230" spans="1:36" ht="14.25" customHeight="1">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c r="AI230" s="66"/>
      <c r="AJ230" s="66"/>
    </row>
    <row r="231" spans="1:36" ht="14.25" customHeight="1">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c r="AI231" s="66"/>
      <c r="AJ231" s="66"/>
    </row>
    <row r="232" spans="1:36" ht="14.25" customHeight="1">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c r="AI232" s="66"/>
      <c r="AJ232" s="66"/>
    </row>
    <row r="233" spans="1:36" ht="14.25" customHeight="1">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c r="AI233" s="66"/>
      <c r="AJ233" s="66"/>
    </row>
    <row r="234" spans="1:36" ht="14.25" customHeight="1">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c r="AI234" s="66"/>
      <c r="AJ234" s="66"/>
    </row>
    <row r="235" spans="1:36" ht="14.25" customHeight="1">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c r="AI235" s="66"/>
      <c r="AJ235" s="66"/>
    </row>
    <row r="236" spans="1:36" ht="14.25" customHeight="1">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c r="AI236" s="66"/>
      <c r="AJ236" s="66"/>
    </row>
    <row r="237" spans="1:36" ht="14.25" customHeight="1">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c r="AI237" s="66"/>
      <c r="AJ237" s="66"/>
    </row>
    <row r="238" spans="1:36" ht="14.25" customHeight="1">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c r="AI238" s="66"/>
      <c r="AJ238" s="66"/>
    </row>
    <row r="239" spans="1:36" ht="14.25" customHeight="1">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c r="AI239" s="66"/>
      <c r="AJ239" s="66"/>
    </row>
    <row r="240" spans="1:36" ht="14.25" customHeight="1">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c r="AI240" s="66"/>
      <c r="AJ240" s="66"/>
    </row>
    <row r="241" spans="1:36" ht="14.25" customHeight="1">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c r="AI241" s="66"/>
      <c r="AJ241" s="66"/>
    </row>
    <row r="242" spans="1:36" ht="14.25" customHeight="1">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c r="AI242" s="66"/>
      <c r="AJ242" s="66"/>
    </row>
    <row r="243" spans="1:36" ht="14.25" customHeight="1">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c r="AI243" s="66"/>
      <c r="AJ243" s="66"/>
    </row>
    <row r="244" spans="1:36" ht="14.25" customHeight="1">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c r="AI244" s="66"/>
      <c r="AJ244" s="66"/>
    </row>
    <row r="245" spans="1:36" ht="14.25" customHeight="1">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c r="AI245" s="66"/>
      <c r="AJ245" s="66"/>
    </row>
    <row r="246" spans="1:36" ht="14.25" customHeight="1">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c r="AI246" s="66"/>
      <c r="AJ246" s="66"/>
    </row>
    <row r="247" spans="1:36" ht="14.25" customHeight="1">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c r="AI247" s="66"/>
      <c r="AJ247" s="66"/>
    </row>
    <row r="248" spans="1:36" ht="14.25" customHeight="1">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c r="AI248" s="66"/>
      <c r="AJ248" s="66"/>
    </row>
    <row r="249" spans="1:36" ht="14.25" customHeight="1">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c r="AI249" s="66"/>
      <c r="AJ249" s="66"/>
    </row>
    <row r="250" spans="1:36" ht="14.25" customHeight="1">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c r="AI250" s="66"/>
      <c r="AJ250" s="66"/>
    </row>
    <row r="251" spans="1:36" ht="14.25" customHeight="1">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c r="AI251" s="66"/>
      <c r="AJ251" s="66"/>
    </row>
    <row r="252" spans="1:36" ht="14.25" customHeight="1">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c r="AI252" s="66"/>
      <c r="AJ252" s="66"/>
    </row>
    <row r="253" spans="1:36" ht="14.25" customHeight="1">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c r="AI253" s="66"/>
      <c r="AJ253" s="66"/>
    </row>
    <row r="254" spans="1:36" ht="14.25" customHeight="1">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c r="AI254" s="66"/>
      <c r="AJ254" s="66"/>
    </row>
    <row r="255" spans="1:36" ht="14.25" customHeight="1">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c r="AI255" s="66"/>
      <c r="AJ255" s="66"/>
    </row>
    <row r="256" spans="1:36" ht="14.25" customHeight="1">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c r="AI256" s="66"/>
      <c r="AJ256" s="66"/>
    </row>
    <row r="257" spans="1:36" ht="14.25" customHeight="1">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c r="AI257" s="66"/>
      <c r="AJ257" s="66"/>
    </row>
    <row r="258" spans="1:36" ht="14.25" customHeight="1">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c r="AI258" s="66"/>
      <c r="AJ258" s="66"/>
    </row>
    <row r="259" spans="1:36" ht="14.25" customHeight="1">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c r="AI259" s="66"/>
      <c r="AJ259" s="66"/>
    </row>
    <row r="260" spans="1:36" ht="14.25" customHeight="1">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c r="AI260" s="66"/>
      <c r="AJ260" s="66"/>
    </row>
    <row r="261" spans="1:36" ht="14.25" customHeight="1">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c r="AI261" s="66"/>
      <c r="AJ261" s="66"/>
    </row>
    <row r="262" spans="1:36" ht="14.25" customHeight="1">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c r="AI262" s="66"/>
      <c r="AJ262" s="66"/>
    </row>
    <row r="263" spans="1:36" ht="14.25" customHeight="1">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c r="AI263" s="66"/>
      <c r="AJ263" s="66"/>
    </row>
    <row r="264" spans="1:36" ht="14.25" customHeight="1">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c r="AI264" s="66"/>
      <c r="AJ264" s="66"/>
    </row>
    <row r="265" spans="1:36" ht="14.25" customHeight="1">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c r="AI265" s="66"/>
      <c r="AJ265" s="66"/>
    </row>
    <row r="266" spans="1:36" ht="14.25" customHeight="1">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c r="AI266" s="66"/>
      <c r="AJ266" s="66"/>
    </row>
    <row r="267" spans="1:36" ht="14.25" customHeight="1">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c r="AI267" s="66"/>
      <c r="AJ267" s="66"/>
    </row>
    <row r="268" spans="1:36" ht="14.25" customHeight="1">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c r="AI268" s="66"/>
      <c r="AJ268" s="66"/>
    </row>
    <row r="269" spans="1:36" ht="14.25" customHeight="1">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c r="AI269" s="66"/>
      <c r="AJ269" s="66"/>
    </row>
    <row r="270" spans="1:36" ht="14.25" customHeight="1">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c r="AI270" s="66"/>
      <c r="AJ270" s="66"/>
    </row>
    <row r="271" spans="1:36" ht="14.25" customHeight="1">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c r="AI271" s="66"/>
      <c r="AJ271" s="66"/>
    </row>
    <row r="272" spans="1:36" ht="14.25" customHeight="1">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c r="AI272" s="66"/>
      <c r="AJ272" s="66"/>
    </row>
    <row r="273" spans="1:36" ht="14.25" customHeight="1">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c r="AI273" s="66"/>
      <c r="AJ273" s="66"/>
    </row>
    <row r="274" spans="1:36" ht="14.25" customHeight="1">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c r="AI274" s="66"/>
      <c r="AJ274" s="66"/>
    </row>
    <row r="275" spans="1:36" ht="15.75" customHeight="1"/>
    <row r="276" spans="1:36" ht="15.75" customHeight="1"/>
    <row r="277" spans="1:36" ht="15.75" customHeight="1"/>
    <row r="278" spans="1:36" ht="15.75" customHeight="1"/>
    <row r="279" spans="1:36" ht="15.75" customHeight="1"/>
    <row r="280" spans="1:36" ht="15.75" customHeight="1"/>
    <row r="281" spans="1:36" ht="15.75" customHeight="1"/>
    <row r="282" spans="1:36" ht="15.75" customHeight="1"/>
    <row r="283" spans="1:36" ht="15.75" customHeight="1"/>
    <row r="284" spans="1:36" ht="15.75" customHeight="1"/>
    <row r="285" spans="1:36" ht="15.75" customHeight="1"/>
    <row r="286" spans="1:36" ht="15.75" customHeight="1"/>
    <row r="287" spans="1:36" ht="15.75" customHeight="1"/>
    <row r="288" spans="1: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4">
    <mergeCell ref="O32:R32"/>
    <mergeCell ref="S32:V32"/>
    <mergeCell ref="W32:Z32"/>
    <mergeCell ref="C7:F7"/>
    <mergeCell ref="G7:J7"/>
    <mergeCell ref="K7:N7"/>
    <mergeCell ref="O7:R7"/>
    <mergeCell ref="S7:V7"/>
    <mergeCell ref="AG7:AJ7"/>
    <mergeCell ref="X34:Z34"/>
    <mergeCell ref="P34:R34"/>
    <mergeCell ref="T34:V34"/>
    <mergeCell ref="C54:H54"/>
    <mergeCell ref="I54:N54"/>
    <mergeCell ref="O54:T54"/>
    <mergeCell ref="U54:Z54"/>
    <mergeCell ref="D34:F34"/>
    <mergeCell ref="H34:J34"/>
    <mergeCell ref="L34:N34"/>
    <mergeCell ref="W7:Z7"/>
    <mergeCell ref="AB7:AE7"/>
    <mergeCell ref="C32:F32"/>
    <mergeCell ref="G32:J32"/>
    <mergeCell ref="K32:N32"/>
  </mergeCells>
  <hyperlinks>
    <hyperlink ref="F3" r:id="rId1" xr:uid="{42EB12A5-2637-4BD4-99A2-0855DB380826}"/>
  </hyperlinks>
  <pageMargins left="0.7" right="0.7" top="0.75" bottom="0.75" header="0" footer="0"/>
  <pageSetup orientation="portrait"/>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31FFC-A5F7-47AD-82CC-B55A5C5151AE}">
  <dimension ref="B2:B7"/>
  <sheetViews>
    <sheetView workbookViewId="0">
      <selection activeCell="B8" sqref="B8"/>
    </sheetView>
  </sheetViews>
  <sheetFormatPr defaultRowHeight="12.6"/>
  <sheetData>
    <row r="2" spans="2:2">
      <c r="B2" s="555" t="s">
        <v>338</v>
      </c>
    </row>
    <row r="5" spans="2:2">
      <c r="B5" s="554" t="s">
        <v>337</v>
      </c>
    </row>
    <row r="7" spans="2:2">
      <c r="B7" s="555" t="s">
        <v>358</v>
      </c>
    </row>
  </sheetData>
  <hyperlinks>
    <hyperlink ref="B2" r:id="rId1" xr:uid="{46BC8F4C-26DF-4C7F-BC2B-31C58D37C029}"/>
    <hyperlink ref="B7" r:id="rId2" xr:uid="{0895C98A-C839-4DD8-B762-25ED42E58B9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topLeftCell="A7" workbookViewId="0">
      <selection activeCell="H34" sqref="H34"/>
    </sheetView>
  </sheetViews>
  <sheetFormatPr defaultColWidth="14.453125" defaultRowHeight="15" customHeight="1"/>
  <cols>
    <col min="1" max="1" width="2.08984375" style="488" customWidth="1"/>
    <col min="2" max="2" width="43.81640625" style="488" customWidth="1"/>
    <col min="3" max="5" width="12.08984375" style="488" customWidth="1"/>
    <col min="6" max="6" width="12.81640625" style="488" customWidth="1"/>
    <col min="7" max="7" width="13.08984375" style="488" customWidth="1"/>
    <col min="8" max="8" width="13.453125" style="488" customWidth="1"/>
    <col min="9" max="9" width="13.7265625" style="488" customWidth="1"/>
    <col min="10" max="12" width="8" style="488" customWidth="1"/>
    <col min="13" max="13" width="8.453125" style="488" customWidth="1"/>
    <col min="14" max="14" width="8" style="488" customWidth="1"/>
    <col min="15" max="16" width="8.7265625" style="488" customWidth="1"/>
    <col min="17" max="17" width="11" style="488" customWidth="1"/>
    <col min="18" max="18" width="8" style="488" customWidth="1"/>
    <col min="19" max="19" width="9.7265625" style="488" customWidth="1"/>
    <col min="20" max="26" width="8.7265625" style="488" customWidth="1"/>
    <col min="27" max="16384" width="14.453125" style="488"/>
  </cols>
  <sheetData>
    <row r="1" spans="1:26" ht="13.5" customHeight="1">
      <c r="A1" s="487"/>
      <c r="B1" s="487"/>
      <c r="C1" s="487"/>
      <c r="D1" s="487"/>
      <c r="E1" s="487"/>
      <c r="F1" s="487"/>
      <c r="G1" s="487"/>
      <c r="H1" s="487"/>
      <c r="I1" s="487"/>
      <c r="J1" s="487"/>
      <c r="K1" s="487"/>
      <c r="L1" s="487"/>
      <c r="M1" s="487"/>
      <c r="N1" s="487"/>
      <c r="O1" s="487"/>
      <c r="P1" s="487"/>
      <c r="Q1" s="487"/>
      <c r="R1" s="487"/>
      <c r="S1" s="487"/>
      <c r="T1" s="487"/>
      <c r="U1" s="487"/>
      <c r="V1" s="487"/>
      <c r="W1" s="487"/>
      <c r="X1" s="487"/>
      <c r="Y1" s="487"/>
      <c r="Z1" s="487"/>
    </row>
    <row r="2" spans="1:26" ht="13.5" customHeight="1">
      <c r="A2" s="487"/>
      <c r="B2" s="537" t="str">
        <f>Corporation</f>
        <v>Taiwan SemiConductor Manufacturing Co. Ltd.</v>
      </c>
      <c r="C2" s="534" t="str">
        <f>Ticker</f>
        <v>TSM</v>
      </c>
      <c r="D2" s="487"/>
      <c r="E2" s="490"/>
      <c r="F2" s="489" t="s">
        <v>39</v>
      </c>
      <c r="G2" s="487"/>
      <c r="H2" s="487"/>
      <c r="I2" s="487"/>
      <c r="J2" s="487"/>
      <c r="K2" s="487"/>
      <c r="L2" s="487"/>
      <c r="M2" s="487"/>
      <c r="N2" s="487"/>
      <c r="O2" s="487"/>
      <c r="P2" s="487"/>
      <c r="Q2" s="487"/>
      <c r="R2" s="487"/>
      <c r="S2" s="487"/>
      <c r="T2" s="487"/>
      <c r="U2" s="487"/>
      <c r="V2" s="487"/>
      <c r="W2" s="487"/>
      <c r="X2" s="487"/>
      <c r="Y2" s="487"/>
      <c r="Z2" s="487"/>
    </row>
    <row r="3" spans="1:26" ht="13.5" customHeight="1">
      <c r="A3" s="487"/>
      <c r="B3" s="497" t="s">
        <v>332</v>
      </c>
      <c r="D3" s="487"/>
      <c r="E3" s="491"/>
      <c r="F3" s="489" t="s">
        <v>40</v>
      </c>
      <c r="G3" s="579"/>
      <c r="H3" s="492"/>
      <c r="I3" s="493"/>
      <c r="J3" s="487"/>
      <c r="K3" s="487"/>
      <c r="L3" s="487"/>
      <c r="M3" s="487"/>
      <c r="N3" s="487"/>
      <c r="O3" s="494"/>
      <c r="P3" s="487" t="s">
        <v>41</v>
      </c>
      <c r="Q3" s="487"/>
      <c r="R3" s="487"/>
      <c r="S3" s="487"/>
      <c r="T3" s="487"/>
      <c r="U3" s="487"/>
      <c r="V3" s="487"/>
      <c r="W3" s="487"/>
      <c r="X3" s="487"/>
      <c r="Y3" s="487"/>
      <c r="Z3" s="487"/>
    </row>
    <row r="4" spans="1:26" ht="13.5" customHeight="1">
      <c r="A4" s="487"/>
      <c r="B4" s="487"/>
      <c r="C4" s="487"/>
      <c r="D4" s="487"/>
      <c r="E4" s="487"/>
      <c r="F4" s="487"/>
      <c r="G4" s="578"/>
      <c r="H4" s="487"/>
      <c r="I4" s="487"/>
      <c r="J4" s="487"/>
      <c r="K4" s="487"/>
      <c r="L4" s="487"/>
      <c r="M4" s="487"/>
      <c r="N4" s="487"/>
      <c r="O4" s="487"/>
      <c r="P4" s="487"/>
      <c r="Q4" s="495"/>
      <c r="R4" s="496"/>
      <c r="S4" s="487"/>
      <c r="T4" s="487"/>
      <c r="U4" s="487"/>
      <c r="V4" s="487"/>
      <c r="W4" s="487"/>
      <c r="X4" s="487"/>
      <c r="Y4" s="487"/>
      <c r="Z4" s="487"/>
    </row>
    <row r="5" spans="1:26" ht="13.5" customHeight="1">
      <c r="A5" s="487"/>
      <c r="B5" s="487"/>
      <c r="C5" s="487"/>
      <c r="D5" s="487"/>
      <c r="E5" s="487"/>
      <c r="F5" s="487"/>
      <c r="G5" s="579"/>
      <c r="H5" s="487"/>
      <c r="I5" s="487"/>
      <c r="J5" s="487"/>
      <c r="K5" s="487"/>
      <c r="L5" s="487"/>
      <c r="M5" s="487"/>
      <c r="N5" s="487"/>
      <c r="O5" s="487"/>
      <c r="P5" s="487"/>
      <c r="Q5" s="487"/>
      <c r="R5" s="487"/>
      <c r="S5" s="487"/>
      <c r="T5" s="487"/>
      <c r="U5" s="487"/>
      <c r="V5" s="487"/>
      <c r="W5" s="487"/>
      <c r="X5" s="487"/>
      <c r="Y5" s="487"/>
      <c r="Z5" s="487" t="e">
        <f>(Z8-Y8)/Y8</f>
        <v>#DIV/0!</v>
      </c>
    </row>
    <row r="6" spans="1:26" ht="13.5" customHeight="1">
      <c r="A6" s="487"/>
      <c r="B6" s="496" t="s">
        <v>42</v>
      </c>
      <c r="C6" s="652" t="s">
        <v>43</v>
      </c>
      <c r="D6" s="653"/>
      <c r="E6" s="653"/>
      <c r="F6" s="653"/>
      <c r="G6" s="653"/>
      <c r="H6" s="497" t="s">
        <v>44</v>
      </c>
      <c r="I6" s="487"/>
      <c r="J6" s="487"/>
      <c r="K6" s="487"/>
      <c r="L6" s="496" t="s">
        <v>45</v>
      </c>
      <c r="M6" s="496"/>
      <c r="N6" s="487"/>
      <c r="O6" s="487"/>
      <c r="P6" s="487"/>
      <c r="Q6" s="487"/>
      <c r="R6" s="487"/>
      <c r="S6" s="487"/>
      <c r="T6" s="487"/>
      <c r="U6" s="487"/>
      <c r="V6" s="487"/>
      <c r="W6" s="487"/>
      <c r="X6" s="487"/>
      <c r="Y6" s="487"/>
      <c r="Z6" s="487"/>
    </row>
    <row r="7" spans="1:26" ht="13.5" customHeight="1">
      <c r="A7" s="487"/>
      <c r="B7" s="498" t="s">
        <v>46</v>
      </c>
      <c r="C7" s="499">
        <v>2016</v>
      </c>
      <c r="D7" s="499">
        <v>2017</v>
      </c>
      <c r="E7" s="499">
        <v>2018</v>
      </c>
      <c r="F7" s="499">
        <v>2019</v>
      </c>
      <c r="G7" s="499">
        <v>2020</v>
      </c>
      <c r="H7" s="500">
        <v>2021</v>
      </c>
      <c r="I7" s="501"/>
      <c r="J7" s="499">
        <v>2016</v>
      </c>
      <c r="K7" s="499">
        <v>2017</v>
      </c>
      <c r="L7" s="499">
        <v>2018</v>
      </c>
      <c r="M7" s="499">
        <v>2019</v>
      </c>
      <c r="N7" s="499">
        <v>2020</v>
      </c>
      <c r="O7" s="500">
        <v>2021</v>
      </c>
      <c r="P7" s="502" t="s">
        <v>47</v>
      </c>
      <c r="Q7" s="495"/>
      <c r="R7" s="487"/>
      <c r="S7" s="487"/>
      <c r="T7" s="487"/>
      <c r="U7" s="487"/>
      <c r="V7" s="487"/>
      <c r="W7" s="487"/>
      <c r="X7" s="487"/>
      <c r="Y7" s="487"/>
      <c r="Z7" s="487"/>
    </row>
    <row r="8" spans="1:26" ht="13.5" customHeight="1">
      <c r="A8" s="487"/>
      <c r="B8" s="503" t="s">
        <v>48</v>
      </c>
      <c r="C8" s="504">
        <f>SUM('Quarterly Forecast'!C10:F10)</f>
        <v>34125.767999999996</v>
      </c>
      <c r="D8" s="504">
        <f>SUM('Quarterly Forecast'!G10:J10)</f>
        <v>35188.092000000004</v>
      </c>
      <c r="E8" s="504">
        <f>SUM('Quarterly Forecast'!K10:N10)</f>
        <v>37133.027999999998</v>
      </c>
      <c r="F8" s="504">
        <f>SUM('Quarterly Forecast'!O10:R10)</f>
        <v>38519.64</v>
      </c>
      <c r="G8" s="504">
        <f>SUM('Quarterly Forecast'!S10:V10)</f>
        <v>48212.999999999993</v>
      </c>
      <c r="H8" s="504">
        <f>SUM('Quarterly Forecast'!W10:Z10)</f>
        <v>57195.907200000001</v>
      </c>
      <c r="I8" s="489"/>
      <c r="J8" s="489"/>
      <c r="K8" s="489"/>
      <c r="L8" s="505"/>
      <c r="M8" s="489"/>
      <c r="N8" s="489"/>
      <c r="O8" s="489"/>
      <c r="P8" s="489"/>
      <c r="Q8" s="489"/>
      <c r="R8" s="504"/>
      <c r="S8" s="506"/>
      <c r="T8" s="487"/>
      <c r="U8" s="487"/>
      <c r="V8" s="487"/>
      <c r="W8" s="487"/>
      <c r="X8" s="487"/>
      <c r="Y8" s="487"/>
      <c r="Z8" s="487"/>
    </row>
    <row r="9" spans="1:26" ht="13.5" customHeight="1">
      <c r="A9" s="487"/>
      <c r="B9" s="507" t="s">
        <v>49</v>
      </c>
      <c r="C9" s="508">
        <f>SUM('Quarterly Forecast'!C11:F11)</f>
        <v>17030.772000000001</v>
      </c>
      <c r="D9" s="508">
        <f>SUM('Quarterly Forecast'!G11:J11)</f>
        <v>17374.175999999999</v>
      </c>
      <c r="E9" s="508">
        <f>SUM('Quarterly Forecast'!K11:N11)</f>
        <v>19205.531999999999</v>
      </c>
      <c r="F9" s="508">
        <f>SUM('Quarterly Forecast'!O11:R11)</f>
        <v>20782.295999999995</v>
      </c>
      <c r="G9" s="508">
        <f>SUM('Quarterly Forecast'!S11:V11)</f>
        <v>22611.960000000003</v>
      </c>
      <c r="H9" s="508">
        <f>SUM('Quarterly Forecast'!W11:Z11)</f>
        <v>27955.818725123121</v>
      </c>
      <c r="I9" s="489"/>
      <c r="J9" s="509">
        <f t="shared" ref="J9:J19" si="0">C9/$C$8</f>
        <v>0.49905901018843013</v>
      </c>
      <c r="K9" s="509">
        <f t="shared" ref="K9:K17" si="1">D9/$D$8</f>
        <v>0.49375157936952074</v>
      </c>
      <c r="L9" s="509">
        <f t="shared" ref="L9:L17" si="2">E9/$E$8</f>
        <v>0.51720888476964499</v>
      </c>
      <c r="M9" s="509">
        <f t="shared" ref="M9:M17" si="3">F9/$F$8</f>
        <v>0.53952466845484526</v>
      </c>
      <c r="N9" s="509">
        <f t="shared" ref="N9:N17" si="4">G9/$G$8</f>
        <v>0.46900130670151219</v>
      </c>
      <c r="O9" s="509">
        <f t="shared" ref="O9:O17" si="5">H9/$H$8</f>
        <v>0.48877306250897479</v>
      </c>
      <c r="P9" s="509">
        <f t="shared" ref="P9:P19" si="6">AVERAGE(J9:N9)</f>
        <v>0.50370908989679064</v>
      </c>
      <c r="Q9" s="510"/>
      <c r="R9" s="504"/>
      <c r="S9" s="506"/>
      <c r="T9" s="487"/>
      <c r="U9" s="487"/>
      <c r="V9" s="487"/>
      <c r="W9" s="487"/>
      <c r="X9" s="487"/>
      <c r="Y9" s="487"/>
      <c r="Z9" s="487"/>
    </row>
    <row r="10" spans="1:26" ht="13.5" customHeight="1">
      <c r="A10" s="487"/>
      <c r="B10" s="503" t="s">
        <v>50</v>
      </c>
      <c r="C10" s="511">
        <f t="shared" ref="C10:G10" si="7">C8-C9</f>
        <v>17094.995999999996</v>
      </c>
      <c r="D10" s="511">
        <f t="shared" si="7"/>
        <v>17813.916000000005</v>
      </c>
      <c r="E10" s="511">
        <f t="shared" si="7"/>
        <v>17927.495999999999</v>
      </c>
      <c r="F10" s="511">
        <f t="shared" si="7"/>
        <v>17737.344000000005</v>
      </c>
      <c r="G10" s="511">
        <f t="shared" si="7"/>
        <v>25601.03999999999</v>
      </c>
      <c r="H10" s="508">
        <f>SUM('Quarterly Forecast'!W13:Z13)</f>
        <v>29237.388474876883</v>
      </c>
      <c r="I10" s="489"/>
      <c r="J10" s="512">
        <f t="shared" si="0"/>
        <v>0.50094098981156987</v>
      </c>
      <c r="K10" s="512">
        <f t="shared" si="1"/>
        <v>0.50624842063047926</v>
      </c>
      <c r="L10" s="512">
        <f t="shared" si="2"/>
        <v>0.48279111523035506</v>
      </c>
      <c r="M10" s="512">
        <f t="shared" si="3"/>
        <v>0.46047533154515474</v>
      </c>
      <c r="N10" s="512">
        <f t="shared" si="4"/>
        <v>0.53099869329848781</v>
      </c>
      <c r="O10" s="512">
        <f t="shared" si="5"/>
        <v>0.51117973131610517</v>
      </c>
      <c r="P10" s="509">
        <f t="shared" si="6"/>
        <v>0.49629091010320936</v>
      </c>
      <c r="Q10" s="510"/>
      <c r="R10" s="504"/>
      <c r="S10" s="506"/>
      <c r="T10" s="487"/>
      <c r="U10" s="487"/>
      <c r="V10" s="487"/>
      <c r="W10" s="487"/>
      <c r="X10" s="487"/>
      <c r="Y10" s="487"/>
      <c r="Z10" s="487"/>
    </row>
    <row r="11" spans="1:26" ht="13.5" customHeight="1">
      <c r="A11" s="487"/>
      <c r="B11" s="513" t="s">
        <v>51</v>
      </c>
      <c r="C11" s="504">
        <f>SUM('Quarterly Forecast'!C14:F14)</f>
        <v>3488.5439999999999</v>
      </c>
      <c r="D11" s="504">
        <f>SUM('Quarterly Forecast'!G14:J14)</f>
        <v>3884.4359999999997</v>
      </c>
      <c r="E11" s="504">
        <f>SUM('Quarterly Forecast'!K14:N14)</f>
        <v>4037.3639999999996</v>
      </c>
      <c r="F11" s="504">
        <f>SUM('Quarterly Forecast'!O14:R14)</f>
        <v>4302.1440000000002</v>
      </c>
      <c r="G11" s="504">
        <f>SUM('Quarterly Forecast'!S14:V14)</f>
        <v>5222.0159999999996</v>
      </c>
      <c r="H11" s="508">
        <f>SUM('Quarterly Forecast'!W14:Z14)</f>
        <v>6046.2413825938929</v>
      </c>
      <c r="I11" s="489"/>
      <c r="J11" s="509">
        <f t="shared" si="0"/>
        <v>0.10222609495557727</v>
      </c>
      <c r="K11" s="509">
        <f t="shared" si="1"/>
        <v>0.11039064010631776</v>
      </c>
      <c r="L11" s="509">
        <f t="shared" si="2"/>
        <v>0.10872703405712025</v>
      </c>
      <c r="M11" s="509">
        <f t="shared" si="3"/>
        <v>0.11168702511238424</v>
      </c>
      <c r="N11" s="509">
        <f t="shared" si="4"/>
        <v>0.10831136830315476</v>
      </c>
      <c r="O11" s="509">
        <f t="shared" si="5"/>
        <v>0.1057110845615522</v>
      </c>
      <c r="P11" s="509">
        <f t="shared" si="6"/>
        <v>0.10826843250691087</v>
      </c>
      <c r="Q11" s="510"/>
      <c r="R11" s="504"/>
      <c r="S11" s="506"/>
      <c r="T11" s="487"/>
      <c r="U11" s="487"/>
      <c r="V11" s="487"/>
      <c r="W11" s="487"/>
      <c r="X11" s="487"/>
      <c r="Y11" s="487"/>
      <c r="Z11" s="487"/>
    </row>
    <row r="12" spans="1:26" ht="13.5" customHeight="1">
      <c r="A12" s="487"/>
      <c r="B12" s="507" t="s">
        <v>52</v>
      </c>
      <c r="C12" s="508">
        <f>SUM('Quarterly Forecast'!C15:F15)</f>
        <v>-1.044</v>
      </c>
      <c r="D12" s="508">
        <f>SUM('Quarterly Forecast'!G15:J15)</f>
        <v>49.14</v>
      </c>
      <c r="E12" s="508">
        <f>SUM('Quarterly Forecast'!K15:N15)</f>
        <v>75.63600000000001</v>
      </c>
      <c r="F12" s="508">
        <f>SUM('Quarterly Forecast'!O15:R15)</f>
        <v>17.856000000000002</v>
      </c>
      <c r="G12" s="508">
        <f>SUM('Quarterly Forecast'!S15:V15)</f>
        <v>-25.559999999999995</v>
      </c>
      <c r="H12" s="508">
        <f>SUM('Quarterly Forecast'!W15:Z15)</f>
        <v>8.2439999999999998</v>
      </c>
      <c r="I12" s="489"/>
      <c r="J12" s="509">
        <f t="shared" si="0"/>
        <v>-3.0592718089157731E-5</v>
      </c>
      <c r="K12" s="509">
        <f t="shared" si="1"/>
        <v>1.3964951552360382E-3</v>
      </c>
      <c r="L12" s="509">
        <f t="shared" si="2"/>
        <v>2.0368928706810557E-3</v>
      </c>
      <c r="M12" s="509">
        <f t="shared" si="3"/>
        <v>4.6355573416573991E-4</v>
      </c>
      <c r="N12" s="509">
        <f t="shared" si="4"/>
        <v>-5.3014747059921597E-4</v>
      </c>
      <c r="O12" s="509">
        <f t="shared" si="5"/>
        <v>1.441361874228651E-4</v>
      </c>
      <c r="P12" s="509">
        <f t="shared" si="6"/>
        <v>6.6724071427889194E-4</v>
      </c>
      <c r="Q12" s="510"/>
      <c r="R12" s="504"/>
      <c r="S12" s="506"/>
      <c r="T12" s="487"/>
      <c r="U12" s="487"/>
      <c r="V12" s="487"/>
      <c r="W12" s="487"/>
      <c r="X12" s="487"/>
      <c r="Y12" s="487"/>
      <c r="Z12" s="487"/>
    </row>
    <row r="13" spans="1:26" ht="13.5" customHeight="1">
      <c r="A13" s="487"/>
      <c r="B13" s="503" t="s">
        <v>53</v>
      </c>
      <c r="C13" s="511">
        <f t="shared" ref="C13:G13" si="8">C10-C11-C12</f>
        <v>13607.495999999996</v>
      </c>
      <c r="D13" s="511">
        <f t="shared" si="8"/>
        <v>13880.340000000006</v>
      </c>
      <c r="E13" s="511">
        <f t="shared" si="8"/>
        <v>13814.495999999999</v>
      </c>
      <c r="F13" s="511">
        <f t="shared" si="8"/>
        <v>13417.344000000005</v>
      </c>
      <c r="G13" s="511">
        <f t="shared" si="8"/>
        <v>20404.583999999992</v>
      </c>
      <c r="H13" s="511">
        <f>SUM('Quarterly Forecast'!W16:Z16)</f>
        <v>23182.903092282988</v>
      </c>
      <c r="I13" s="489"/>
      <c r="J13" s="512">
        <f t="shared" si="0"/>
        <v>0.39874548757408174</v>
      </c>
      <c r="K13" s="512">
        <f t="shared" si="1"/>
        <v>0.3944612853689255</v>
      </c>
      <c r="L13" s="512">
        <f t="shared" si="2"/>
        <v>0.37202718830255371</v>
      </c>
      <c r="M13" s="512">
        <f t="shared" si="3"/>
        <v>0.3483247506986048</v>
      </c>
      <c r="N13" s="512">
        <f t="shared" si="4"/>
        <v>0.42321747246593233</v>
      </c>
      <c r="O13" s="512">
        <f t="shared" si="5"/>
        <v>0.40532451056712998</v>
      </c>
      <c r="P13" s="509">
        <f t="shared" si="6"/>
        <v>0.38735523688201956</v>
      </c>
      <c r="Q13" s="487"/>
      <c r="R13" s="504"/>
      <c r="S13" s="506"/>
      <c r="T13" s="487"/>
      <c r="U13" s="487"/>
      <c r="V13" s="487"/>
      <c r="W13" s="487"/>
      <c r="X13" s="487"/>
      <c r="Y13" s="487"/>
      <c r="Z13" s="487"/>
    </row>
    <row r="14" spans="1:26" ht="13.5" customHeight="1">
      <c r="A14" s="487"/>
      <c r="B14" s="513" t="s">
        <v>54</v>
      </c>
      <c r="C14" s="504">
        <f>SUM('Quarterly Forecast'!C17:F17)</f>
        <v>0</v>
      </c>
      <c r="D14" s="504">
        <f>SUM('Quarterly Forecast'!G17:J17)</f>
        <v>0</v>
      </c>
      <c r="E14" s="504">
        <f>SUM('Quarterly Forecast'!K17:N17)</f>
        <v>0</v>
      </c>
      <c r="F14" s="504">
        <f>SUM('Quarterly Forecast'!O17:R17)</f>
        <v>0</v>
      </c>
      <c r="G14" s="504">
        <f>SUM('Quarterly Forecast'!S17:V17)</f>
        <v>0</v>
      </c>
      <c r="H14" s="504">
        <f>SUM('Quarterly Forecast'!W17:Z17)</f>
        <v>0</v>
      </c>
      <c r="I14" s="489"/>
      <c r="J14" s="509">
        <f t="shared" si="0"/>
        <v>0</v>
      </c>
      <c r="K14" s="509">
        <f t="shared" si="1"/>
        <v>0</v>
      </c>
      <c r="L14" s="509">
        <f t="shared" si="2"/>
        <v>0</v>
      </c>
      <c r="M14" s="509">
        <f t="shared" si="3"/>
        <v>0</v>
      </c>
      <c r="N14" s="509">
        <f t="shared" si="4"/>
        <v>0</v>
      </c>
      <c r="O14" s="509">
        <f t="shared" si="5"/>
        <v>0</v>
      </c>
      <c r="P14" s="509">
        <f t="shared" si="6"/>
        <v>0</v>
      </c>
      <c r="Q14" s="510"/>
      <c r="R14" s="504"/>
      <c r="S14" s="506"/>
      <c r="T14" s="487"/>
      <c r="U14" s="487"/>
      <c r="V14" s="487"/>
      <c r="W14" s="487"/>
      <c r="X14" s="487"/>
      <c r="Y14" s="487"/>
      <c r="Z14" s="487"/>
    </row>
    <row r="15" spans="1:26" ht="13.5" customHeight="1">
      <c r="A15" s="487"/>
      <c r="B15" s="507" t="s">
        <v>55</v>
      </c>
      <c r="C15" s="508">
        <f>SUM('Quarterly Forecast'!C18:F18)</f>
        <v>288.072</v>
      </c>
      <c r="D15" s="508">
        <f>SUM('Quarterly Forecast'!G18:J18)</f>
        <v>380.62799999999999</v>
      </c>
      <c r="E15" s="508">
        <f>SUM('Quarterly Forecast'!K18:N18)</f>
        <v>499.89599999999996</v>
      </c>
      <c r="F15" s="508">
        <f>SUM('Quarterly Forecast'!O18:R18)</f>
        <v>617.18399999999997</v>
      </c>
      <c r="G15" s="508">
        <f>SUM('Quarterly Forecast'!S18:V18)</f>
        <v>647.74800000000005</v>
      </c>
      <c r="H15" s="508">
        <f>SUM('Quarterly Forecast'!W18:Z18)</f>
        <v>580.4451907607862</v>
      </c>
      <c r="I15" s="489"/>
      <c r="J15" s="509">
        <f t="shared" si="0"/>
        <v>8.4414803499806967E-3</v>
      </c>
      <c r="K15" s="509">
        <f t="shared" si="1"/>
        <v>1.0816954781179949E-2</v>
      </c>
      <c r="L15" s="509">
        <f t="shared" si="2"/>
        <v>1.3462301000607867E-2</v>
      </c>
      <c r="M15" s="509">
        <f t="shared" si="3"/>
        <v>1.6022579650277105E-2</v>
      </c>
      <c r="N15" s="509">
        <f t="shared" si="4"/>
        <v>1.3435131603509429E-2</v>
      </c>
      <c r="O15" s="509">
        <f t="shared" si="5"/>
        <v>1.014836933578328E-2</v>
      </c>
      <c r="P15" s="509">
        <f t="shared" si="6"/>
        <v>1.2435689477111008E-2</v>
      </c>
      <c r="Q15" s="510"/>
      <c r="R15" s="504"/>
      <c r="S15" s="506"/>
      <c r="T15" s="487"/>
      <c r="U15" s="487"/>
      <c r="V15" s="487"/>
      <c r="W15" s="487"/>
      <c r="X15" s="487"/>
      <c r="Y15" s="487"/>
      <c r="Z15" s="487"/>
    </row>
    <row r="16" spans="1:26" ht="13.5" customHeight="1">
      <c r="A16" s="487"/>
      <c r="B16" s="503" t="s">
        <v>56</v>
      </c>
      <c r="C16" s="504">
        <f t="shared" ref="C16:G16" si="9">C13-C14+C15</f>
        <v>13895.567999999996</v>
      </c>
      <c r="D16" s="504">
        <f t="shared" si="9"/>
        <v>14260.968000000006</v>
      </c>
      <c r="E16" s="504">
        <f t="shared" si="9"/>
        <v>14314.392</v>
      </c>
      <c r="F16" s="504">
        <f t="shared" si="9"/>
        <v>14034.528000000004</v>
      </c>
      <c r="G16" s="504">
        <f t="shared" si="9"/>
        <v>21052.331999999991</v>
      </c>
      <c r="H16" s="504">
        <f>SUM('Quarterly Forecast'!W19:Z19)</f>
        <v>23763.348283043775</v>
      </c>
      <c r="I16" s="489"/>
      <c r="J16" s="509">
        <f t="shared" si="0"/>
        <v>0.40718696792406245</v>
      </c>
      <c r="K16" s="509">
        <f t="shared" si="1"/>
        <v>0.40527824015010544</v>
      </c>
      <c r="L16" s="509">
        <f t="shared" si="2"/>
        <v>0.38548948930316163</v>
      </c>
      <c r="M16" s="509">
        <f t="shared" si="3"/>
        <v>0.36434733034888189</v>
      </c>
      <c r="N16" s="509">
        <f t="shared" si="4"/>
        <v>0.43665260406944173</v>
      </c>
      <c r="O16" s="509">
        <f t="shared" si="5"/>
        <v>0.41547287990291332</v>
      </c>
      <c r="P16" s="509">
        <f t="shared" si="6"/>
        <v>0.39979092635913061</v>
      </c>
      <c r="Q16" s="510"/>
      <c r="R16" s="504"/>
      <c r="S16" s="506"/>
      <c r="T16" s="487"/>
      <c r="U16" s="487"/>
      <c r="V16" s="487"/>
      <c r="W16" s="487"/>
      <c r="X16" s="487"/>
      <c r="Y16" s="487"/>
      <c r="Z16" s="487"/>
    </row>
    <row r="17" spans="1:26" ht="13.5" customHeight="1">
      <c r="A17" s="487"/>
      <c r="B17" s="514" t="s">
        <v>57</v>
      </c>
      <c r="C17" s="515">
        <f>SUM('Quarterly Forecast'!C20:F20)</f>
        <v>1858.3560000000002</v>
      </c>
      <c r="D17" s="515">
        <f>SUM('Quarterly Forecast'!G20:J20)</f>
        <v>1907.4959999999996</v>
      </c>
      <c r="E17" s="515">
        <f>SUM('Quarterly Forecast'!K20:N20)</f>
        <v>1669.8960000000002</v>
      </c>
      <c r="F17" s="515">
        <f>SUM('Quarterly Forecast'!O20:R20)</f>
        <v>1602.0360000000001</v>
      </c>
      <c r="G17" s="515">
        <f>SUM('Quarterly Forecast'!S20:V20)</f>
        <v>2398.2839999999997</v>
      </c>
      <c r="H17" s="515">
        <f>SUM('Quarterly Forecast'!W20:Z20)</f>
        <v>2406.0023077786818</v>
      </c>
      <c r="I17" s="489"/>
      <c r="J17" s="509">
        <f t="shared" si="0"/>
        <v>5.445609312001419E-2</v>
      </c>
      <c r="K17" s="509">
        <f t="shared" si="1"/>
        <v>5.4208565784129456E-2</v>
      </c>
      <c r="L17" s="509">
        <f t="shared" si="2"/>
        <v>4.4970639076350044E-2</v>
      </c>
      <c r="M17" s="509">
        <f t="shared" si="3"/>
        <v>4.1590108318769338E-2</v>
      </c>
      <c r="N17" s="509">
        <f t="shared" si="4"/>
        <v>4.9743513160350944E-2</v>
      </c>
      <c r="O17" s="509">
        <f t="shared" si="5"/>
        <v>4.2065987333070605E-2</v>
      </c>
      <c r="P17" s="509">
        <f t="shared" si="6"/>
        <v>4.8993783891922792E-2</v>
      </c>
      <c r="Q17" s="510"/>
      <c r="R17" s="504"/>
      <c r="S17" s="506"/>
      <c r="T17" s="487"/>
      <c r="U17" s="487"/>
      <c r="V17" s="487"/>
      <c r="W17" s="487"/>
      <c r="X17" s="487"/>
      <c r="Y17" s="487"/>
      <c r="Z17" s="487"/>
    </row>
    <row r="18" spans="1:26" ht="13.5" customHeight="1">
      <c r="A18" s="487"/>
      <c r="B18" s="513" t="s">
        <v>58</v>
      </c>
      <c r="C18" s="515">
        <f>SUM('Quarterly Forecast'!C21:F21)</f>
        <v>0</v>
      </c>
      <c r="D18" s="515">
        <f>SUM('Quarterly Forecast'!G21:J21)</f>
        <v>0</v>
      </c>
      <c r="E18" s="515">
        <f>SUM('Quarterly Forecast'!K21:N21)</f>
        <v>0</v>
      </c>
      <c r="F18" s="515">
        <f>SUM('Quarterly Forecast'!O21:R21)</f>
        <v>0</v>
      </c>
      <c r="G18" s="515">
        <f>SUM('Quarterly Forecast'!S21:V21)</f>
        <v>0</v>
      </c>
      <c r="H18" s="515">
        <f>SUM('Quarterly Forecast'!W21:Z21)</f>
        <v>0</v>
      </c>
      <c r="I18" s="489"/>
      <c r="J18" s="509">
        <f t="shared" si="0"/>
        <v>0</v>
      </c>
      <c r="K18" s="509">
        <f t="shared" ref="K18:O18" si="10">D18/$C$8</f>
        <v>0</v>
      </c>
      <c r="L18" s="509">
        <f t="shared" si="10"/>
        <v>0</v>
      </c>
      <c r="M18" s="509">
        <f t="shared" si="10"/>
        <v>0</v>
      </c>
      <c r="N18" s="509">
        <f t="shared" si="10"/>
        <v>0</v>
      </c>
      <c r="O18" s="509">
        <f t="shared" si="10"/>
        <v>0</v>
      </c>
      <c r="P18" s="509">
        <f t="shared" si="6"/>
        <v>0</v>
      </c>
      <c r="Q18" s="510"/>
      <c r="R18" s="504"/>
      <c r="S18" s="506"/>
      <c r="T18" s="487"/>
      <c r="U18" s="487"/>
      <c r="V18" s="487"/>
      <c r="W18" s="487"/>
      <c r="X18" s="487"/>
      <c r="Y18" s="487"/>
      <c r="Z18" s="487"/>
    </row>
    <row r="19" spans="1:26" ht="13.5" customHeight="1">
      <c r="A19" s="487"/>
      <c r="B19" s="503" t="s">
        <v>59</v>
      </c>
      <c r="C19" s="511">
        <f t="shared" ref="C19:H19" si="11">C16-C17+C18</f>
        <v>12037.211999999996</v>
      </c>
      <c r="D19" s="511">
        <f t="shared" si="11"/>
        <v>12353.472000000007</v>
      </c>
      <c r="E19" s="511">
        <f t="shared" si="11"/>
        <v>12644.495999999999</v>
      </c>
      <c r="F19" s="511">
        <f t="shared" si="11"/>
        <v>12432.492000000004</v>
      </c>
      <c r="G19" s="511">
        <f t="shared" si="11"/>
        <v>18654.047999999992</v>
      </c>
      <c r="H19" s="511">
        <f t="shared" si="11"/>
        <v>21357.345975265092</v>
      </c>
      <c r="I19" s="489"/>
      <c r="J19" s="512">
        <f t="shared" si="0"/>
        <v>0.3527308748040483</v>
      </c>
      <c r="K19" s="512">
        <f>D19/$D$8</f>
        <v>0.35106967436597603</v>
      </c>
      <c r="L19" s="512">
        <f>E19/$E$8</f>
        <v>0.34051885022681155</v>
      </c>
      <c r="M19" s="512">
        <f>F19/$F$8</f>
        <v>0.32275722203011253</v>
      </c>
      <c r="N19" s="512">
        <f>G19/$G$8</f>
        <v>0.38690909090909081</v>
      </c>
      <c r="O19" s="512">
        <f>H19/$H$8</f>
        <v>0.37340689256984266</v>
      </c>
      <c r="P19" s="509">
        <f t="shared" si="6"/>
        <v>0.35079714246720783</v>
      </c>
      <c r="Q19" s="510"/>
      <c r="R19" s="504"/>
      <c r="S19" s="506"/>
      <c r="T19" s="487"/>
      <c r="U19" s="487"/>
      <c r="V19" s="487"/>
      <c r="W19" s="487"/>
      <c r="X19" s="487"/>
      <c r="Y19" s="487"/>
      <c r="Z19" s="487"/>
    </row>
    <row r="20" spans="1:26" ht="13.5" customHeight="1">
      <c r="A20" s="487"/>
      <c r="B20" s="513" t="s">
        <v>60</v>
      </c>
      <c r="C20" s="504">
        <f>SUM('Quarterly Forecast'!C26:F26)*IS!C27</f>
        <v>701.98724736000008</v>
      </c>
      <c r="D20" s="504">
        <f>SUM('Quarterly Forecast'!G26:J26)*IS!D27</f>
        <v>859.74767928000006</v>
      </c>
      <c r="E20" s="504">
        <f>SUM('Quarterly Forecast'!K26:N26)*IS!E27</f>
        <v>967.09945248000008</v>
      </c>
      <c r="F20" s="504">
        <f>SUM('Quarterly Forecast'!O26:R26)*IS!F27</f>
        <v>1488.9224196</v>
      </c>
      <c r="G20" s="504">
        <f>SUM('Quarterly Forecast'!S26:V26)*IS!G27</f>
        <v>1257.4159869600001</v>
      </c>
      <c r="H20" s="504">
        <f>Dividends__TTM*H27</f>
        <v>1354.4993296800001</v>
      </c>
      <c r="I20" s="489"/>
      <c r="J20" s="489"/>
      <c r="K20" s="489"/>
      <c r="L20" s="489"/>
      <c r="M20" s="509"/>
      <c r="N20" s="489"/>
      <c r="O20" s="489"/>
      <c r="P20" s="489"/>
      <c r="Q20" s="489"/>
      <c r="R20" s="504"/>
      <c r="S20" s="506"/>
      <c r="T20" s="487"/>
      <c r="U20" s="487"/>
      <c r="V20" s="487"/>
      <c r="W20" s="487"/>
      <c r="X20" s="487"/>
      <c r="Y20" s="487"/>
      <c r="Z20" s="487"/>
    </row>
    <row r="21" spans="1:26" ht="13.5" customHeight="1">
      <c r="A21" s="487"/>
      <c r="B21" s="503"/>
      <c r="C21" s="505"/>
      <c r="D21" s="489"/>
      <c r="E21" s="489"/>
      <c r="F21" s="489"/>
      <c r="G21" s="489"/>
      <c r="H21" s="504"/>
      <c r="I21" s="489"/>
      <c r="J21" s="489"/>
      <c r="K21" s="489"/>
      <c r="L21" s="489"/>
      <c r="M21" s="489"/>
      <c r="N21" s="489"/>
      <c r="O21" s="489"/>
      <c r="P21" s="489"/>
      <c r="Q21" s="489"/>
      <c r="R21" s="487"/>
      <c r="S21" s="487"/>
      <c r="T21" s="487"/>
      <c r="U21" s="487"/>
      <c r="V21" s="487"/>
      <c r="W21" s="487"/>
      <c r="X21" s="487"/>
      <c r="Y21" s="487"/>
      <c r="Z21" s="487"/>
    </row>
    <row r="22" spans="1:26" ht="13.5" customHeight="1">
      <c r="A22" s="487"/>
      <c r="B22" s="516"/>
      <c r="C22" s="505"/>
      <c r="D22" s="505"/>
      <c r="E22" s="505"/>
      <c r="F22" s="505"/>
      <c r="G22" s="505"/>
      <c r="H22" s="505"/>
      <c r="I22" s="489"/>
      <c r="J22" s="489"/>
      <c r="K22" s="489"/>
      <c r="L22" s="489"/>
      <c r="M22" s="489"/>
      <c r="N22" s="489"/>
      <c r="O22" s="489"/>
      <c r="P22" s="489"/>
      <c r="Q22" s="489"/>
      <c r="R22" s="489"/>
      <c r="S22" s="487"/>
      <c r="T22" s="487"/>
      <c r="U22" s="487"/>
      <c r="V22" s="487"/>
      <c r="W22" s="487"/>
      <c r="X22" s="487"/>
      <c r="Y22" s="487"/>
      <c r="Z22" s="487"/>
    </row>
    <row r="23" spans="1:26" ht="13.5" customHeight="1">
      <c r="A23" s="487"/>
      <c r="B23" s="517" t="s">
        <v>61</v>
      </c>
      <c r="C23" s="518"/>
      <c r="D23" s="519">
        <f t="shared" ref="D23:H23" si="12">D8/C8-1</f>
        <v>3.1129673037688432E-2</v>
      </c>
      <c r="E23" s="519">
        <f t="shared" si="12"/>
        <v>5.5272562092880673E-2</v>
      </c>
      <c r="F23" s="519">
        <f t="shared" si="12"/>
        <v>3.7341743312718778E-2</v>
      </c>
      <c r="G23" s="519">
        <f t="shared" si="12"/>
        <v>0.25164721165618342</v>
      </c>
      <c r="H23" s="520">
        <f t="shared" si="12"/>
        <v>0.18631711778980797</v>
      </c>
      <c r="I23" s="487"/>
      <c r="J23" s="521">
        <f>AVERAGE(D23:G23)</f>
        <v>9.3847797524867826E-2</v>
      </c>
      <c r="K23" s="489" t="s">
        <v>62</v>
      </c>
      <c r="L23" s="489"/>
      <c r="M23" s="489"/>
      <c r="N23" s="489"/>
      <c r="O23" s="489"/>
      <c r="P23" s="489"/>
      <c r="Q23" s="489"/>
      <c r="R23" s="489"/>
      <c r="S23" s="487"/>
      <c r="T23" s="487"/>
      <c r="U23" s="487"/>
      <c r="V23" s="487"/>
      <c r="W23" s="487"/>
      <c r="X23" s="487"/>
      <c r="Y23" s="487"/>
      <c r="Z23" s="487"/>
    </row>
    <row r="24" spans="1:26" ht="13.5" customHeight="1">
      <c r="A24" s="487"/>
      <c r="B24" s="513"/>
      <c r="C24" s="489"/>
      <c r="D24" s="489"/>
      <c r="E24" s="489"/>
      <c r="F24" s="489"/>
      <c r="G24" s="489"/>
      <c r="H24" s="489"/>
      <c r="I24" s="489"/>
      <c r="J24" s="489"/>
      <c r="K24" s="489"/>
      <c r="L24" s="489"/>
      <c r="M24" s="489"/>
      <c r="N24" s="489"/>
      <c r="O24" s="489"/>
      <c r="P24" s="489"/>
      <c r="Q24" s="489"/>
      <c r="R24" s="489"/>
      <c r="S24" s="487"/>
      <c r="T24" s="487"/>
      <c r="U24" s="487"/>
      <c r="V24" s="487"/>
      <c r="W24" s="487"/>
      <c r="X24" s="487"/>
      <c r="Y24" s="487"/>
      <c r="Z24" s="487"/>
    </row>
    <row r="25" spans="1:26" ht="13.5" customHeight="1">
      <c r="A25" s="487"/>
      <c r="B25" s="513" t="s">
        <v>63</v>
      </c>
      <c r="C25" s="510">
        <f t="shared" ref="C25:H25" si="13">C17/C16</f>
        <v>0.13373731825859878</v>
      </c>
      <c r="D25" s="510">
        <f t="shared" si="13"/>
        <v>0.13375641821789369</v>
      </c>
      <c r="E25" s="510">
        <f t="shared" si="13"/>
        <v>0.11665853499051865</v>
      </c>
      <c r="F25" s="510">
        <f t="shared" si="13"/>
        <v>0.11414961728673736</v>
      </c>
      <c r="G25" s="510">
        <f t="shared" si="13"/>
        <v>0.11392011108318074</v>
      </c>
      <c r="H25" s="510">
        <f t="shared" si="13"/>
        <v>0.10124845535742424</v>
      </c>
      <c r="I25" s="489"/>
      <c r="J25" s="509">
        <f>AVERAGE(C25:G25)</f>
        <v>0.12244439996738585</v>
      </c>
      <c r="K25" s="489" t="s">
        <v>64</v>
      </c>
      <c r="L25" s="489"/>
      <c r="M25" s="489"/>
      <c r="N25" s="489"/>
      <c r="O25" s="489"/>
      <c r="P25" s="489"/>
      <c r="Q25" s="489"/>
      <c r="R25" s="489"/>
      <c r="S25" s="487"/>
      <c r="T25" s="487"/>
      <c r="U25" s="487"/>
      <c r="V25" s="487"/>
      <c r="W25" s="487"/>
      <c r="X25" s="487"/>
      <c r="Y25" s="487"/>
      <c r="Z25" s="487"/>
    </row>
    <row r="26" spans="1:26" ht="13.5" customHeight="1">
      <c r="A26" s="487"/>
      <c r="B26" s="513"/>
      <c r="C26" s="489"/>
      <c r="D26" s="489"/>
      <c r="E26" s="489"/>
      <c r="F26" s="489"/>
      <c r="G26" s="489"/>
      <c r="H26" s="489"/>
      <c r="I26" s="489"/>
      <c r="J26" s="489"/>
      <c r="K26" s="489"/>
      <c r="L26" s="489"/>
      <c r="M26" s="489"/>
      <c r="N26" s="489"/>
      <c r="O26" s="489"/>
      <c r="P26" s="489"/>
      <c r="Q26" s="489"/>
      <c r="R26" s="489"/>
      <c r="S26" s="487"/>
      <c r="T26" s="487"/>
      <c r="U26" s="487"/>
      <c r="V26" s="487"/>
      <c r="W26" s="487"/>
      <c r="X26" s="487"/>
      <c r="Y26" s="487"/>
      <c r="Z26" s="487"/>
    </row>
    <row r="27" spans="1:26" ht="13.5" customHeight="1">
      <c r="A27" s="487"/>
      <c r="B27" s="513" t="s">
        <v>65</v>
      </c>
      <c r="C27" s="522">
        <f>AVERAGE('Quarterly Forecast'!C28:F28)</f>
        <v>933.49368000000004</v>
      </c>
      <c r="D27" s="522">
        <f>AVERAGE('Quarterly Forecast'!G28:J28)</f>
        <v>933.49368000000004</v>
      </c>
      <c r="E27" s="522">
        <f>AVERAGE('Quarterly Forecast'!K28:N28)</f>
        <v>933.49368000000004</v>
      </c>
      <c r="F27" s="522">
        <f>AVERAGE('Quarterly Forecast'!O28:R28)</f>
        <v>933.49368000000004</v>
      </c>
      <c r="G27" s="522">
        <f>AVERAGE('Quarterly Forecast'!S28:V28)</f>
        <v>933.49368000000004</v>
      </c>
      <c r="H27" s="523">
        <f>AVERAGE('Quarterly Forecast'!Z28)</f>
        <v>933.49368000000004</v>
      </c>
      <c r="I27" s="489"/>
      <c r="J27" s="489"/>
      <c r="K27" s="489"/>
      <c r="L27" s="489"/>
      <c r="M27" s="489"/>
      <c r="N27" s="489"/>
      <c r="O27" s="489"/>
      <c r="P27" s="489"/>
      <c r="Q27" s="489"/>
      <c r="R27" s="489"/>
      <c r="S27" s="487"/>
      <c r="T27" s="487"/>
      <c r="U27" s="487"/>
      <c r="V27" s="487"/>
      <c r="W27" s="487"/>
      <c r="X27" s="487"/>
      <c r="Y27" s="487"/>
      <c r="Z27" s="487"/>
    </row>
    <row r="28" spans="1:26" ht="13.5" customHeight="1">
      <c r="A28" s="487"/>
      <c r="B28" s="513"/>
      <c r="C28" s="489"/>
      <c r="D28" s="489"/>
      <c r="E28" s="489"/>
      <c r="F28" s="489"/>
      <c r="G28" s="489"/>
      <c r="H28" s="489"/>
      <c r="I28" s="489"/>
      <c r="J28" s="489"/>
      <c r="K28" s="489"/>
      <c r="L28" s="489"/>
      <c r="M28" s="489"/>
      <c r="N28" s="489"/>
      <c r="O28" s="489"/>
      <c r="P28" s="487"/>
      <c r="Q28" s="487"/>
      <c r="R28" s="489"/>
      <c r="S28" s="487"/>
      <c r="T28" s="487"/>
      <c r="U28" s="487"/>
      <c r="V28" s="487"/>
      <c r="W28" s="487"/>
      <c r="X28" s="487"/>
      <c r="Y28" s="487"/>
      <c r="Z28" s="487"/>
    </row>
    <row r="29" spans="1:26" ht="13.5" customHeight="1">
      <c r="A29" s="487"/>
      <c r="B29" s="513" t="s">
        <v>66</v>
      </c>
      <c r="C29" s="504">
        <f t="shared" ref="C29:H29" si="14">C19/C27</f>
        <v>12.89479753092704</v>
      </c>
      <c r="D29" s="504">
        <f t="shared" si="14"/>
        <v>13.233589326496572</v>
      </c>
      <c r="E29" s="504">
        <f t="shared" si="14"/>
        <v>13.545347195066173</v>
      </c>
      <c r="F29" s="504">
        <f t="shared" si="14"/>
        <v>13.318239069385026</v>
      </c>
      <c r="G29" s="504">
        <f t="shared" si="14"/>
        <v>19.983046912540416</v>
      </c>
      <c r="H29" s="524">
        <f t="shared" si="14"/>
        <v>22.878940085877272</v>
      </c>
      <c r="I29" s="489" t="s">
        <v>67</v>
      </c>
      <c r="J29" s="489"/>
      <c r="K29" s="489"/>
      <c r="L29" s="489"/>
      <c r="M29" s="489"/>
      <c r="N29" s="489"/>
      <c r="O29" s="489"/>
      <c r="P29" s="487"/>
      <c r="Q29" s="487"/>
      <c r="R29" s="489"/>
      <c r="S29" s="487"/>
      <c r="T29" s="487"/>
      <c r="U29" s="487"/>
      <c r="V29" s="487"/>
      <c r="W29" s="487"/>
      <c r="X29" s="487"/>
      <c r="Y29" s="487"/>
      <c r="Z29" s="487"/>
    </row>
    <row r="30" spans="1:26" ht="13.5" customHeight="1">
      <c r="A30" s="487"/>
      <c r="B30" s="513" t="s">
        <v>68</v>
      </c>
      <c r="C30" s="525">
        <f t="shared" ref="C30:G30" si="15">C20/C27</f>
        <v>0.752</v>
      </c>
      <c r="D30" s="525">
        <f t="shared" si="15"/>
        <v>0.92100000000000004</v>
      </c>
      <c r="E30" s="525">
        <f t="shared" si="15"/>
        <v>1.036</v>
      </c>
      <c r="F30" s="525">
        <f t="shared" si="15"/>
        <v>1.595</v>
      </c>
      <c r="G30" s="525">
        <f t="shared" si="15"/>
        <v>1.347</v>
      </c>
      <c r="H30" s="524">
        <f>Dividends__TTM</f>
        <v>1.4510000000000001</v>
      </c>
      <c r="I30" s="489"/>
      <c r="J30" s="489"/>
      <c r="K30" s="489"/>
      <c r="L30" s="489"/>
      <c r="M30" s="489"/>
      <c r="N30" s="489"/>
      <c r="O30" s="489"/>
      <c r="P30" s="489"/>
      <c r="Q30" s="489"/>
      <c r="R30" s="489"/>
      <c r="S30" s="487"/>
      <c r="T30" s="487"/>
      <c r="U30" s="487"/>
      <c r="V30" s="487"/>
      <c r="W30" s="487"/>
      <c r="X30" s="487"/>
      <c r="Y30" s="487"/>
      <c r="Z30" s="487"/>
    </row>
    <row r="31" spans="1:26" ht="13.5" customHeight="1">
      <c r="A31" s="487"/>
      <c r="B31" s="513" t="s">
        <v>69</v>
      </c>
      <c r="C31" s="526">
        <f t="shared" ref="C31:H31" si="16">C30/C29</f>
        <v>5.8318092873997751E-2</v>
      </c>
      <c r="D31" s="526">
        <f t="shared" si="16"/>
        <v>6.9595631032312172E-2</v>
      </c>
      <c r="E31" s="526">
        <f t="shared" si="16"/>
        <v>7.6483827625869791E-2</v>
      </c>
      <c r="F31" s="526">
        <f t="shared" si="16"/>
        <v>0.11976057733236423</v>
      </c>
      <c r="G31" s="526">
        <f t="shared" si="16"/>
        <v>6.7407137955257782E-2</v>
      </c>
      <c r="H31" s="526">
        <f t="shared" si="16"/>
        <v>6.3420770129804849E-2</v>
      </c>
      <c r="I31" s="489"/>
      <c r="J31" s="489"/>
      <c r="K31" s="489"/>
      <c r="L31" s="489"/>
      <c r="M31" s="489"/>
      <c r="N31" s="489"/>
      <c r="O31" s="489"/>
      <c r="P31" s="489"/>
      <c r="Q31" s="489"/>
      <c r="R31" s="489"/>
      <c r="S31" s="487"/>
      <c r="T31" s="487"/>
      <c r="U31" s="487"/>
      <c r="V31" s="487"/>
      <c r="W31" s="487"/>
      <c r="X31" s="487"/>
      <c r="Y31" s="487"/>
      <c r="Z31" s="487"/>
    </row>
    <row r="32" spans="1:26" ht="13.5" customHeight="1">
      <c r="A32" s="487"/>
      <c r="B32" s="513" t="s">
        <v>70</v>
      </c>
      <c r="C32" s="504"/>
      <c r="D32" s="504"/>
      <c r="E32" s="504"/>
      <c r="F32" s="504"/>
      <c r="G32" s="504"/>
      <c r="H32" s="570">
        <f>Return_on_Equity*(1-H31)</f>
        <v>0.24632683735022384</v>
      </c>
      <c r="I32" s="489"/>
      <c r="J32" s="489"/>
      <c r="K32" s="489"/>
      <c r="L32" s="489"/>
      <c r="M32" s="489"/>
      <c r="N32" s="489"/>
      <c r="O32" s="489"/>
      <c r="P32" s="489"/>
      <c r="Q32" s="489"/>
      <c r="R32" s="489"/>
      <c r="S32" s="487"/>
      <c r="T32" s="487"/>
      <c r="U32" s="487"/>
      <c r="V32" s="487"/>
      <c r="W32" s="487"/>
      <c r="X32" s="487"/>
      <c r="Y32" s="487"/>
      <c r="Z32" s="487"/>
    </row>
    <row r="33" spans="1:26" ht="13.5" customHeight="1">
      <c r="A33" s="487"/>
      <c r="B33" s="513"/>
      <c r="C33" s="504"/>
      <c r="D33" s="504"/>
      <c r="E33" s="504"/>
      <c r="F33" s="504"/>
      <c r="G33" s="504"/>
      <c r="H33" s="524"/>
      <c r="I33" s="489"/>
      <c r="J33" s="489"/>
      <c r="K33" s="489"/>
      <c r="L33" s="489"/>
      <c r="M33" s="489"/>
      <c r="N33" s="489"/>
      <c r="O33" s="489"/>
      <c r="P33" s="489"/>
      <c r="Q33" s="489"/>
      <c r="R33" s="489"/>
      <c r="S33" s="487"/>
      <c r="T33" s="487"/>
      <c r="U33" s="487"/>
      <c r="V33" s="487"/>
      <c r="W33" s="487"/>
      <c r="X33" s="487"/>
      <c r="Y33" s="487"/>
      <c r="Z33" s="487"/>
    </row>
    <row r="34" spans="1:26" ht="13.5" customHeight="1">
      <c r="A34" s="487"/>
      <c r="B34" s="513" t="s">
        <v>71</v>
      </c>
      <c r="C34" s="504">
        <f t="shared" ref="C34:H34" si="17">C8/C27</f>
        <v>36.557042357265871</v>
      </c>
      <c r="D34" s="504">
        <f t="shared" si="17"/>
        <v>37.695051133072482</v>
      </c>
      <c r="E34" s="504">
        <f t="shared" si="17"/>
        <v>39.77855318741954</v>
      </c>
      <c r="F34" s="504">
        <f t="shared" si="17"/>
        <v>41.263953709895496</v>
      </c>
      <c r="G34" s="504">
        <f t="shared" si="17"/>
        <v>51.647912602900526</v>
      </c>
      <c r="H34" s="524">
        <f t="shared" si="17"/>
        <v>61.27080281893285</v>
      </c>
      <c r="I34" s="489" t="s">
        <v>72</v>
      </c>
      <c r="J34" s="489"/>
      <c r="K34" s="489"/>
      <c r="L34" s="489"/>
      <c r="M34" s="489"/>
      <c r="N34" s="489"/>
      <c r="O34" s="489"/>
      <c r="P34" s="489"/>
      <c r="Q34" s="489"/>
      <c r="R34" s="489"/>
      <c r="S34" s="487"/>
      <c r="T34" s="487"/>
      <c r="U34" s="487"/>
      <c r="V34" s="487"/>
      <c r="W34" s="487"/>
      <c r="X34" s="487"/>
      <c r="Y34" s="487"/>
      <c r="Z34" s="487"/>
    </row>
    <row r="35" spans="1:26" ht="13.5" customHeight="1">
      <c r="A35" s="487"/>
      <c r="B35" s="513"/>
      <c r="C35" s="504"/>
      <c r="D35" s="504"/>
      <c r="E35" s="504"/>
      <c r="F35" s="504"/>
      <c r="G35" s="504"/>
      <c r="H35" s="524"/>
      <c r="I35" s="489"/>
      <c r="J35" s="489"/>
      <c r="K35" s="489"/>
      <c r="L35" s="489"/>
      <c r="M35" s="489"/>
      <c r="N35" s="489"/>
      <c r="O35" s="489"/>
      <c r="P35" s="489"/>
      <c r="Q35" s="489"/>
      <c r="R35" s="489"/>
      <c r="S35" s="487"/>
      <c r="T35" s="487"/>
      <c r="U35" s="487"/>
      <c r="V35" s="487"/>
      <c r="W35" s="487"/>
      <c r="X35" s="487"/>
      <c r="Y35" s="487"/>
      <c r="Z35" s="487"/>
    </row>
    <row r="36" spans="1:26" ht="13.5" customHeight="1">
      <c r="A36" s="487"/>
      <c r="B36" s="513"/>
      <c r="C36" s="487"/>
      <c r="D36" s="487"/>
      <c r="E36" s="489"/>
      <c r="F36" s="489"/>
      <c r="G36" s="509"/>
      <c r="H36" s="489"/>
      <c r="I36" s="489"/>
      <c r="J36" s="489"/>
      <c r="K36" s="489"/>
      <c r="L36" s="489"/>
      <c r="M36" s="489"/>
      <c r="N36" s="489"/>
      <c r="O36" s="489"/>
      <c r="P36" s="489"/>
      <c r="Q36" s="489"/>
      <c r="R36" s="489"/>
      <c r="S36" s="487"/>
      <c r="T36" s="487"/>
      <c r="U36" s="487"/>
      <c r="V36" s="487"/>
      <c r="W36" s="487"/>
      <c r="X36" s="487"/>
      <c r="Y36" s="487"/>
      <c r="Z36" s="487"/>
    </row>
    <row r="37" spans="1:26" ht="13.5" customHeight="1">
      <c r="A37" s="487"/>
      <c r="B37" s="527"/>
      <c r="C37" s="487"/>
      <c r="D37" s="487"/>
      <c r="E37" s="489"/>
      <c r="F37" s="489"/>
      <c r="G37" s="504"/>
      <c r="H37" s="489"/>
      <c r="I37" s="489"/>
      <c r="J37" s="489"/>
      <c r="K37" s="489"/>
      <c r="L37" s="489"/>
      <c r="M37" s="489"/>
      <c r="N37" s="489"/>
      <c r="O37" s="489"/>
      <c r="P37" s="489"/>
      <c r="Q37" s="489"/>
      <c r="R37" s="489"/>
      <c r="S37" s="487"/>
      <c r="T37" s="487"/>
      <c r="U37" s="487"/>
      <c r="V37" s="487"/>
      <c r="W37" s="487"/>
      <c r="X37" s="487"/>
      <c r="Y37" s="487"/>
      <c r="Z37" s="487"/>
    </row>
    <row r="38" spans="1:26" ht="13.5" customHeight="1">
      <c r="A38" s="528"/>
      <c r="B38" s="529"/>
      <c r="C38" s="530"/>
      <c r="D38" s="530"/>
      <c r="E38" s="530"/>
      <c r="F38" s="530"/>
      <c r="G38" s="530"/>
      <c r="H38" s="530"/>
      <c r="I38" s="530"/>
      <c r="J38" s="530"/>
      <c r="K38" s="530"/>
      <c r="L38" s="530"/>
      <c r="M38" s="530"/>
      <c r="N38" s="530"/>
      <c r="O38" s="530"/>
      <c r="P38" s="530"/>
      <c r="Q38" s="530"/>
      <c r="R38" s="530"/>
      <c r="S38" s="528"/>
      <c r="T38" s="528"/>
      <c r="U38" s="528"/>
      <c r="V38" s="528"/>
      <c r="W38" s="528"/>
      <c r="X38" s="528"/>
      <c r="Y38" s="528"/>
      <c r="Z38" s="528"/>
    </row>
    <row r="39" spans="1:26" ht="13.5" customHeight="1">
      <c r="A39" s="487"/>
      <c r="B39" s="531"/>
      <c r="C39" s="532"/>
      <c r="D39" s="532"/>
      <c r="E39" s="532"/>
      <c r="F39" s="532"/>
      <c r="G39" s="532"/>
      <c r="H39" s="489"/>
      <c r="I39" s="487"/>
      <c r="J39" s="487"/>
      <c r="K39" s="487"/>
      <c r="L39" s="487"/>
      <c r="M39" s="487"/>
      <c r="N39" s="487"/>
      <c r="O39" s="487"/>
      <c r="P39" s="487"/>
      <c r="Q39" s="487"/>
      <c r="R39" s="487"/>
      <c r="S39" s="487"/>
      <c r="T39" s="487"/>
      <c r="U39" s="487"/>
      <c r="V39" s="487"/>
      <c r="W39" s="487"/>
      <c r="X39" s="487"/>
      <c r="Y39" s="487"/>
      <c r="Z39" s="487"/>
    </row>
    <row r="40" spans="1:26" ht="13.5" customHeight="1">
      <c r="A40" s="487"/>
      <c r="B40" s="531" t="s">
        <v>73</v>
      </c>
      <c r="C40" s="532"/>
      <c r="D40" s="532"/>
      <c r="E40" s="532"/>
      <c r="F40" s="532"/>
      <c r="G40" s="532"/>
      <c r="H40" s="489"/>
      <c r="I40" s="487"/>
      <c r="J40" s="487"/>
      <c r="K40" s="487"/>
      <c r="L40" s="487"/>
      <c r="M40" s="487"/>
      <c r="N40" s="487"/>
      <c r="O40" s="487"/>
      <c r="P40" s="487"/>
      <c r="Q40" s="487"/>
      <c r="R40" s="487"/>
      <c r="S40" s="487"/>
      <c r="T40" s="487"/>
      <c r="U40" s="487"/>
      <c r="V40" s="487"/>
      <c r="W40" s="487"/>
      <c r="X40" s="487"/>
      <c r="Y40" s="487"/>
      <c r="Z40" s="487"/>
    </row>
    <row r="41" spans="1:26" ht="13.5" customHeight="1">
      <c r="A41" s="487"/>
      <c r="B41" s="489"/>
      <c r="C41" s="533"/>
      <c r="D41" s="533"/>
      <c r="E41" s="533"/>
      <c r="F41" s="533"/>
      <c r="G41" s="533"/>
      <c r="H41" s="521"/>
      <c r="I41" s="487"/>
      <c r="J41" s="487"/>
      <c r="K41" s="487"/>
      <c r="L41" s="487"/>
      <c r="M41" s="487"/>
      <c r="N41" s="487"/>
      <c r="O41" s="487"/>
      <c r="P41" s="487"/>
      <c r="Q41" s="487"/>
      <c r="R41" s="487"/>
      <c r="S41" s="487"/>
      <c r="T41" s="487"/>
      <c r="U41" s="487"/>
      <c r="V41" s="487"/>
      <c r="W41" s="487"/>
      <c r="X41" s="487"/>
      <c r="Y41" s="487"/>
      <c r="Z41" s="487"/>
    </row>
    <row r="42" spans="1:26" ht="13.5" customHeight="1">
      <c r="A42" s="487"/>
      <c r="B42" s="534" t="s">
        <v>74</v>
      </c>
      <c r="C42" s="533"/>
      <c r="D42" s="533"/>
      <c r="E42" s="533"/>
      <c r="F42" s="533"/>
      <c r="G42" s="533"/>
      <c r="H42" s="535"/>
      <c r="I42" s="487"/>
      <c r="J42" s="487"/>
      <c r="K42" s="487"/>
      <c r="L42" s="487"/>
      <c r="M42" s="487"/>
      <c r="N42" s="487"/>
      <c r="O42" s="487"/>
      <c r="P42" s="487"/>
      <c r="Q42" s="487"/>
      <c r="R42" s="487"/>
      <c r="S42" s="487"/>
      <c r="T42" s="487"/>
      <c r="U42" s="487"/>
      <c r="V42" s="487"/>
      <c r="W42" s="487"/>
      <c r="X42" s="487"/>
      <c r="Y42" s="487"/>
      <c r="Z42" s="487"/>
    </row>
    <row r="43" spans="1:26" ht="13.5" customHeight="1">
      <c r="A43" s="487"/>
      <c r="B43" s="534" t="s">
        <v>75</v>
      </c>
      <c r="C43" s="533"/>
      <c r="D43" s="509"/>
      <c r="E43" s="509"/>
      <c r="F43" s="509"/>
      <c r="G43" s="509"/>
      <c r="H43" s="509"/>
      <c r="I43" s="489"/>
      <c r="J43" s="487"/>
      <c r="K43" s="487"/>
      <c r="L43" s="487"/>
      <c r="M43" s="487"/>
      <c r="N43" s="487"/>
      <c r="O43" s="487"/>
      <c r="P43" s="487"/>
      <c r="Q43" s="487"/>
      <c r="R43" s="487"/>
      <c r="S43" s="487"/>
      <c r="T43" s="487"/>
      <c r="U43" s="487"/>
      <c r="V43" s="487"/>
      <c r="W43" s="487"/>
      <c r="X43" s="487"/>
      <c r="Y43" s="487"/>
      <c r="Z43" s="487"/>
    </row>
    <row r="44" spans="1:26" ht="13.5" customHeight="1">
      <c r="A44" s="487"/>
      <c r="B44" s="654" t="s">
        <v>76</v>
      </c>
      <c r="C44" s="653"/>
      <c r="D44" s="653"/>
      <c r="E44" s="653"/>
      <c r="F44" s="653"/>
      <c r="G44" s="653"/>
      <c r="H44" s="653"/>
      <c r="I44" s="653"/>
      <c r="J44" s="653"/>
      <c r="K44" s="653"/>
      <c r="L44" s="653"/>
      <c r="M44" s="653"/>
      <c r="N44" s="653"/>
      <c r="O44" s="653"/>
      <c r="P44" s="653"/>
      <c r="Q44" s="653"/>
      <c r="R44" s="653"/>
      <c r="S44" s="653"/>
      <c r="T44" s="487"/>
      <c r="U44" s="487"/>
      <c r="V44" s="487"/>
      <c r="W44" s="487"/>
      <c r="X44" s="487"/>
      <c r="Y44" s="487"/>
      <c r="Z44" s="487"/>
    </row>
    <row r="45" spans="1:26" ht="13.5" customHeight="1">
      <c r="A45" s="487"/>
      <c r="B45" s="534" t="s">
        <v>77</v>
      </c>
      <c r="C45" s="492"/>
      <c r="D45" s="492"/>
      <c r="E45" s="492"/>
      <c r="F45" s="492"/>
      <c r="G45" s="492"/>
      <c r="H45" s="536"/>
      <c r="I45" s="487"/>
      <c r="J45" s="487"/>
      <c r="K45" s="487"/>
      <c r="L45" s="487"/>
      <c r="M45" s="487"/>
      <c r="N45" s="487"/>
      <c r="O45" s="487"/>
      <c r="P45" s="487"/>
      <c r="Q45" s="487"/>
      <c r="R45" s="487"/>
      <c r="S45" s="487"/>
      <c r="T45" s="487"/>
      <c r="U45" s="487"/>
      <c r="V45" s="487"/>
      <c r="W45" s="487"/>
      <c r="X45" s="487"/>
      <c r="Y45" s="487"/>
      <c r="Z45" s="487"/>
    </row>
    <row r="46" spans="1:26" ht="13.5" customHeight="1">
      <c r="A46" s="487"/>
      <c r="B46" s="487"/>
      <c r="C46" s="492"/>
      <c r="D46" s="492"/>
      <c r="E46" s="492"/>
      <c r="F46" s="492"/>
      <c r="G46" s="492"/>
      <c r="H46" s="492"/>
      <c r="I46" s="487"/>
      <c r="J46" s="487"/>
      <c r="K46" s="487"/>
      <c r="L46" s="487"/>
      <c r="M46" s="487"/>
      <c r="N46" s="487"/>
      <c r="O46" s="487"/>
      <c r="P46" s="487"/>
      <c r="Q46" s="487"/>
      <c r="R46" s="487"/>
      <c r="S46" s="487"/>
      <c r="T46" s="487"/>
      <c r="U46" s="487"/>
      <c r="V46" s="487"/>
      <c r="W46" s="487"/>
      <c r="X46" s="487"/>
      <c r="Y46" s="487"/>
      <c r="Z46" s="487"/>
    </row>
    <row r="47" spans="1:26" ht="13.5" customHeight="1">
      <c r="A47" s="487"/>
      <c r="B47" s="487"/>
      <c r="C47" s="487"/>
      <c r="D47" s="487"/>
      <c r="E47" s="487"/>
      <c r="F47" s="487"/>
      <c r="G47" s="487"/>
      <c r="H47" s="487"/>
      <c r="I47" s="487"/>
      <c r="J47" s="487"/>
      <c r="K47" s="487"/>
      <c r="L47" s="487"/>
      <c r="M47" s="487"/>
      <c r="N47" s="487"/>
      <c r="O47" s="487"/>
      <c r="P47" s="487"/>
      <c r="Q47" s="487"/>
      <c r="R47" s="487"/>
      <c r="S47" s="487"/>
      <c r="T47" s="487"/>
      <c r="U47" s="487"/>
      <c r="V47" s="487"/>
      <c r="W47" s="487"/>
      <c r="X47" s="487"/>
      <c r="Y47" s="487"/>
      <c r="Z47" s="487"/>
    </row>
    <row r="48" spans="1:26" ht="13.5" customHeight="1">
      <c r="A48" s="487"/>
      <c r="B48" s="487"/>
      <c r="C48" s="487"/>
      <c r="D48" s="487"/>
      <c r="E48" s="487"/>
      <c r="F48" s="487"/>
      <c r="G48" s="487"/>
      <c r="H48" s="487"/>
      <c r="I48" s="487"/>
      <c r="J48" s="487"/>
      <c r="K48" s="487"/>
      <c r="L48" s="487"/>
      <c r="M48" s="487"/>
      <c r="N48" s="487"/>
      <c r="O48" s="487"/>
      <c r="P48" s="487"/>
      <c r="Q48" s="487"/>
      <c r="R48" s="487"/>
      <c r="S48" s="487"/>
      <c r="T48" s="487"/>
      <c r="U48" s="487"/>
      <c r="V48" s="487"/>
      <c r="W48" s="487"/>
      <c r="X48" s="487"/>
      <c r="Y48" s="487"/>
      <c r="Z48" s="487"/>
    </row>
    <row r="49" spans="1:26" ht="13.5" customHeight="1">
      <c r="A49" s="487"/>
      <c r="B49" s="487"/>
      <c r="C49" s="487"/>
      <c r="D49" s="487"/>
      <c r="E49" s="487"/>
      <c r="F49" s="487"/>
      <c r="G49" s="487"/>
      <c r="H49" s="487"/>
      <c r="I49" s="487"/>
      <c r="J49" s="487"/>
      <c r="K49" s="487"/>
      <c r="L49" s="487"/>
      <c r="M49" s="487"/>
      <c r="N49" s="487"/>
      <c r="O49" s="487"/>
      <c r="P49" s="487"/>
      <c r="Q49" s="487"/>
      <c r="R49" s="487"/>
      <c r="S49" s="487"/>
      <c r="T49" s="487"/>
      <c r="U49" s="487"/>
      <c r="V49" s="487"/>
      <c r="W49" s="487"/>
      <c r="X49" s="487"/>
      <c r="Y49" s="487"/>
      <c r="Z49" s="487"/>
    </row>
    <row r="50" spans="1:26" ht="13.5" customHeight="1">
      <c r="A50" s="487"/>
      <c r="B50" s="487"/>
      <c r="C50" s="487"/>
      <c r="D50" s="487"/>
      <c r="E50" s="487"/>
      <c r="F50" s="487"/>
      <c r="G50" s="487"/>
      <c r="H50" s="487"/>
      <c r="I50" s="487"/>
      <c r="J50" s="487"/>
      <c r="K50" s="487"/>
      <c r="L50" s="487"/>
      <c r="M50" s="487"/>
      <c r="N50" s="487"/>
      <c r="O50" s="487"/>
      <c r="P50" s="487"/>
      <c r="Q50" s="487"/>
      <c r="R50" s="487"/>
      <c r="S50" s="487"/>
      <c r="T50" s="487"/>
      <c r="U50" s="487"/>
      <c r="V50" s="487"/>
      <c r="W50" s="487"/>
      <c r="X50" s="487"/>
      <c r="Y50" s="487"/>
      <c r="Z50" s="487"/>
    </row>
    <row r="51" spans="1:26" ht="13.5" customHeight="1">
      <c r="A51" s="487"/>
      <c r="B51" s="487"/>
      <c r="C51" s="487"/>
      <c r="D51" s="487"/>
      <c r="E51" s="487"/>
      <c r="F51" s="487"/>
      <c r="G51" s="487"/>
      <c r="H51" s="487"/>
      <c r="I51" s="487"/>
      <c r="J51" s="487"/>
      <c r="K51" s="487"/>
      <c r="L51" s="487"/>
      <c r="M51" s="487"/>
      <c r="N51" s="487"/>
      <c r="O51" s="487"/>
      <c r="P51" s="487"/>
      <c r="Q51" s="487"/>
      <c r="R51" s="487"/>
      <c r="S51" s="487"/>
      <c r="T51" s="487"/>
      <c r="U51" s="487"/>
      <c r="V51" s="487"/>
      <c r="W51" s="487"/>
      <c r="X51" s="487"/>
      <c r="Y51" s="487"/>
      <c r="Z51" s="487"/>
    </row>
    <row r="52" spans="1:26" ht="13.5" customHeight="1">
      <c r="A52" s="487"/>
      <c r="B52" s="487"/>
      <c r="C52" s="487"/>
      <c r="D52" s="487"/>
      <c r="E52" s="487"/>
      <c r="F52" s="487"/>
      <c r="G52" s="487"/>
      <c r="H52" s="487"/>
      <c r="I52" s="487"/>
      <c r="J52" s="487"/>
      <c r="K52" s="487"/>
      <c r="L52" s="487"/>
      <c r="M52" s="487"/>
      <c r="N52" s="487"/>
      <c r="O52" s="487"/>
      <c r="P52" s="487"/>
      <c r="Q52" s="487"/>
      <c r="R52" s="487"/>
      <c r="S52" s="487"/>
      <c r="T52" s="487"/>
      <c r="U52" s="487"/>
      <c r="V52" s="487"/>
      <c r="W52" s="487"/>
      <c r="X52" s="487"/>
      <c r="Y52" s="487"/>
      <c r="Z52" s="487"/>
    </row>
    <row r="53" spans="1:26" ht="13.5" customHeight="1">
      <c r="A53" s="487"/>
      <c r="B53" s="487"/>
      <c r="C53" s="487"/>
      <c r="D53" s="487"/>
      <c r="E53" s="487"/>
      <c r="F53" s="487"/>
      <c r="G53" s="487"/>
      <c r="H53" s="487"/>
      <c r="I53" s="487"/>
      <c r="J53" s="487"/>
      <c r="K53" s="487"/>
      <c r="L53" s="487"/>
      <c r="M53" s="487"/>
      <c r="N53" s="487"/>
      <c r="O53" s="487"/>
      <c r="P53" s="487"/>
      <c r="Q53" s="487"/>
      <c r="R53" s="487"/>
      <c r="S53" s="487"/>
      <c r="T53" s="487"/>
      <c r="U53" s="487"/>
      <c r="V53" s="487"/>
      <c r="W53" s="487"/>
      <c r="X53" s="487"/>
      <c r="Y53" s="487"/>
      <c r="Z53" s="487"/>
    </row>
    <row r="54" spans="1:26" ht="13.5" customHeight="1">
      <c r="A54" s="487"/>
      <c r="B54" s="487"/>
      <c r="C54" s="487"/>
      <c r="D54" s="487"/>
      <c r="E54" s="487"/>
      <c r="F54" s="487"/>
      <c r="G54" s="487"/>
      <c r="H54" s="487"/>
      <c r="I54" s="487"/>
      <c r="J54" s="487"/>
      <c r="K54" s="487"/>
      <c r="L54" s="487"/>
      <c r="M54" s="487"/>
      <c r="N54" s="487"/>
      <c r="O54" s="487"/>
      <c r="P54" s="487"/>
      <c r="Q54" s="487"/>
      <c r="R54" s="487"/>
      <c r="S54" s="487"/>
      <c r="T54" s="487"/>
      <c r="U54" s="487"/>
      <c r="V54" s="487"/>
      <c r="W54" s="487"/>
      <c r="X54" s="487"/>
      <c r="Y54" s="487"/>
      <c r="Z54" s="487"/>
    </row>
    <row r="55" spans="1:26" ht="13.5" customHeight="1">
      <c r="A55" s="487"/>
      <c r="B55" s="487"/>
      <c r="C55" s="487"/>
      <c r="D55" s="487"/>
      <c r="E55" s="487"/>
      <c r="F55" s="487"/>
      <c r="G55" s="487"/>
      <c r="H55" s="487"/>
      <c r="I55" s="487"/>
      <c r="J55" s="487"/>
      <c r="K55" s="487"/>
      <c r="L55" s="487"/>
      <c r="M55" s="487"/>
      <c r="N55" s="487"/>
      <c r="O55" s="487"/>
      <c r="P55" s="487"/>
      <c r="Q55" s="487"/>
      <c r="R55" s="487"/>
      <c r="S55" s="487"/>
      <c r="T55" s="487"/>
      <c r="U55" s="487"/>
      <c r="V55" s="487"/>
      <c r="W55" s="487"/>
      <c r="X55" s="487"/>
      <c r="Y55" s="487"/>
      <c r="Z55" s="487"/>
    </row>
    <row r="56" spans="1:26" ht="13.5" customHeight="1">
      <c r="A56" s="487"/>
      <c r="B56" s="487"/>
      <c r="C56" s="487"/>
      <c r="D56" s="487"/>
      <c r="E56" s="487"/>
      <c r="F56" s="487"/>
      <c r="G56" s="487"/>
      <c r="H56" s="487"/>
      <c r="I56" s="487"/>
      <c r="J56" s="487"/>
      <c r="K56" s="487"/>
      <c r="L56" s="487"/>
      <c r="M56" s="487"/>
      <c r="N56" s="487"/>
      <c r="O56" s="487"/>
      <c r="P56" s="487"/>
      <c r="Q56" s="487"/>
      <c r="R56" s="487"/>
      <c r="S56" s="487"/>
      <c r="T56" s="487"/>
      <c r="U56" s="487"/>
      <c r="V56" s="487"/>
      <c r="W56" s="487"/>
      <c r="X56" s="487"/>
      <c r="Y56" s="487"/>
      <c r="Z56" s="487"/>
    </row>
    <row r="57" spans="1:26" ht="13.5" customHeight="1">
      <c r="A57" s="487"/>
      <c r="B57" s="487"/>
      <c r="C57" s="487"/>
      <c r="D57" s="487"/>
      <c r="E57" s="487"/>
      <c r="F57" s="487"/>
      <c r="G57" s="487"/>
      <c r="H57" s="487"/>
      <c r="I57" s="487"/>
      <c r="J57" s="487"/>
      <c r="K57" s="487"/>
      <c r="L57" s="487"/>
      <c r="M57" s="487"/>
      <c r="N57" s="487"/>
      <c r="O57" s="487"/>
      <c r="P57" s="487"/>
      <c r="Q57" s="487"/>
      <c r="R57" s="487"/>
      <c r="S57" s="487"/>
      <c r="T57" s="487"/>
      <c r="U57" s="487"/>
      <c r="V57" s="487"/>
      <c r="W57" s="487"/>
      <c r="X57" s="487"/>
      <c r="Y57" s="487"/>
      <c r="Z57" s="487"/>
    </row>
    <row r="58" spans="1:26" ht="13.5" customHeight="1">
      <c r="A58" s="487"/>
      <c r="B58" s="487"/>
      <c r="C58" s="487"/>
      <c r="D58" s="487"/>
      <c r="E58" s="487"/>
      <c r="F58" s="487"/>
      <c r="G58" s="487"/>
      <c r="H58" s="487"/>
      <c r="I58" s="487"/>
      <c r="J58" s="487"/>
      <c r="K58" s="487"/>
      <c r="L58" s="487"/>
      <c r="M58" s="487"/>
      <c r="N58" s="487"/>
      <c r="O58" s="487"/>
      <c r="P58" s="487"/>
      <c r="Q58" s="487"/>
      <c r="R58" s="487"/>
      <c r="S58" s="487"/>
      <c r="T58" s="487"/>
      <c r="U58" s="487"/>
      <c r="V58" s="487"/>
      <c r="W58" s="487"/>
      <c r="X58" s="487"/>
      <c r="Y58" s="487"/>
      <c r="Z58" s="487"/>
    </row>
    <row r="59" spans="1:26" ht="13.5" customHeight="1">
      <c r="A59" s="487"/>
      <c r="B59" s="487"/>
      <c r="C59" s="487"/>
      <c r="D59" s="487"/>
      <c r="E59" s="487"/>
      <c r="F59" s="487"/>
      <c r="G59" s="487"/>
      <c r="H59" s="487"/>
      <c r="I59" s="487"/>
      <c r="J59" s="487"/>
      <c r="K59" s="487"/>
      <c r="L59" s="487"/>
      <c r="M59" s="487"/>
      <c r="N59" s="487"/>
      <c r="O59" s="487"/>
      <c r="P59" s="487"/>
      <c r="Q59" s="487"/>
      <c r="R59" s="487"/>
      <c r="S59" s="487"/>
      <c r="T59" s="487"/>
      <c r="U59" s="487"/>
      <c r="V59" s="487"/>
      <c r="W59" s="487"/>
      <c r="X59" s="487"/>
      <c r="Y59" s="487"/>
      <c r="Z59" s="487"/>
    </row>
    <row r="60" spans="1:26" ht="13.5" customHeight="1">
      <c r="A60" s="487"/>
      <c r="B60" s="487"/>
      <c r="C60" s="487"/>
      <c r="D60" s="487"/>
      <c r="E60" s="487"/>
      <c r="F60" s="487"/>
      <c r="G60" s="487"/>
      <c r="H60" s="487"/>
      <c r="I60" s="487"/>
      <c r="J60" s="487"/>
      <c r="K60" s="487"/>
      <c r="L60" s="487"/>
      <c r="M60" s="487"/>
      <c r="N60" s="487"/>
      <c r="O60" s="487"/>
      <c r="P60" s="487"/>
      <c r="Q60" s="487"/>
      <c r="R60" s="487"/>
      <c r="S60" s="487"/>
      <c r="T60" s="487"/>
      <c r="U60" s="487"/>
      <c r="V60" s="487"/>
      <c r="W60" s="487"/>
      <c r="X60" s="487"/>
      <c r="Y60" s="487"/>
      <c r="Z60" s="487"/>
    </row>
    <row r="61" spans="1:26" ht="13.5" customHeight="1">
      <c r="A61" s="487"/>
      <c r="B61" s="487"/>
      <c r="C61" s="487"/>
      <c r="D61" s="487"/>
      <c r="E61" s="487"/>
      <c r="F61" s="487"/>
      <c r="G61" s="487"/>
      <c r="H61" s="487"/>
      <c r="I61" s="487"/>
      <c r="J61" s="487"/>
      <c r="K61" s="487"/>
      <c r="L61" s="487"/>
      <c r="M61" s="487"/>
      <c r="N61" s="487"/>
      <c r="O61" s="487"/>
      <c r="P61" s="487"/>
      <c r="Q61" s="487"/>
      <c r="R61" s="487"/>
      <c r="S61" s="487"/>
      <c r="T61" s="487"/>
      <c r="U61" s="487"/>
      <c r="V61" s="487"/>
      <c r="W61" s="487"/>
      <c r="X61" s="487"/>
      <c r="Y61" s="487"/>
      <c r="Z61" s="487"/>
    </row>
    <row r="62" spans="1:26" ht="13.5" customHeight="1">
      <c r="A62" s="487"/>
      <c r="B62" s="487"/>
      <c r="C62" s="487"/>
      <c r="D62" s="487"/>
      <c r="E62" s="487"/>
      <c r="F62" s="487"/>
      <c r="G62" s="487"/>
      <c r="H62" s="487"/>
      <c r="I62" s="487"/>
      <c r="J62" s="487"/>
      <c r="K62" s="487"/>
      <c r="L62" s="487"/>
      <c r="M62" s="487"/>
      <c r="N62" s="487"/>
      <c r="O62" s="487"/>
      <c r="P62" s="487"/>
      <c r="Q62" s="487"/>
      <c r="R62" s="487"/>
      <c r="S62" s="487"/>
      <c r="T62" s="487"/>
      <c r="U62" s="487"/>
      <c r="V62" s="487"/>
      <c r="W62" s="487"/>
      <c r="X62" s="487"/>
      <c r="Y62" s="487"/>
      <c r="Z62" s="487"/>
    </row>
    <row r="63" spans="1:26" ht="13.5" customHeight="1">
      <c r="A63" s="487"/>
      <c r="B63" s="487"/>
      <c r="C63" s="487"/>
      <c r="D63" s="487"/>
      <c r="E63" s="487"/>
      <c r="F63" s="487"/>
      <c r="G63" s="487"/>
      <c r="H63" s="487"/>
      <c r="I63" s="487"/>
      <c r="J63" s="487"/>
      <c r="K63" s="487"/>
      <c r="L63" s="487"/>
      <c r="M63" s="487"/>
      <c r="N63" s="487"/>
      <c r="O63" s="487"/>
      <c r="P63" s="487"/>
      <c r="Q63" s="487"/>
      <c r="R63" s="487"/>
      <c r="S63" s="487"/>
      <c r="T63" s="487"/>
      <c r="U63" s="487"/>
      <c r="V63" s="487"/>
      <c r="W63" s="487"/>
      <c r="X63" s="487"/>
      <c r="Y63" s="487"/>
      <c r="Z63" s="487"/>
    </row>
    <row r="64" spans="1:26" ht="13.5" customHeight="1">
      <c r="A64" s="487"/>
      <c r="B64" s="487"/>
      <c r="C64" s="487"/>
      <c r="D64" s="487"/>
      <c r="E64" s="487"/>
      <c r="F64" s="487"/>
      <c r="G64" s="487"/>
      <c r="H64" s="487"/>
      <c r="I64" s="487"/>
      <c r="J64" s="487"/>
      <c r="K64" s="487"/>
      <c r="L64" s="487"/>
      <c r="M64" s="487"/>
      <c r="N64" s="487"/>
      <c r="O64" s="487"/>
      <c r="P64" s="487"/>
      <c r="Q64" s="487"/>
      <c r="R64" s="487"/>
      <c r="S64" s="487"/>
      <c r="T64" s="487"/>
      <c r="U64" s="487"/>
      <c r="V64" s="487"/>
      <c r="W64" s="487"/>
      <c r="X64" s="487"/>
      <c r="Y64" s="487"/>
      <c r="Z64" s="487"/>
    </row>
    <row r="65" spans="1:26" ht="13.5" customHeight="1">
      <c r="A65" s="487"/>
      <c r="B65" s="487"/>
      <c r="C65" s="487"/>
      <c r="D65" s="487"/>
      <c r="E65" s="487"/>
      <c r="F65" s="487"/>
      <c r="G65" s="487"/>
      <c r="H65" s="487"/>
      <c r="I65" s="487"/>
      <c r="J65" s="487"/>
      <c r="K65" s="487"/>
      <c r="L65" s="487"/>
      <c r="M65" s="487"/>
      <c r="N65" s="487"/>
      <c r="O65" s="487"/>
      <c r="P65" s="487"/>
      <c r="Q65" s="487"/>
      <c r="R65" s="487"/>
      <c r="S65" s="487"/>
      <c r="T65" s="487"/>
      <c r="U65" s="487"/>
      <c r="V65" s="487"/>
      <c r="W65" s="487"/>
      <c r="X65" s="487"/>
      <c r="Y65" s="487"/>
      <c r="Z65" s="487"/>
    </row>
    <row r="66" spans="1:26" ht="13.5" customHeight="1">
      <c r="A66" s="487"/>
      <c r="B66" s="487"/>
      <c r="C66" s="487"/>
      <c r="D66" s="487"/>
      <c r="E66" s="487"/>
      <c r="F66" s="487"/>
      <c r="G66" s="487"/>
      <c r="H66" s="487"/>
      <c r="I66" s="487"/>
      <c r="J66" s="487"/>
      <c r="K66" s="487"/>
      <c r="L66" s="487"/>
      <c r="M66" s="487"/>
      <c r="N66" s="487"/>
      <c r="O66" s="487"/>
      <c r="P66" s="487"/>
      <c r="Q66" s="487"/>
      <c r="R66" s="487"/>
      <c r="S66" s="487"/>
      <c r="T66" s="487"/>
      <c r="U66" s="487"/>
      <c r="V66" s="487"/>
      <c r="W66" s="487"/>
      <c r="X66" s="487"/>
      <c r="Y66" s="487"/>
      <c r="Z66" s="487"/>
    </row>
    <row r="67" spans="1:26" ht="13.5" customHeight="1">
      <c r="A67" s="487"/>
      <c r="B67" s="487"/>
      <c r="C67" s="487"/>
      <c r="D67" s="487"/>
      <c r="E67" s="487"/>
      <c r="F67" s="487"/>
      <c r="G67" s="487"/>
      <c r="H67" s="487"/>
      <c r="I67" s="487"/>
      <c r="J67" s="487"/>
      <c r="K67" s="487"/>
      <c r="L67" s="487"/>
      <c r="M67" s="487"/>
      <c r="N67" s="487"/>
      <c r="O67" s="487"/>
      <c r="P67" s="487"/>
      <c r="Q67" s="487"/>
      <c r="R67" s="487"/>
      <c r="S67" s="487"/>
      <c r="T67" s="487"/>
      <c r="U67" s="487"/>
      <c r="V67" s="487"/>
      <c r="W67" s="487"/>
      <c r="X67" s="487"/>
      <c r="Y67" s="487"/>
      <c r="Z67" s="487"/>
    </row>
    <row r="68" spans="1:26" ht="13.5" customHeight="1">
      <c r="A68" s="487"/>
      <c r="B68" s="487"/>
      <c r="C68" s="487"/>
      <c r="D68" s="487"/>
      <c r="E68" s="487"/>
      <c r="F68" s="487"/>
      <c r="G68" s="487"/>
      <c r="H68" s="487"/>
      <c r="I68" s="487"/>
      <c r="J68" s="487"/>
      <c r="K68" s="487"/>
      <c r="L68" s="487"/>
      <c r="M68" s="487"/>
      <c r="N68" s="487"/>
      <c r="O68" s="487"/>
      <c r="P68" s="487"/>
      <c r="Q68" s="487"/>
      <c r="R68" s="487"/>
      <c r="S68" s="487"/>
      <c r="T68" s="487"/>
      <c r="U68" s="487"/>
      <c r="V68" s="487"/>
      <c r="W68" s="487"/>
      <c r="X68" s="487"/>
      <c r="Y68" s="487"/>
      <c r="Z68" s="487"/>
    </row>
    <row r="69" spans="1:26" ht="13.5" customHeight="1">
      <c r="A69" s="487"/>
      <c r="B69" s="487"/>
      <c r="C69" s="487"/>
      <c r="D69" s="487"/>
      <c r="E69" s="487"/>
      <c r="F69" s="487"/>
      <c r="G69" s="487"/>
      <c r="H69" s="487"/>
      <c r="I69" s="487"/>
      <c r="J69" s="487"/>
      <c r="K69" s="487"/>
      <c r="L69" s="487"/>
      <c r="M69" s="487"/>
      <c r="N69" s="487"/>
      <c r="O69" s="487"/>
      <c r="P69" s="487"/>
      <c r="Q69" s="487"/>
      <c r="R69" s="487"/>
      <c r="S69" s="487"/>
      <c r="T69" s="487"/>
      <c r="U69" s="487"/>
      <c r="V69" s="487"/>
      <c r="W69" s="487"/>
      <c r="X69" s="487"/>
      <c r="Y69" s="487"/>
      <c r="Z69" s="487"/>
    </row>
    <row r="70" spans="1:26" ht="13.5" customHeight="1">
      <c r="A70" s="487"/>
      <c r="B70" s="487"/>
      <c r="C70" s="487"/>
      <c r="D70" s="487"/>
      <c r="E70" s="487"/>
      <c r="F70" s="487"/>
      <c r="G70" s="487"/>
      <c r="H70" s="487"/>
      <c r="I70" s="487"/>
      <c r="J70" s="487"/>
      <c r="K70" s="487"/>
      <c r="L70" s="487"/>
      <c r="M70" s="487"/>
      <c r="N70" s="487"/>
      <c r="O70" s="487"/>
      <c r="P70" s="487"/>
      <c r="Q70" s="487"/>
      <c r="R70" s="487"/>
      <c r="S70" s="487"/>
      <c r="T70" s="487"/>
      <c r="U70" s="487"/>
      <c r="V70" s="487"/>
      <c r="W70" s="487"/>
      <c r="X70" s="487"/>
      <c r="Y70" s="487"/>
      <c r="Z70" s="487"/>
    </row>
    <row r="71" spans="1:26" ht="13.5" customHeight="1">
      <c r="A71" s="487"/>
      <c r="B71" s="487"/>
      <c r="C71" s="487"/>
      <c r="D71" s="487"/>
      <c r="E71" s="487"/>
      <c r="F71" s="487"/>
      <c r="G71" s="487"/>
      <c r="H71" s="487"/>
      <c r="I71" s="487"/>
      <c r="J71" s="487"/>
      <c r="K71" s="487"/>
      <c r="L71" s="487"/>
      <c r="M71" s="487"/>
      <c r="N71" s="487"/>
      <c r="O71" s="487"/>
      <c r="P71" s="487"/>
      <c r="Q71" s="487"/>
      <c r="R71" s="487"/>
      <c r="S71" s="487"/>
      <c r="T71" s="487"/>
      <c r="U71" s="487"/>
      <c r="V71" s="487"/>
      <c r="W71" s="487"/>
      <c r="X71" s="487"/>
      <c r="Y71" s="487"/>
      <c r="Z71" s="487"/>
    </row>
    <row r="72" spans="1:26" ht="13.5" customHeight="1">
      <c r="A72" s="487"/>
      <c r="B72" s="487"/>
      <c r="C72" s="487"/>
      <c r="D72" s="487"/>
      <c r="E72" s="487"/>
      <c r="F72" s="487"/>
      <c r="G72" s="487"/>
      <c r="H72" s="487"/>
      <c r="I72" s="487"/>
      <c r="J72" s="487"/>
      <c r="K72" s="487"/>
      <c r="L72" s="487"/>
      <c r="M72" s="487"/>
      <c r="N72" s="487"/>
      <c r="O72" s="487"/>
      <c r="P72" s="487"/>
      <c r="Q72" s="487"/>
      <c r="R72" s="487"/>
      <c r="S72" s="487"/>
      <c r="T72" s="487"/>
      <c r="U72" s="487"/>
      <c r="V72" s="487"/>
      <c r="W72" s="487"/>
      <c r="X72" s="487"/>
      <c r="Y72" s="487"/>
      <c r="Z72" s="487"/>
    </row>
    <row r="73" spans="1:26" ht="13.5" customHeight="1">
      <c r="A73" s="487"/>
      <c r="B73" s="487"/>
      <c r="C73" s="487"/>
      <c r="D73" s="487"/>
      <c r="E73" s="487"/>
      <c r="F73" s="487"/>
      <c r="G73" s="487"/>
      <c r="H73" s="487"/>
      <c r="I73" s="487"/>
      <c r="J73" s="487"/>
      <c r="K73" s="487"/>
      <c r="L73" s="487"/>
      <c r="M73" s="487"/>
      <c r="N73" s="487"/>
      <c r="O73" s="487"/>
      <c r="P73" s="487"/>
      <c r="Q73" s="487"/>
      <c r="R73" s="487"/>
      <c r="S73" s="487"/>
      <c r="T73" s="487"/>
      <c r="U73" s="487"/>
      <c r="V73" s="487"/>
      <c r="W73" s="487"/>
      <c r="X73" s="487"/>
      <c r="Y73" s="487"/>
      <c r="Z73" s="487"/>
    </row>
    <row r="74" spans="1:26" ht="13.5" customHeight="1">
      <c r="A74" s="487"/>
      <c r="B74" s="487"/>
      <c r="C74" s="487"/>
      <c r="D74" s="487"/>
      <c r="E74" s="487"/>
      <c r="F74" s="487"/>
      <c r="G74" s="487"/>
      <c r="H74" s="487"/>
      <c r="I74" s="487"/>
      <c r="J74" s="487"/>
      <c r="K74" s="487"/>
      <c r="L74" s="487"/>
      <c r="M74" s="487"/>
      <c r="N74" s="487"/>
      <c r="O74" s="487"/>
      <c r="P74" s="487"/>
      <c r="Q74" s="487"/>
      <c r="R74" s="487"/>
      <c r="S74" s="487"/>
      <c r="T74" s="487"/>
      <c r="U74" s="487"/>
      <c r="V74" s="487"/>
      <c r="W74" s="487"/>
      <c r="X74" s="487"/>
      <c r="Y74" s="487"/>
      <c r="Z74" s="487"/>
    </row>
    <row r="75" spans="1:26" ht="13.5" customHeight="1">
      <c r="A75" s="487"/>
      <c r="B75" s="487"/>
      <c r="C75" s="487"/>
      <c r="D75" s="487"/>
      <c r="E75" s="487"/>
      <c r="F75" s="487"/>
      <c r="G75" s="487"/>
      <c r="H75" s="487"/>
      <c r="I75" s="487"/>
      <c r="J75" s="487"/>
      <c r="K75" s="487"/>
      <c r="L75" s="487"/>
      <c r="M75" s="487"/>
      <c r="N75" s="487"/>
      <c r="O75" s="487"/>
      <c r="P75" s="487"/>
      <c r="Q75" s="487"/>
      <c r="R75" s="487"/>
      <c r="S75" s="487"/>
      <c r="T75" s="487"/>
      <c r="U75" s="487"/>
      <c r="V75" s="487"/>
      <c r="W75" s="487"/>
      <c r="X75" s="487"/>
      <c r="Y75" s="487"/>
      <c r="Z75" s="487"/>
    </row>
    <row r="76" spans="1:26" ht="13.5" customHeight="1">
      <c r="A76" s="487"/>
      <c r="B76" s="487"/>
      <c r="C76" s="487"/>
      <c r="D76" s="487"/>
      <c r="E76" s="487"/>
      <c r="F76" s="487"/>
      <c r="G76" s="487"/>
      <c r="H76" s="487"/>
      <c r="I76" s="487"/>
      <c r="J76" s="487"/>
      <c r="K76" s="487"/>
      <c r="L76" s="487"/>
      <c r="M76" s="487"/>
      <c r="N76" s="487"/>
      <c r="O76" s="487"/>
      <c r="P76" s="487"/>
      <c r="Q76" s="487"/>
      <c r="R76" s="487"/>
      <c r="S76" s="487"/>
      <c r="T76" s="487"/>
      <c r="U76" s="487"/>
      <c r="V76" s="487"/>
      <c r="W76" s="487"/>
      <c r="X76" s="487"/>
      <c r="Y76" s="487"/>
      <c r="Z76" s="487"/>
    </row>
    <row r="77" spans="1:26" ht="13.5" customHeight="1">
      <c r="A77" s="487"/>
      <c r="B77" s="487"/>
      <c r="C77" s="487"/>
      <c r="D77" s="487"/>
      <c r="E77" s="487"/>
      <c r="F77" s="487"/>
      <c r="G77" s="487"/>
      <c r="H77" s="487"/>
      <c r="I77" s="487"/>
      <c r="J77" s="487"/>
      <c r="K77" s="487"/>
      <c r="L77" s="487"/>
      <c r="M77" s="487"/>
      <c r="N77" s="487"/>
      <c r="O77" s="487"/>
      <c r="P77" s="487"/>
      <c r="Q77" s="487"/>
      <c r="R77" s="487"/>
      <c r="S77" s="487"/>
      <c r="T77" s="487"/>
      <c r="U77" s="487"/>
      <c r="V77" s="487"/>
      <c r="W77" s="487"/>
      <c r="X77" s="487"/>
      <c r="Y77" s="487"/>
      <c r="Z77" s="487"/>
    </row>
    <row r="78" spans="1:26" ht="13.5" customHeight="1">
      <c r="A78" s="487"/>
      <c r="B78" s="487"/>
      <c r="C78" s="487"/>
      <c r="D78" s="487"/>
      <c r="E78" s="487"/>
      <c r="F78" s="487"/>
      <c r="G78" s="487"/>
      <c r="H78" s="487"/>
      <c r="I78" s="487"/>
      <c r="J78" s="487"/>
      <c r="K78" s="487"/>
      <c r="L78" s="487"/>
      <c r="M78" s="487"/>
      <c r="N78" s="487"/>
      <c r="O78" s="487"/>
      <c r="P78" s="487"/>
      <c r="Q78" s="487"/>
      <c r="R78" s="487"/>
      <c r="S78" s="487"/>
      <c r="T78" s="487"/>
      <c r="U78" s="487"/>
      <c r="V78" s="487"/>
      <c r="W78" s="487"/>
      <c r="X78" s="487"/>
      <c r="Y78" s="487"/>
      <c r="Z78" s="487"/>
    </row>
    <row r="79" spans="1:26" ht="13.5" customHeight="1">
      <c r="A79" s="487"/>
      <c r="B79" s="487"/>
      <c r="C79" s="487"/>
      <c r="D79" s="487"/>
      <c r="E79" s="487"/>
      <c r="F79" s="487"/>
      <c r="G79" s="487"/>
      <c r="H79" s="487"/>
      <c r="I79" s="487"/>
      <c r="J79" s="487"/>
      <c r="K79" s="487"/>
      <c r="L79" s="487"/>
      <c r="M79" s="487"/>
      <c r="N79" s="487"/>
      <c r="O79" s="487"/>
      <c r="P79" s="487"/>
      <c r="Q79" s="487"/>
      <c r="R79" s="487"/>
      <c r="S79" s="487"/>
      <c r="T79" s="487"/>
      <c r="U79" s="487"/>
      <c r="V79" s="487"/>
      <c r="W79" s="487"/>
      <c r="X79" s="487"/>
      <c r="Y79" s="487"/>
      <c r="Z79" s="487"/>
    </row>
    <row r="80" spans="1:26" ht="13.5" customHeight="1">
      <c r="A80" s="487"/>
      <c r="B80" s="487"/>
      <c r="C80" s="487"/>
      <c r="D80" s="487"/>
      <c r="E80" s="487"/>
      <c r="F80" s="487"/>
      <c r="G80" s="487"/>
      <c r="H80" s="487"/>
      <c r="I80" s="487"/>
      <c r="J80" s="487"/>
      <c r="K80" s="487"/>
      <c r="L80" s="487"/>
      <c r="M80" s="487"/>
      <c r="N80" s="487"/>
      <c r="O80" s="487"/>
      <c r="P80" s="487"/>
      <c r="Q80" s="487"/>
      <c r="R80" s="487"/>
      <c r="S80" s="487"/>
      <c r="T80" s="487"/>
      <c r="U80" s="487"/>
      <c r="V80" s="487"/>
      <c r="W80" s="487"/>
      <c r="X80" s="487"/>
      <c r="Y80" s="487"/>
      <c r="Z80" s="487"/>
    </row>
    <row r="81" spans="1:26" ht="13.5" customHeight="1">
      <c r="A81" s="487"/>
      <c r="B81" s="487"/>
      <c r="C81" s="487"/>
      <c r="D81" s="487"/>
      <c r="E81" s="487"/>
      <c r="F81" s="487"/>
      <c r="G81" s="487"/>
      <c r="H81" s="487"/>
      <c r="I81" s="487"/>
      <c r="J81" s="487"/>
      <c r="K81" s="487"/>
      <c r="L81" s="487"/>
      <c r="M81" s="487"/>
      <c r="N81" s="487"/>
      <c r="O81" s="487"/>
      <c r="P81" s="487"/>
      <c r="Q81" s="487"/>
      <c r="R81" s="487"/>
      <c r="S81" s="487"/>
      <c r="T81" s="487"/>
      <c r="U81" s="487"/>
      <c r="V81" s="487"/>
      <c r="W81" s="487"/>
      <c r="X81" s="487"/>
      <c r="Y81" s="487"/>
      <c r="Z81" s="487"/>
    </row>
    <row r="82" spans="1:26" ht="13.5" customHeight="1">
      <c r="A82" s="487"/>
      <c r="B82" s="487"/>
      <c r="C82" s="487"/>
      <c r="D82" s="487"/>
      <c r="E82" s="487"/>
      <c r="F82" s="487"/>
      <c r="G82" s="487"/>
      <c r="H82" s="487"/>
      <c r="I82" s="487"/>
      <c r="J82" s="487"/>
      <c r="K82" s="487"/>
      <c r="L82" s="487"/>
      <c r="M82" s="487"/>
      <c r="N82" s="487"/>
      <c r="O82" s="487"/>
      <c r="P82" s="487"/>
      <c r="Q82" s="487"/>
      <c r="R82" s="487"/>
      <c r="S82" s="487"/>
      <c r="T82" s="487"/>
      <c r="U82" s="487"/>
      <c r="V82" s="487"/>
      <c r="W82" s="487"/>
      <c r="X82" s="487"/>
      <c r="Y82" s="487"/>
      <c r="Z82" s="487"/>
    </row>
    <row r="83" spans="1:26" ht="13.5" customHeight="1">
      <c r="A83" s="487"/>
      <c r="B83" s="487"/>
      <c r="C83" s="487"/>
      <c r="D83" s="487"/>
      <c r="E83" s="487"/>
      <c r="F83" s="487"/>
      <c r="G83" s="487"/>
      <c r="H83" s="487"/>
      <c r="I83" s="487"/>
      <c r="J83" s="487"/>
      <c r="K83" s="487"/>
      <c r="L83" s="487"/>
      <c r="M83" s="487"/>
      <c r="N83" s="487"/>
      <c r="O83" s="487"/>
      <c r="P83" s="487"/>
      <c r="Q83" s="487"/>
      <c r="R83" s="487"/>
      <c r="S83" s="487"/>
      <c r="T83" s="487"/>
      <c r="U83" s="487"/>
      <c r="V83" s="487"/>
      <c r="W83" s="487"/>
      <c r="X83" s="487"/>
      <c r="Y83" s="487"/>
      <c r="Z83" s="487"/>
    </row>
    <row r="84" spans="1:26" ht="13.5" customHeight="1">
      <c r="A84" s="487"/>
      <c r="B84" s="487"/>
      <c r="C84" s="487"/>
      <c r="D84" s="487"/>
      <c r="E84" s="487"/>
      <c r="F84" s="487"/>
      <c r="G84" s="487"/>
      <c r="H84" s="487"/>
      <c r="I84" s="487"/>
      <c r="J84" s="487"/>
      <c r="K84" s="487"/>
      <c r="L84" s="487"/>
      <c r="M84" s="487"/>
      <c r="N84" s="487"/>
      <c r="O84" s="487"/>
      <c r="P84" s="487"/>
      <c r="Q84" s="487"/>
      <c r="R84" s="487"/>
      <c r="S84" s="487"/>
      <c r="T84" s="487"/>
      <c r="U84" s="487"/>
      <c r="V84" s="487"/>
      <c r="W84" s="487"/>
      <c r="X84" s="487"/>
      <c r="Y84" s="487"/>
      <c r="Z84" s="487"/>
    </row>
    <row r="85" spans="1:26" ht="13.5" customHeight="1">
      <c r="A85" s="487"/>
      <c r="B85" s="487"/>
      <c r="C85" s="487"/>
      <c r="D85" s="487"/>
      <c r="E85" s="487"/>
      <c r="F85" s="487"/>
      <c r="G85" s="487"/>
      <c r="H85" s="487"/>
      <c r="I85" s="487"/>
      <c r="J85" s="487"/>
      <c r="K85" s="487"/>
      <c r="L85" s="487"/>
      <c r="M85" s="487"/>
      <c r="N85" s="487"/>
      <c r="O85" s="487"/>
      <c r="P85" s="487"/>
      <c r="Q85" s="487"/>
      <c r="R85" s="487"/>
      <c r="S85" s="487"/>
      <c r="T85" s="487"/>
      <c r="U85" s="487"/>
      <c r="V85" s="487"/>
      <c r="W85" s="487"/>
      <c r="X85" s="487"/>
      <c r="Y85" s="487"/>
      <c r="Z85" s="487"/>
    </row>
    <row r="86" spans="1:26" ht="13.5" customHeight="1">
      <c r="A86" s="487"/>
      <c r="B86" s="487"/>
      <c r="C86" s="487"/>
      <c r="D86" s="487"/>
      <c r="E86" s="487"/>
      <c r="F86" s="487"/>
      <c r="G86" s="487"/>
      <c r="H86" s="487"/>
      <c r="I86" s="487"/>
      <c r="J86" s="487"/>
      <c r="K86" s="487"/>
      <c r="L86" s="487"/>
      <c r="M86" s="487"/>
      <c r="N86" s="487"/>
      <c r="O86" s="487"/>
      <c r="P86" s="487"/>
      <c r="Q86" s="487"/>
      <c r="R86" s="487"/>
      <c r="S86" s="487"/>
      <c r="T86" s="487"/>
      <c r="U86" s="487"/>
      <c r="V86" s="487"/>
      <c r="W86" s="487"/>
      <c r="X86" s="487"/>
      <c r="Y86" s="487"/>
      <c r="Z86" s="487"/>
    </row>
    <row r="87" spans="1:26" ht="13.5" customHeight="1">
      <c r="A87" s="487"/>
      <c r="B87" s="487"/>
      <c r="C87" s="487"/>
      <c r="D87" s="487"/>
      <c r="E87" s="487"/>
      <c r="F87" s="487"/>
      <c r="G87" s="487"/>
      <c r="H87" s="487"/>
      <c r="I87" s="487"/>
      <c r="J87" s="487"/>
      <c r="K87" s="487"/>
      <c r="L87" s="487"/>
      <c r="M87" s="487"/>
      <c r="N87" s="487"/>
      <c r="O87" s="487"/>
      <c r="P87" s="487"/>
      <c r="Q87" s="487"/>
      <c r="R87" s="487"/>
      <c r="S87" s="487"/>
      <c r="T87" s="487"/>
      <c r="U87" s="487"/>
      <c r="V87" s="487"/>
      <c r="W87" s="487"/>
      <c r="X87" s="487"/>
      <c r="Y87" s="487"/>
      <c r="Z87" s="487"/>
    </row>
    <row r="88" spans="1:26" ht="13.5" customHeight="1">
      <c r="A88" s="487"/>
      <c r="B88" s="487"/>
      <c r="C88" s="487"/>
      <c r="D88" s="487"/>
      <c r="E88" s="487"/>
      <c r="F88" s="487"/>
      <c r="G88" s="487"/>
      <c r="H88" s="487"/>
      <c r="I88" s="487"/>
      <c r="J88" s="487"/>
      <c r="K88" s="487"/>
      <c r="L88" s="487"/>
      <c r="M88" s="487"/>
      <c r="N88" s="487"/>
      <c r="O88" s="487"/>
      <c r="P88" s="487"/>
      <c r="Q88" s="487"/>
      <c r="R88" s="487"/>
      <c r="S88" s="487"/>
      <c r="T88" s="487"/>
      <c r="U88" s="487"/>
      <c r="V88" s="487"/>
      <c r="W88" s="487"/>
      <c r="X88" s="487"/>
      <c r="Y88" s="487"/>
      <c r="Z88" s="487"/>
    </row>
    <row r="89" spans="1:26" ht="13.5" customHeight="1">
      <c r="A89" s="487"/>
      <c r="B89" s="487"/>
      <c r="C89" s="487"/>
      <c r="D89" s="487"/>
      <c r="E89" s="487"/>
      <c r="F89" s="487"/>
      <c r="G89" s="487"/>
      <c r="H89" s="487"/>
      <c r="I89" s="487"/>
      <c r="J89" s="487"/>
      <c r="K89" s="487"/>
      <c r="L89" s="487"/>
      <c r="M89" s="487"/>
      <c r="N89" s="487"/>
      <c r="O89" s="487"/>
      <c r="P89" s="487"/>
      <c r="Q89" s="487"/>
      <c r="R89" s="487"/>
      <c r="S89" s="487"/>
      <c r="T89" s="487"/>
      <c r="U89" s="487"/>
      <c r="V89" s="487"/>
      <c r="W89" s="487"/>
      <c r="X89" s="487"/>
      <c r="Y89" s="487"/>
      <c r="Z89" s="487"/>
    </row>
    <row r="90" spans="1:26" ht="13.5" customHeight="1">
      <c r="A90" s="487"/>
      <c r="B90" s="487"/>
      <c r="C90" s="487"/>
      <c r="D90" s="487"/>
      <c r="E90" s="487"/>
      <c r="F90" s="487"/>
      <c r="G90" s="487"/>
      <c r="H90" s="487"/>
      <c r="I90" s="487"/>
      <c r="J90" s="487"/>
      <c r="K90" s="487"/>
      <c r="L90" s="487"/>
      <c r="M90" s="487"/>
      <c r="N90" s="487"/>
      <c r="O90" s="487"/>
      <c r="P90" s="487"/>
      <c r="Q90" s="487"/>
      <c r="R90" s="487"/>
      <c r="S90" s="487"/>
      <c r="T90" s="487"/>
      <c r="U90" s="487"/>
      <c r="V90" s="487"/>
      <c r="W90" s="487"/>
      <c r="X90" s="487"/>
      <c r="Y90" s="487"/>
      <c r="Z90" s="487"/>
    </row>
    <row r="91" spans="1:26" ht="13.5" customHeight="1">
      <c r="A91" s="487"/>
      <c r="B91" s="487"/>
      <c r="C91" s="487"/>
      <c r="D91" s="487"/>
      <c r="E91" s="487"/>
      <c r="F91" s="487"/>
      <c r="G91" s="487"/>
      <c r="H91" s="487"/>
      <c r="I91" s="487"/>
      <c r="J91" s="487"/>
      <c r="K91" s="487"/>
      <c r="L91" s="487"/>
      <c r="M91" s="487"/>
      <c r="N91" s="487"/>
      <c r="O91" s="487"/>
      <c r="P91" s="487"/>
      <c r="Q91" s="487"/>
      <c r="R91" s="487"/>
      <c r="S91" s="487"/>
      <c r="T91" s="487"/>
      <c r="U91" s="487"/>
      <c r="V91" s="487"/>
      <c r="W91" s="487"/>
      <c r="X91" s="487"/>
      <c r="Y91" s="487"/>
      <c r="Z91" s="487"/>
    </row>
    <row r="92" spans="1:26" ht="13.5" customHeight="1">
      <c r="A92" s="487"/>
      <c r="B92" s="487"/>
      <c r="C92" s="487"/>
      <c r="D92" s="487"/>
      <c r="E92" s="487"/>
      <c r="F92" s="487"/>
      <c r="G92" s="487"/>
      <c r="H92" s="487"/>
      <c r="I92" s="487"/>
      <c r="J92" s="487"/>
      <c r="K92" s="487"/>
      <c r="L92" s="487"/>
      <c r="M92" s="487"/>
      <c r="N92" s="487"/>
      <c r="O92" s="487"/>
      <c r="P92" s="487"/>
      <c r="Q92" s="487"/>
      <c r="R92" s="487"/>
      <c r="S92" s="487"/>
      <c r="T92" s="487"/>
      <c r="U92" s="487"/>
      <c r="V92" s="487"/>
      <c r="W92" s="487"/>
      <c r="X92" s="487"/>
      <c r="Y92" s="487"/>
      <c r="Z92" s="487"/>
    </row>
    <row r="93" spans="1:26" ht="13.5" customHeight="1">
      <c r="A93" s="487"/>
      <c r="B93" s="487"/>
      <c r="C93" s="487"/>
      <c r="D93" s="487"/>
      <c r="E93" s="487"/>
      <c r="F93" s="487"/>
      <c r="G93" s="487"/>
      <c r="H93" s="487"/>
      <c r="I93" s="487"/>
      <c r="J93" s="487"/>
      <c r="K93" s="487"/>
      <c r="L93" s="487"/>
      <c r="M93" s="487"/>
      <c r="N93" s="487"/>
      <c r="O93" s="487"/>
      <c r="P93" s="487"/>
      <c r="Q93" s="487"/>
      <c r="R93" s="487"/>
      <c r="S93" s="487"/>
      <c r="T93" s="487"/>
      <c r="U93" s="487"/>
      <c r="V93" s="487"/>
      <c r="W93" s="487"/>
      <c r="X93" s="487"/>
      <c r="Y93" s="487"/>
      <c r="Z93" s="487"/>
    </row>
    <row r="94" spans="1:26" ht="13.5" customHeight="1">
      <c r="A94" s="487"/>
      <c r="B94" s="487"/>
      <c r="C94" s="487"/>
      <c r="D94" s="487"/>
      <c r="E94" s="487"/>
      <c r="F94" s="487"/>
      <c r="G94" s="487"/>
      <c r="H94" s="487"/>
      <c r="I94" s="487"/>
      <c r="J94" s="487"/>
      <c r="K94" s="487"/>
      <c r="L94" s="487"/>
      <c r="M94" s="487"/>
      <c r="N94" s="487"/>
      <c r="O94" s="487"/>
      <c r="P94" s="487"/>
      <c r="Q94" s="487"/>
      <c r="R94" s="487"/>
      <c r="S94" s="487"/>
      <c r="T94" s="487"/>
      <c r="U94" s="487"/>
      <c r="V94" s="487"/>
      <c r="W94" s="487"/>
      <c r="X94" s="487"/>
      <c r="Y94" s="487"/>
      <c r="Z94" s="487"/>
    </row>
    <row r="95" spans="1:26" ht="13.5" customHeight="1">
      <c r="A95" s="487"/>
      <c r="B95" s="487"/>
      <c r="C95" s="487"/>
      <c r="D95" s="487"/>
      <c r="E95" s="487"/>
      <c r="F95" s="487"/>
      <c r="G95" s="487"/>
      <c r="H95" s="487"/>
      <c r="I95" s="487"/>
      <c r="J95" s="487"/>
      <c r="K95" s="487"/>
      <c r="L95" s="487"/>
      <c r="M95" s="487"/>
      <c r="N95" s="487"/>
      <c r="O95" s="487"/>
      <c r="P95" s="487"/>
      <c r="Q95" s="487"/>
      <c r="R95" s="487"/>
      <c r="S95" s="487"/>
      <c r="T95" s="487"/>
      <c r="U95" s="487"/>
      <c r="V95" s="487"/>
      <c r="W95" s="487"/>
      <c r="X95" s="487"/>
      <c r="Y95" s="487"/>
      <c r="Z95" s="487"/>
    </row>
    <row r="96" spans="1:26" ht="13.5" customHeight="1">
      <c r="A96" s="487"/>
      <c r="B96" s="487"/>
      <c r="C96" s="487"/>
      <c r="D96" s="487"/>
      <c r="E96" s="487"/>
      <c r="F96" s="487"/>
      <c r="G96" s="487"/>
      <c r="H96" s="487"/>
      <c r="I96" s="487"/>
      <c r="J96" s="487"/>
      <c r="K96" s="487"/>
      <c r="L96" s="487"/>
      <c r="M96" s="487"/>
      <c r="N96" s="487"/>
      <c r="O96" s="487"/>
      <c r="P96" s="487"/>
      <c r="Q96" s="487"/>
      <c r="R96" s="487"/>
      <c r="S96" s="487"/>
      <c r="T96" s="487"/>
      <c r="U96" s="487"/>
      <c r="V96" s="487"/>
      <c r="W96" s="487"/>
      <c r="X96" s="487"/>
      <c r="Y96" s="487"/>
      <c r="Z96" s="487"/>
    </row>
    <row r="97" spans="1:26" ht="13.5" customHeight="1">
      <c r="A97" s="487"/>
      <c r="B97" s="487"/>
      <c r="C97" s="487"/>
      <c r="D97" s="487"/>
      <c r="E97" s="487"/>
      <c r="F97" s="487"/>
      <c r="G97" s="487"/>
      <c r="H97" s="487"/>
      <c r="I97" s="487"/>
      <c r="J97" s="487"/>
      <c r="K97" s="487"/>
      <c r="L97" s="487"/>
      <c r="M97" s="487"/>
      <c r="N97" s="487"/>
      <c r="O97" s="487"/>
      <c r="P97" s="487"/>
      <c r="Q97" s="487"/>
      <c r="R97" s="487"/>
      <c r="S97" s="487"/>
      <c r="T97" s="487"/>
      <c r="U97" s="487"/>
      <c r="V97" s="487"/>
      <c r="W97" s="487"/>
      <c r="X97" s="487"/>
      <c r="Y97" s="487"/>
      <c r="Z97" s="487"/>
    </row>
    <row r="98" spans="1:26" ht="13.5" customHeight="1">
      <c r="A98" s="487"/>
      <c r="B98" s="487"/>
      <c r="C98" s="487"/>
      <c r="D98" s="487"/>
      <c r="E98" s="487"/>
      <c r="F98" s="487"/>
      <c r="G98" s="487"/>
      <c r="H98" s="487"/>
      <c r="I98" s="487"/>
      <c r="J98" s="487"/>
      <c r="K98" s="487"/>
      <c r="L98" s="487"/>
      <c r="M98" s="487"/>
      <c r="N98" s="487"/>
      <c r="O98" s="487"/>
      <c r="P98" s="487"/>
      <c r="Q98" s="487"/>
      <c r="R98" s="487"/>
      <c r="S98" s="487"/>
      <c r="T98" s="487"/>
      <c r="U98" s="487"/>
      <c r="V98" s="487"/>
      <c r="W98" s="487"/>
      <c r="X98" s="487"/>
      <c r="Y98" s="487"/>
      <c r="Z98" s="487"/>
    </row>
    <row r="99" spans="1:26" ht="13.5" customHeight="1">
      <c r="A99" s="487"/>
      <c r="B99" s="487"/>
      <c r="C99" s="487"/>
      <c r="D99" s="487"/>
      <c r="E99" s="487"/>
      <c r="F99" s="487"/>
      <c r="G99" s="487"/>
      <c r="H99" s="487"/>
      <c r="I99" s="487"/>
      <c r="J99" s="487"/>
      <c r="K99" s="487"/>
      <c r="L99" s="487"/>
      <c r="M99" s="487"/>
      <c r="N99" s="487"/>
      <c r="O99" s="487"/>
      <c r="P99" s="487"/>
      <c r="Q99" s="487"/>
      <c r="R99" s="487"/>
      <c r="S99" s="487"/>
      <c r="T99" s="487"/>
      <c r="U99" s="487"/>
      <c r="V99" s="487"/>
      <c r="W99" s="487"/>
      <c r="X99" s="487"/>
      <c r="Y99" s="487"/>
      <c r="Z99" s="487"/>
    </row>
    <row r="100" spans="1:26" ht="13.5" customHeight="1">
      <c r="A100" s="487"/>
      <c r="B100" s="487"/>
      <c r="C100" s="487"/>
      <c r="D100" s="487"/>
      <c r="E100" s="487"/>
      <c r="F100" s="487"/>
      <c r="G100" s="487"/>
      <c r="H100" s="487"/>
      <c r="I100" s="487"/>
      <c r="J100" s="487"/>
      <c r="K100" s="487"/>
      <c r="L100" s="487"/>
      <c r="M100" s="487"/>
      <c r="N100" s="487"/>
      <c r="O100" s="487"/>
      <c r="P100" s="487"/>
      <c r="Q100" s="487"/>
      <c r="R100" s="487"/>
      <c r="S100" s="487"/>
      <c r="T100" s="487"/>
      <c r="U100" s="487"/>
      <c r="V100" s="487"/>
      <c r="W100" s="487"/>
      <c r="X100" s="487"/>
      <c r="Y100" s="487"/>
      <c r="Z100" s="487"/>
    </row>
    <row r="101" spans="1:26" ht="13.5" customHeight="1">
      <c r="A101" s="487"/>
      <c r="B101" s="487"/>
      <c r="C101" s="487"/>
      <c r="D101" s="487"/>
      <c r="E101" s="487"/>
      <c r="F101" s="487"/>
      <c r="G101" s="487"/>
      <c r="H101" s="487"/>
      <c r="I101" s="487"/>
      <c r="J101" s="487"/>
      <c r="K101" s="487"/>
      <c r="L101" s="487"/>
      <c r="M101" s="487"/>
      <c r="N101" s="487"/>
      <c r="O101" s="487"/>
      <c r="P101" s="487"/>
      <c r="Q101" s="487"/>
      <c r="R101" s="487"/>
      <c r="S101" s="487"/>
      <c r="T101" s="487"/>
      <c r="U101" s="487"/>
      <c r="V101" s="487"/>
      <c r="W101" s="487"/>
      <c r="X101" s="487"/>
      <c r="Y101" s="487"/>
      <c r="Z101" s="487"/>
    </row>
    <row r="102" spans="1:26" ht="13.5" customHeight="1">
      <c r="A102" s="487"/>
      <c r="B102" s="487"/>
      <c r="C102" s="487"/>
      <c r="D102" s="487"/>
      <c r="E102" s="487"/>
      <c r="F102" s="487"/>
      <c r="G102" s="487"/>
      <c r="H102" s="487"/>
      <c r="I102" s="487"/>
      <c r="J102" s="487"/>
      <c r="K102" s="487"/>
      <c r="L102" s="487"/>
      <c r="M102" s="487"/>
      <c r="N102" s="487"/>
      <c r="O102" s="487"/>
      <c r="P102" s="487"/>
      <c r="Q102" s="487"/>
      <c r="R102" s="487"/>
      <c r="S102" s="487"/>
      <c r="T102" s="487"/>
      <c r="U102" s="487"/>
      <c r="V102" s="487"/>
      <c r="W102" s="487"/>
      <c r="X102" s="487"/>
      <c r="Y102" s="487"/>
      <c r="Z102" s="487"/>
    </row>
    <row r="103" spans="1:26" ht="13.5" customHeight="1">
      <c r="A103" s="487"/>
      <c r="B103" s="487"/>
      <c r="C103" s="487"/>
      <c r="D103" s="487"/>
      <c r="E103" s="487"/>
      <c r="F103" s="487"/>
      <c r="G103" s="487"/>
      <c r="H103" s="487"/>
      <c r="I103" s="487"/>
      <c r="J103" s="487"/>
      <c r="K103" s="487"/>
      <c r="L103" s="487"/>
      <c r="M103" s="487"/>
      <c r="N103" s="487"/>
      <c r="O103" s="487"/>
      <c r="P103" s="487"/>
      <c r="Q103" s="487"/>
      <c r="R103" s="487"/>
      <c r="S103" s="487"/>
      <c r="T103" s="487"/>
      <c r="U103" s="487"/>
      <c r="V103" s="487"/>
      <c r="W103" s="487"/>
      <c r="X103" s="487"/>
      <c r="Y103" s="487"/>
      <c r="Z103" s="487"/>
    </row>
    <row r="104" spans="1:26" ht="13.5" customHeight="1">
      <c r="A104" s="487"/>
      <c r="B104" s="487"/>
      <c r="C104" s="487"/>
      <c r="D104" s="487"/>
      <c r="E104" s="487"/>
      <c r="F104" s="487"/>
      <c r="G104" s="487"/>
      <c r="H104" s="487"/>
      <c r="I104" s="487"/>
      <c r="J104" s="487"/>
      <c r="K104" s="487"/>
      <c r="L104" s="487"/>
      <c r="M104" s="487"/>
      <c r="N104" s="487"/>
      <c r="O104" s="487"/>
      <c r="P104" s="487"/>
      <c r="Q104" s="487"/>
      <c r="R104" s="487"/>
      <c r="S104" s="487"/>
      <c r="T104" s="487"/>
      <c r="U104" s="487"/>
      <c r="V104" s="487"/>
      <c r="W104" s="487"/>
      <c r="X104" s="487"/>
      <c r="Y104" s="487"/>
      <c r="Z104" s="487"/>
    </row>
    <row r="105" spans="1:26" ht="13.5" customHeight="1">
      <c r="A105" s="487"/>
      <c r="B105" s="487"/>
      <c r="C105" s="487"/>
      <c r="D105" s="487"/>
      <c r="E105" s="487"/>
      <c r="F105" s="487"/>
      <c r="G105" s="487"/>
      <c r="H105" s="487"/>
      <c r="I105" s="487"/>
      <c r="J105" s="487"/>
      <c r="K105" s="487"/>
      <c r="L105" s="487"/>
      <c r="M105" s="487"/>
      <c r="N105" s="487"/>
      <c r="O105" s="487"/>
      <c r="P105" s="487"/>
      <c r="Q105" s="487"/>
      <c r="R105" s="487"/>
      <c r="S105" s="487"/>
      <c r="T105" s="487"/>
      <c r="U105" s="487"/>
      <c r="V105" s="487"/>
      <c r="W105" s="487"/>
      <c r="X105" s="487"/>
      <c r="Y105" s="487"/>
      <c r="Z105" s="487"/>
    </row>
    <row r="106" spans="1:26" ht="13.5" customHeight="1">
      <c r="A106" s="487"/>
      <c r="B106" s="487"/>
      <c r="C106" s="487"/>
      <c r="D106" s="487"/>
      <c r="E106" s="487"/>
      <c r="F106" s="487"/>
      <c r="G106" s="487"/>
      <c r="H106" s="487"/>
      <c r="I106" s="487"/>
      <c r="J106" s="487"/>
      <c r="K106" s="487"/>
      <c r="L106" s="487"/>
      <c r="M106" s="487"/>
      <c r="N106" s="487"/>
      <c r="O106" s="487"/>
      <c r="P106" s="487"/>
      <c r="Q106" s="487"/>
      <c r="R106" s="487"/>
      <c r="S106" s="487"/>
      <c r="T106" s="487"/>
      <c r="U106" s="487"/>
      <c r="V106" s="487"/>
      <c r="W106" s="487"/>
      <c r="X106" s="487"/>
      <c r="Y106" s="487"/>
      <c r="Z106" s="487"/>
    </row>
    <row r="107" spans="1:26" ht="13.5" customHeight="1">
      <c r="A107" s="487"/>
      <c r="B107" s="487"/>
      <c r="C107" s="487"/>
      <c r="D107" s="487"/>
      <c r="E107" s="487"/>
      <c r="F107" s="487"/>
      <c r="G107" s="487"/>
      <c r="H107" s="487"/>
      <c r="I107" s="487"/>
      <c r="J107" s="487"/>
      <c r="K107" s="487"/>
      <c r="L107" s="487"/>
      <c r="M107" s="487"/>
      <c r="N107" s="487"/>
      <c r="O107" s="487"/>
      <c r="P107" s="487"/>
      <c r="Q107" s="487"/>
      <c r="R107" s="487"/>
      <c r="S107" s="487"/>
      <c r="T107" s="487"/>
      <c r="U107" s="487"/>
      <c r="V107" s="487"/>
      <c r="W107" s="487"/>
      <c r="X107" s="487"/>
      <c r="Y107" s="487"/>
      <c r="Z107" s="487"/>
    </row>
    <row r="108" spans="1:26" ht="13.5" customHeight="1">
      <c r="A108" s="487"/>
      <c r="B108" s="487"/>
      <c r="C108" s="487"/>
      <c r="D108" s="487"/>
      <c r="E108" s="487"/>
      <c r="F108" s="487"/>
      <c r="G108" s="487"/>
      <c r="H108" s="487"/>
      <c r="I108" s="487"/>
      <c r="J108" s="487"/>
      <c r="K108" s="487"/>
      <c r="L108" s="487"/>
      <c r="M108" s="487"/>
      <c r="N108" s="487"/>
      <c r="O108" s="487"/>
      <c r="P108" s="487"/>
      <c r="Q108" s="487"/>
      <c r="R108" s="487"/>
      <c r="S108" s="487"/>
      <c r="T108" s="487"/>
      <c r="U108" s="487"/>
      <c r="V108" s="487"/>
      <c r="W108" s="487"/>
      <c r="X108" s="487"/>
      <c r="Y108" s="487"/>
      <c r="Z108" s="487"/>
    </row>
    <row r="109" spans="1:26" ht="13.5" customHeight="1">
      <c r="A109" s="487"/>
      <c r="B109" s="487"/>
      <c r="C109" s="487"/>
      <c r="D109" s="487"/>
      <c r="E109" s="487"/>
      <c r="F109" s="487"/>
      <c r="G109" s="487"/>
      <c r="H109" s="487"/>
      <c r="I109" s="487"/>
      <c r="J109" s="487"/>
      <c r="K109" s="487"/>
      <c r="L109" s="487"/>
      <c r="M109" s="487"/>
      <c r="N109" s="487"/>
      <c r="O109" s="487"/>
      <c r="P109" s="487"/>
      <c r="Q109" s="487"/>
      <c r="R109" s="487"/>
      <c r="S109" s="487"/>
      <c r="T109" s="487"/>
      <c r="U109" s="487"/>
      <c r="V109" s="487"/>
      <c r="W109" s="487"/>
      <c r="X109" s="487"/>
      <c r="Y109" s="487"/>
      <c r="Z109" s="487"/>
    </row>
    <row r="110" spans="1:26" ht="13.5" customHeight="1">
      <c r="A110" s="487"/>
      <c r="B110" s="487"/>
      <c r="C110" s="487"/>
      <c r="D110" s="487"/>
      <c r="E110" s="487"/>
      <c r="F110" s="487"/>
      <c r="G110" s="487"/>
      <c r="H110" s="487"/>
      <c r="I110" s="487"/>
      <c r="J110" s="487"/>
      <c r="K110" s="487"/>
      <c r="L110" s="487"/>
      <c r="M110" s="487"/>
      <c r="N110" s="487"/>
      <c r="O110" s="487"/>
      <c r="P110" s="487"/>
      <c r="Q110" s="487"/>
      <c r="R110" s="487"/>
      <c r="S110" s="487"/>
      <c r="T110" s="487"/>
      <c r="U110" s="487"/>
      <c r="V110" s="487"/>
      <c r="W110" s="487"/>
      <c r="X110" s="487"/>
      <c r="Y110" s="487"/>
      <c r="Z110" s="487"/>
    </row>
    <row r="111" spans="1:26" ht="13.5" customHeight="1">
      <c r="A111" s="487"/>
      <c r="B111" s="487"/>
      <c r="C111" s="487"/>
      <c r="D111" s="487"/>
      <c r="E111" s="487"/>
      <c r="F111" s="487"/>
      <c r="G111" s="487"/>
      <c r="H111" s="487"/>
      <c r="I111" s="487"/>
      <c r="J111" s="487"/>
      <c r="K111" s="487"/>
      <c r="L111" s="487"/>
      <c r="M111" s="487"/>
      <c r="N111" s="487"/>
      <c r="O111" s="487"/>
      <c r="P111" s="487"/>
      <c r="Q111" s="487"/>
      <c r="R111" s="487"/>
      <c r="S111" s="487"/>
      <c r="T111" s="487"/>
      <c r="U111" s="487"/>
      <c r="V111" s="487"/>
      <c r="W111" s="487"/>
      <c r="X111" s="487"/>
      <c r="Y111" s="487"/>
      <c r="Z111" s="487"/>
    </row>
    <row r="112" spans="1:26" ht="13.5" customHeight="1">
      <c r="A112" s="487"/>
      <c r="B112" s="487"/>
      <c r="C112" s="487"/>
      <c r="D112" s="487"/>
      <c r="E112" s="487"/>
      <c r="F112" s="487"/>
      <c r="G112" s="487"/>
      <c r="H112" s="487"/>
      <c r="I112" s="487"/>
      <c r="J112" s="487"/>
      <c r="K112" s="487"/>
      <c r="L112" s="487"/>
      <c r="M112" s="487"/>
      <c r="N112" s="487"/>
      <c r="O112" s="487"/>
      <c r="P112" s="487"/>
      <c r="Q112" s="487"/>
      <c r="R112" s="487"/>
      <c r="S112" s="487"/>
      <c r="T112" s="487"/>
      <c r="U112" s="487"/>
      <c r="V112" s="487"/>
      <c r="W112" s="487"/>
      <c r="X112" s="487"/>
      <c r="Y112" s="487"/>
      <c r="Z112" s="487"/>
    </row>
    <row r="113" spans="1:26" ht="13.5" customHeight="1">
      <c r="A113" s="487"/>
      <c r="B113" s="487"/>
      <c r="C113" s="487"/>
      <c r="D113" s="487"/>
      <c r="E113" s="487"/>
      <c r="F113" s="487"/>
      <c r="G113" s="487"/>
      <c r="H113" s="487"/>
      <c r="I113" s="487"/>
      <c r="J113" s="487"/>
      <c r="K113" s="487"/>
      <c r="L113" s="487"/>
      <c r="M113" s="487"/>
      <c r="N113" s="487"/>
      <c r="O113" s="487"/>
      <c r="P113" s="487"/>
      <c r="Q113" s="487"/>
      <c r="R113" s="487"/>
      <c r="S113" s="487"/>
      <c r="T113" s="487"/>
      <c r="U113" s="487"/>
      <c r="V113" s="487"/>
      <c r="W113" s="487"/>
      <c r="X113" s="487"/>
      <c r="Y113" s="487"/>
      <c r="Z113" s="487"/>
    </row>
    <row r="114" spans="1:26" ht="13.5" customHeight="1">
      <c r="A114" s="487"/>
      <c r="B114" s="487"/>
      <c r="C114" s="487"/>
      <c r="D114" s="487"/>
      <c r="E114" s="487"/>
      <c r="F114" s="487"/>
      <c r="G114" s="487"/>
      <c r="H114" s="487"/>
      <c r="I114" s="487"/>
      <c r="J114" s="487"/>
      <c r="K114" s="487"/>
      <c r="L114" s="487"/>
      <c r="M114" s="487"/>
      <c r="N114" s="487"/>
      <c r="O114" s="487"/>
      <c r="P114" s="487"/>
      <c r="Q114" s="487"/>
      <c r="R114" s="487"/>
      <c r="S114" s="487"/>
      <c r="T114" s="487"/>
      <c r="U114" s="487"/>
      <c r="V114" s="487"/>
      <c r="W114" s="487"/>
      <c r="X114" s="487"/>
      <c r="Y114" s="487"/>
      <c r="Z114" s="487"/>
    </row>
    <row r="115" spans="1:26" ht="13.5" customHeight="1">
      <c r="A115" s="487"/>
      <c r="B115" s="487"/>
      <c r="C115" s="487"/>
      <c r="D115" s="487"/>
      <c r="E115" s="487"/>
      <c r="F115" s="487"/>
      <c r="G115" s="487"/>
      <c r="H115" s="487"/>
      <c r="I115" s="487"/>
      <c r="J115" s="487"/>
      <c r="K115" s="487"/>
      <c r="L115" s="487"/>
      <c r="M115" s="487"/>
      <c r="N115" s="487"/>
      <c r="O115" s="487"/>
      <c r="P115" s="487"/>
      <c r="Q115" s="487"/>
      <c r="R115" s="487"/>
      <c r="S115" s="487"/>
      <c r="T115" s="487"/>
      <c r="U115" s="487"/>
      <c r="V115" s="487"/>
      <c r="W115" s="487"/>
      <c r="X115" s="487"/>
      <c r="Y115" s="487"/>
      <c r="Z115" s="487"/>
    </row>
    <row r="116" spans="1:26" ht="13.5" customHeight="1">
      <c r="A116" s="487"/>
      <c r="B116" s="487"/>
      <c r="C116" s="487"/>
      <c r="D116" s="487"/>
      <c r="E116" s="487"/>
      <c r="F116" s="487"/>
      <c r="G116" s="487"/>
      <c r="H116" s="487"/>
      <c r="I116" s="487"/>
      <c r="J116" s="487"/>
      <c r="K116" s="487"/>
      <c r="L116" s="487"/>
      <c r="M116" s="487"/>
      <c r="N116" s="487"/>
      <c r="O116" s="487"/>
      <c r="P116" s="487"/>
      <c r="Q116" s="487"/>
      <c r="R116" s="487"/>
      <c r="S116" s="487"/>
      <c r="T116" s="487"/>
      <c r="U116" s="487"/>
      <c r="V116" s="487"/>
      <c r="W116" s="487"/>
      <c r="X116" s="487"/>
      <c r="Y116" s="487"/>
      <c r="Z116" s="487"/>
    </row>
    <row r="117" spans="1:26" ht="13.5" customHeight="1">
      <c r="A117" s="487"/>
      <c r="B117" s="487"/>
      <c r="C117" s="487"/>
      <c r="D117" s="487"/>
      <c r="E117" s="487"/>
      <c r="F117" s="487"/>
      <c r="G117" s="487"/>
      <c r="H117" s="487"/>
      <c r="I117" s="487"/>
      <c r="J117" s="487"/>
      <c r="K117" s="487"/>
      <c r="L117" s="487"/>
      <c r="M117" s="487"/>
      <c r="N117" s="487"/>
      <c r="O117" s="487"/>
      <c r="P117" s="487"/>
      <c r="Q117" s="487"/>
      <c r="R117" s="487"/>
      <c r="S117" s="487"/>
      <c r="T117" s="487"/>
      <c r="U117" s="487"/>
      <c r="V117" s="487"/>
      <c r="W117" s="487"/>
      <c r="X117" s="487"/>
      <c r="Y117" s="487"/>
      <c r="Z117" s="487"/>
    </row>
    <row r="118" spans="1:26" ht="13.5" customHeight="1">
      <c r="A118" s="487"/>
      <c r="B118" s="487"/>
      <c r="C118" s="487"/>
      <c r="D118" s="487"/>
      <c r="E118" s="487"/>
      <c r="F118" s="487"/>
      <c r="G118" s="487"/>
      <c r="H118" s="487"/>
      <c r="I118" s="487"/>
      <c r="J118" s="487"/>
      <c r="K118" s="487"/>
      <c r="L118" s="487"/>
      <c r="M118" s="487"/>
      <c r="N118" s="487"/>
      <c r="O118" s="487"/>
      <c r="P118" s="487"/>
      <c r="Q118" s="487"/>
      <c r="R118" s="487"/>
      <c r="S118" s="487"/>
      <c r="T118" s="487"/>
      <c r="U118" s="487"/>
      <c r="V118" s="487"/>
      <c r="W118" s="487"/>
      <c r="X118" s="487"/>
      <c r="Y118" s="487"/>
      <c r="Z118" s="487"/>
    </row>
    <row r="119" spans="1:26" ht="13.5" customHeight="1">
      <c r="A119" s="487"/>
      <c r="B119" s="487"/>
      <c r="C119" s="487"/>
      <c r="D119" s="487"/>
      <c r="E119" s="487"/>
      <c r="F119" s="487"/>
      <c r="G119" s="487"/>
      <c r="H119" s="487"/>
      <c r="I119" s="487"/>
      <c r="J119" s="487"/>
      <c r="K119" s="487"/>
      <c r="L119" s="487"/>
      <c r="M119" s="487"/>
      <c r="N119" s="487"/>
      <c r="O119" s="487"/>
      <c r="P119" s="487"/>
      <c r="Q119" s="487"/>
      <c r="R119" s="487"/>
      <c r="S119" s="487"/>
      <c r="T119" s="487"/>
      <c r="U119" s="487"/>
      <c r="V119" s="487"/>
      <c r="W119" s="487"/>
      <c r="X119" s="487"/>
      <c r="Y119" s="487"/>
      <c r="Z119" s="487"/>
    </row>
    <row r="120" spans="1:26" ht="13.5" customHeight="1">
      <c r="A120" s="487"/>
      <c r="B120" s="487"/>
      <c r="C120" s="487"/>
      <c r="D120" s="487"/>
      <c r="E120" s="487"/>
      <c r="F120" s="487"/>
      <c r="G120" s="487"/>
      <c r="H120" s="487"/>
      <c r="I120" s="487"/>
      <c r="J120" s="487"/>
      <c r="K120" s="487"/>
      <c r="L120" s="487"/>
      <c r="M120" s="487"/>
      <c r="N120" s="487"/>
      <c r="O120" s="487"/>
      <c r="P120" s="487"/>
      <c r="Q120" s="487"/>
      <c r="R120" s="487"/>
      <c r="S120" s="487"/>
      <c r="T120" s="487"/>
      <c r="U120" s="487"/>
      <c r="V120" s="487"/>
      <c r="W120" s="487"/>
      <c r="X120" s="487"/>
      <c r="Y120" s="487"/>
      <c r="Z120" s="487"/>
    </row>
    <row r="121" spans="1:26" ht="13.5" customHeight="1">
      <c r="A121" s="487"/>
      <c r="B121" s="487"/>
      <c r="C121" s="487"/>
      <c r="D121" s="487"/>
      <c r="E121" s="487"/>
      <c r="F121" s="487"/>
      <c r="G121" s="487"/>
      <c r="H121" s="487"/>
      <c r="I121" s="487"/>
      <c r="J121" s="487"/>
      <c r="K121" s="487"/>
      <c r="L121" s="487"/>
      <c r="M121" s="487"/>
      <c r="N121" s="487"/>
      <c r="O121" s="487"/>
      <c r="P121" s="487"/>
      <c r="Q121" s="487"/>
      <c r="R121" s="487"/>
      <c r="S121" s="487"/>
      <c r="T121" s="487"/>
      <c r="U121" s="487"/>
      <c r="V121" s="487"/>
      <c r="W121" s="487"/>
      <c r="X121" s="487"/>
      <c r="Y121" s="487"/>
      <c r="Z121" s="487"/>
    </row>
    <row r="122" spans="1:26" ht="13.5" customHeight="1">
      <c r="A122" s="487"/>
      <c r="B122" s="487"/>
      <c r="C122" s="487"/>
      <c r="D122" s="487"/>
      <c r="E122" s="487"/>
      <c r="F122" s="487"/>
      <c r="G122" s="487"/>
      <c r="H122" s="487"/>
      <c r="I122" s="487"/>
      <c r="J122" s="487"/>
      <c r="K122" s="487"/>
      <c r="L122" s="487"/>
      <c r="M122" s="487"/>
      <c r="N122" s="487"/>
      <c r="O122" s="487"/>
      <c r="P122" s="487"/>
      <c r="Q122" s="487"/>
      <c r="R122" s="487"/>
      <c r="S122" s="487"/>
      <c r="T122" s="487"/>
      <c r="U122" s="487"/>
      <c r="V122" s="487"/>
      <c r="W122" s="487"/>
      <c r="X122" s="487"/>
      <c r="Y122" s="487"/>
      <c r="Z122" s="487"/>
    </row>
    <row r="123" spans="1:26" ht="13.5" customHeight="1">
      <c r="A123" s="487"/>
      <c r="B123" s="487"/>
      <c r="C123" s="487"/>
      <c r="D123" s="487"/>
      <c r="E123" s="487"/>
      <c r="F123" s="487"/>
      <c r="G123" s="487"/>
      <c r="H123" s="487"/>
      <c r="I123" s="487"/>
      <c r="J123" s="487"/>
      <c r="K123" s="487"/>
      <c r="L123" s="487"/>
      <c r="M123" s="487"/>
      <c r="N123" s="487"/>
      <c r="O123" s="487"/>
      <c r="P123" s="487"/>
      <c r="Q123" s="487"/>
      <c r="R123" s="487"/>
      <c r="S123" s="487"/>
      <c r="T123" s="487"/>
      <c r="U123" s="487"/>
      <c r="V123" s="487"/>
      <c r="W123" s="487"/>
      <c r="X123" s="487"/>
      <c r="Y123" s="487"/>
      <c r="Z123" s="487"/>
    </row>
    <row r="124" spans="1:26" ht="13.5" customHeight="1">
      <c r="A124" s="487"/>
      <c r="B124" s="487"/>
      <c r="C124" s="487"/>
      <c r="D124" s="487"/>
      <c r="E124" s="487"/>
      <c r="F124" s="487"/>
      <c r="G124" s="487"/>
      <c r="H124" s="487"/>
      <c r="I124" s="487"/>
      <c r="J124" s="487"/>
      <c r="K124" s="487"/>
      <c r="L124" s="487"/>
      <c r="M124" s="487"/>
      <c r="N124" s="487"/>
      <c r="O124" s="487"/>
      <c r="P124" s="487"/>
      <c r="Q124" s="487"/>
      <c r="R124" s="487"/>
      <c r="S124" s="487"/>
      <c r="T124" s="487"/>
      <c r="U124" s="487"/>
      <c r="V124" s="487"/>
      <c r="W124" s="487"/>
      <c r="X124" s="487"/>
      <c r="Y124" s="487"/>
      <c r="Z124" s="487"/>
    </row>
    <row r="125" spans="1:26" ht="13.5" customHeight="1">
      <c r="A125" s="487"/>
      <c r="B125" s="487"/>
      <c r="C125" s="487"/>
      <c r="D125" s="487"/>
      <c r="E125" s="487"/>
      <c r="F125" s="487"/>
      <c r="G125" s="487"/>
      <c r="H125" s="487"/>
      <c r="I125" s="487"/>
      <c r="J125" s="487"/>
      <c r="K125" s="487"/>
      <c r="L125" s="487"/>
      <c r="M125" s="487"/>
      <c r="N125" s="487"/>
      <c r="O125" s="487"/>
      <c r="P125" s="487"/>
      <c r="Q125" s="487"/>
      <c r="R125" s="487"/>
      <c r="S125" s="487"/>
      <c r="T125" s="487"/>
      <c r="U125" s="487"/>
      <c r="V125" s="487"/>
      <c r="W125" s="487"/>
      <c r="X125" s="487"/>
      <c r="Y125" s="487"/>
      <c r="Z125" s="487"/>
    </row>
    <row r="126" spans="1:26" ht="13.5" customHeight="1">
      <c r="A126" s="487"/>
      <c r="B126" s="487"/>
      <c r="C126" s="487"/>
      <c r="D126" s="487"/>
      <c r="E126" s="487"/>
      <c r="F126" s="487"/>
      <c r="G126" s="487"/>
      <c r="H126" s="487"/>
      <c r="I126" s="487"/>
      <c r="J126" s="487"/>
      <c r="K126" s="487"/>
      <c r="L126" s="487"/>
      <c r="M126" s="487"/>
      <c r="N126" s="487"/>
      <c r="O126" s="487"/>
      <c r="P126" s="487"/>
      <c r="Q126" s="487"/>
      <c r="R126" s="487"/>
      <c r="S126" s="487"/>
      <c r="T126" s="487"/>
      <c r="U126" s="487"/>
      <c r="V126" s="487"/>
      <c r="W126" s="487"/>
      <c r="X126" s="487"/>
      <c r="Y126" s="487"/>
      <c r="Z126" s="487"/>
    </row>
    <row r="127" spans="1:26" ht="13.5" customHeight="1">
      <c r="A127" s="487"/>
      <c r="B127" s="487"/>
      <c r="C127" s="487"/>
      <c r="D127" s="487"/>
      <c r="E127" s="487"/>
      <c r="F127" s="487"/>
      <c r="G127" s="487"/>
      <c r="H127" s="487"/>
      <c r="I127" s="487"/>
      <c r="J127" s="487"/>
      <c r="K127" s="487"/>
      <c r="L127" s="487"/>
      <c r="M127" s="487"/>
      <c r="N127" s="487"/>
      <c r="O127" s="487"/>
      <c r="P127" s="487"/>
      <c r="Q127" s="487"/>
      <c r="R127" s="487"/>
      <c r="S127" s="487"/>
      <c r="T127" s="487"/>
      <c r="U127" s="487"/>
      <c r="V127" s="487"/>
      <c r="W127" s="487"/>
      <c r="X127" s="487"/>
      <c r="Y127" s="487"/>
      <c r="Z127" s="487"/>
    </row>
    <row r="128" spans="1:26" ht="13.5" customHeight="1">
      <c r="A128" s="487"/>
      <c r="B128" s="487"/>
      <c r="C128" s="487"/>
      <c r="D128" s="487"/>
      <c r="E128" s="487"/>
      <c r="F128" s="487"/>
      <c r="G128" s="487"/>
      <c r="H128" s="487"/>
      <c r="I128" s="487"/>
      <c r="J128" s="487"/>
      <c r="K128" s="487"/>
      <c r="L128" s="487"/>
      <c r="M128" s="487"/>
      <c r="N128" s="487"/>
      <c r="O128" s="487"/>
      <c r="P128" s="487"/>
      <c r="Q128" s="487"/>
      <c r="R128" s="487"/>
      <c r="S128" s="487"/>
      <c r="T128" s="487"/>
      <c r="U128" s="487"/>
      <c r="V128" s="487"/>
      <c r="W128" s="487"/>
      <c r="X128" s="487"/>
      <c r="Y128" s="487"/>
      <c r="Z128" s="487"/>
    </row>
    <row r="129" spans="1:26" ht="13.5" customHeight="1">
      <c r="A129" s="487"/>
      <c r="B129" s="487"/>
      <c r="C129" s="487"/>
      <c r="D129" s="487"/>
      <c r="E129" s="487"/>
      <c r="F129" s="487"/>
      <c r="G129" s="487"/>
      <c r="H129" s="487"/>
      <c r="I129" s="487"/>
      <c r="J129" s="487"/>
      <c r="K129" s="487"/>
      <c r="L129" s="487"/>
      <c r="M129" s="487"/>
      <c r="N129" s="487"/>
      <c r="O129" s="487"/>
      <c r="P129" s="487"/>
      <c r="Q129" s="487"/>
      <c r="R129" s="487"/>
      <c r="S129" s="487"/>
      <c r="T129" s="487"/>
      <c r="U129" s="487"/>
      <c r="V129" s="487"/>
      <c r="W129" s="487"/>
      <c r="X129" s="487"/>
      <c r="Y129" s="487"/>
      <c r="Z129" s="487"/>
    </row>
    <row r="130" spans="1:26" ht="13.5" customHeight="1">
      <c r="A130" s="487"/>
      <c r="B130" s="487"/>
      <c r="C130" s="487"/>
      <c r="D130" s="487"/>
      <c r="E130" s="487"/>
      <c r="F130" s="487"/>
      <c r="G130" s="487"/>
      <c r="H130" s="487"/>
      <c r="I130" s="487"/>
      <c r="J130" s="487"/>
      <c r="K130" s="487"/>
      <c r="L130" s="487"/>
      <c r="M130" s="487"/>
      <c r="N130" s="487"/>
      <c r="O130" s="487"/>
      <c r="P130" s="487"/>
      <c r="Q130" s="487"/>
      <c r="R130" s="487"/>
      <c r="S130" s="487"/>
      <c r="T130" s="487"/>
      <c r="U130" s="487"/>
      <c r="V130" s="487"/>
      <c r="W130" s="487"/>
      <c r="X130" s="487"/>
      <c r="Y130" s="487"/>
      <c r="Z130" s="487"/>
    </row>
    <row r="131" spans="1:26" ht="13.5" customHeight="1">
      <c r="A131" s="487"/>
      <c r="B131" s="487"/>
      <c r="C131" s="487"/>
      <c r="D131" s="487"/>
      <c r="E131" s="487"/>
      <c r="F131" s="487"/>
      <c r="G131" s="487"/>
      <c r="H131" s="487"/>
      <c r="I131" s="487"/>
      <c r="J131" s="487"/>
      <c r="K131" s="487"/>
      <c r="L131" s="487"/>
      <c r="M131" s="487"/>
      <c r="N131" s="487"/>
      <c r="O131" s="487"/>
      <c r="P131" s="487"/>
      <c r="Q131" s="487"/>
      <c r="R131" s="487"/>
      <c r="S131" s="487"/>
      <c r="T131" s="487"/>
      <c r="U131" s="487"/>
      <c r="V131" s="487"/>
      <c r="W131" s="487"/>
      <c r="X131" s="487"/>
      <c r="Y131" s="487"/>
      <c r="Z131" s="487"/>
    </row>
    <row r="132" spans="1:26" ht="13.5" customHeight="1">
      <c r="A132" s="487"/>
      <c r="B132" s="487"/>
      <c r="C132" s="487"/>
      <c r="D132" s="487"/>
      <c r="E132" s="487"/>
      <c r="F132" s="487"/>
      <c r="G132" s="487"/>
      <c r="H132" s="487"/>
      <c r="I132" s="487"/>
      <c r="J132" s="487"/>
      <c r="K132" s="487"/>
      <c r="L132" s="487"/>
      <c r="M132" s="487"/>
      <c r="N132" s="487"/>
      <c r="O132" s="487"/>
      <c r="P132" s="487"/>
      <c r="Q132" s="487"/>
      <c r="R132" s="487"/>
      <c r="S132" s="487"/>
      <c r="T132" s="487"/>
      <c r="U132" s="487"/>
      <c r="V132" s="487"/>
      <c r="W132" s="487"/>
      <c r="X132" s="487"/>
      <c r="Y132" s="487"/>
      <c r="Z132" s="487"/>
    </row>
    <row r="133" spans="1:26" ht="13.5" customHeight="1">
      <c r="A133" s="487"/>
      <c r="B133" s="487"/>
      <c r="C133" s="487"/>
      <c r="D133" s="487"/>
      <c r="E133" s="487"/>
      <c r="F133" s="487"/>
      <c r="G133" s="487"/>
      <c r="H133" s="487"/>
      <c r="I133" s="487"/>
      <c r="J133" s="487"/>
      <c r="K133" s="487"/>
      <c r="L133" s="487"/>
      <c r="M133" s="487"/>
      <c r="N133" s="487"/>
      <c r="O133" s="487"/>
      <c r="P133" s="487"/>
      <c r="Q133" s="487"/>
      <c r="R133" s="487"/>
      <c r="S133" s="487"/>
      <c r="T133" s="487"/>
      <c r="U133" s="487"/>
      <c r="V133" s="487"/>
      <c r="W133" s="487"/>
      <c r="X133" s="487"/>
      <c r="Y133" s="487"/>
      <c r="Z133" s="487"/>
    </row>
    <row r="134" spans="1:26" ht="13.5" customHeight="1">
      <c r="A134" s="487"/>
      <c r="B134" s="487"/>
      <c r="C134" s="487"/>
      <c r="D134" s="487"/>
      <c r="E134" s="487"/>
      <c r="F134" s="487"/>
      <c r="G134" s="487"/>
      <c r="H134" s="487"/>
      <c r="I134" s="487"/>
      <c r="J134" s="487"/>
      <c r="K134" s="487"/>
      <c r="L134" s="487"/>
      <c r="M134" s="487"/>
      <c r="N134" s="487"/>
      <c r="O134" s="487"/>
      <c r="P134" s="487"/>
      <c r="Q134" s="487"/>
      <c r="R134" s="487"/>
      <c r="S134" s="487"/>
      <c r="T134" s="487"/>
      <c r="U134" s="487"/>
      <c r="V134" s="487"/>
      <c r="W134" s="487"/>
      <c r="X134" s="487"/>
      <c r="Y134" s="487"/>
      <c r="Z134" s="487"/>
    </row>
    <row r="135" spans="1:26" ht="13.5" customHeight="1">
      <c r="A135" s="487"/>
      <c r="B135" s="487"/>
      <c r="C135" s="487"/>
      <c r="D135" s="487"/>
      <c r="E135" s="487"/>
      <c r="F135" s="487"/>
      <c r="G135" s="487"/>
      <c r="H135" s="487"/>
      <c r="I135" s="487"/>
      <c r="J135" s="487"/>
      <c r="K135" s="487"/>
      <c r="L135" s="487"/>
      <c r="M135" s="487"/>
      <c r="N135" s="487"/>
      <c r="O135" s="487"/>
      <c r="P135" s="487"/>
      <c r="Q135" s="487"/>
      <c r="R135" s="487"/>
      <c r="S135" s="487"/>
      <c r="T135" s="487"/>
      <c r="U135" s="487"/>
      <c r="V135" s="487"/>
      <c r="W135" s="487"/>
      <c r="X135" s="487"/>
      <c r="Y135" s="487"/>
      <c r="Z135" s="487"/>
    </row>
    <row r="136" spans="1:26" ht="13.5" customHeight="1">
      <c r="A136" s="487"/>
      <c r="B136" s="487"/>
      <c r="C136" s="487"/>
      <c r="D136" s="487"/>
      <c r="E136" s="487"/>
      <c r="F136" s="487"/>
      <c r="G136" s="487"/>
      <c r="H136" s="487"/>
      <c r="I136" s="487"/>
      <c r="J136" s="487"/>
      <c r="K136" s="487"/>
      <c r="L136" s="487"/>
      <c r="M136" s="487"/>
      <c r="N136" s="487"/>
      <c r="O136" s="487"/>
      <c r="P136" s="487"/>
      <c r="Q136" s="487"/>
      <c r="R136" s="487"/>
      <c r="S136" s="487"/>
      <c r="T136" s="487"/>
      <c r="U136" s="487"/>
      <c r="V136" s="487"/>
      <c r="W136" s="487"/>
      <c r="X136" s="487"/>
      <c r="Y136" s="487"/>
      <c r="Z136" s="487"/>
    </row>
    <row r="137" spans="1:26" ht="13.5" customHeight="1">
      <c r="A137" s="487"/>
      <c r="B137" s="487"/>
      <c r="C137" s="487"/>
      <c r="D137" s="487"/>
      <c r="E137" s="487"/>
      <c r="F137" s="487"/>
      <c r="G137" s="487"/>
      <c r="H137" s="487"/>
      <c r="I137" s="487"/>
      <c r="J137" s="487"/>
      <c r="K137" s="487"/>
      <c r="L137" s="487"/>
      <c r="M137" s="487"/>
      <c r="N137" s="487"/>
      <c r="O137" s="487"/>
      <c r="P137" s="487"/>
      <c r="Q137" s="487"/>
      <c r="R137" s="487"/>
      <c r="S137" s="487"/>
      <c r="T137" s="487"/>
      <c r="U137" s="487"/>
      <c r="V137" s="487"/>
      <c r="W137" s="487"/>
      <c r="X137" s="487"/>
      <c r="Y137" s="487"/>
      <c r="Z137" s="487"/>
    </row>
    <row r="138" spans="1:26" ht="13.5" customHeight="1">
      <c r="A138" s="487"/>
      <c r="B138" s="487"/>
      <c r="C138" s="487"/>
      <c r="D138" s="487"/>
      <c r="E138" s="487"/>
      <c r="F138" s="487"/>
      <c r="G138" s="487"/>
      <c r="H138" s="487"/>
      <c r="I138" s="487"/>
      <c r="J138" s="487"/>
      <c r="K138" s="487"/>
      <c r="L138" s="487"/>
      <c r="M138" s="487"/>
      <c r="N138" s="487"/>
      <c r="O138" s="487"/>
      <c r="P138" s="487"/>
      <c r="Q138" s="487"/>
      <c r="R138" s="487"/>
      <c r="S138" s="487"/>
      <c r="T138" s="487"/>
      <c r="U138" s="487"/>
      <c r="V138" s="487"/>
      <c r="W138" s="487"/>
      <c r="X138" s="487"/>
      <c r="Y138" s="487"/>
      <c r="Z138" s="487"/>
    </row>
    <row r="139" spans="1:26" ht="13.5" customHeight="1">
      <c r="A139" s="487"/>
      <c r="B139" s="487"/>
      <c r="C139" s="487"/>
      <c r="D139" s="487"/>
      <c r="E139" s="487"/>
      <c r="F139" s="487"/>
      <c r="G139" s="487"/>
      <c r="H139" s="487"/>
      <c r="I139" s="487"/>
      <c r="J139" s="487"/>
      <c r="K139" s="487"/>
      <c r="L139" s="487"/>
      <c r="M139" s="487"/>
      <c r="N139" s="487"/>
      <c r="O139" s="487"/>
      <c r="P139" s="487"/>
      <c r="Q139" s="487"/>
      <c r="R139" s="487"/>
      <c r="S139" s="487"/>
      <c r="T139" s="487"/>
      <c r="U139" s="487"/>
      <c r="V139" s="487"/>
      <c r="W139" s="487"/>
      <c r="X139" s="487"/>
      <c r="Y139" s="487"/>
      <c r="Z139" s="487"/>
    </row>
    <row r="140" spans="1:26" ht="13.5" customHeight="1">
      <c r="A140" s="487"/>
      <c r="B140" s="487"/>
      <c r="C140" s="487"/>
      <c r="D140" s="487"/>
      <c r="E140" s="487"/>
      <c r="F140" s="487"/>
      <c r="G140" s="487"/>
      <c r="H140" s="487"/>
      <c r="I140" s="487"/>
      <c r="J140" s="487"/>
      <c r="K140" s="487"/>
      <c r="L140" s="487"/>
      <c r="M140" s="487"/>
      <c r="N140" s="487"/>
      <c r="O140" s="487"/>
      <c r="P140" s="487"/>
      <c r="Q140" s="487"/>
      <c r="R140" s="487"/>
      <c r="S140" s="487"/>
      <c r="T140" s="487"/>
      <c r="U140" s="487"/>
      <c r="V140" s="487"/>
      <c r="W140" s="487"/>
      <c r="X140" s="487"/>
      <c r="Y140" s="487"/>
      <c r="Z140" s="487"/>
    </row>
    <row r="141" spans="1:26" ht="13.5" customHeight="1">
      <c r="A141" s="487"/>
      <c r="B141" s="487"/>
      <c r="C141" s="487"/>
      <c r="D141" s="487"/>
      <c r="E141" s="487"/>
      <c r="F141" s="487"/>
      <c r="G141" s="487"/>
      <c r="H141" s="487"/>
      <c r="I141" s="487"/>
      <c r="J141" s="487"/>
      <c r="K141" s="487"/>
      <c r="L141" s="487"/>
      <c r="M141" s="487"/>
      <c r="N141" s="487"/>
      <c r="O141" s="487"/>
      <c r="P141" s="487"/>
      <c r="Q141" s="487"/>
      <c r="R141" s="487"/>
      <c r="S141" s="487"/>
      <c r="T141" s="487"/>
      <c r="U141" s="487"/>
      <c r="V141" s="487"/>
      <c r="W141" s="487"/>
      <c r="X141" s="487"/>
      <c r="Y141" s="487"/>
      <c r="Z141" s="487"/>
    </row>
    <row r="142" spans="1:26" ht="13.5" customHeight="1">
      <c r="A142" s="487"/>
      <c r="B142" s="487"/>
      <c r="C142" s="487"/>
      <c r="D142" s="487"/>
      <c r="E142" s="487"/>
      <c r="F142" s="487"/>
      <c r="G142" s="487"/>
      <c r="H142" s="487"/>
      <c r="I142" s="487"/>
      <c r="J142" s="487"/>
      <c r="K142" s="487"/>
      <c r="L142" s="487"/>
      <c r="M142" s="487"/>
      <c r="N142" s="487"/>
      <c r="O142" s="487"/>
      <c r="P142" s="487"/>
      <c r="Q142" s="487"/>
      <c r="R142" s="487"/>
      <c r="S142" s="487"/>
      <c r="T142" s="487"/>
      <c r="U142" s="487"/>
      <c r="V142" s="487"/>
      <c r="W142" s="487"/>
      <c r="X142" s="487"/>
      <c r="Y142" s="487"/>
      <c r="Z142" s="487"/>
    </row>
    <row r="143" spans="1:26" ht="13.5" customHeight="1">
      <c r="A143" s="487"/>
      <c r="B143" s="487"/>
      <c r="C143" s="487"/>
      <c r="D143" s="487"/>
      <c r="E143" s="487"/>
      <c r="F143" s="487"/>
      <c r="G143" s="487"/>
      <c r="H143" s="487"/>
      <c r="I143" s="487"/>
      <c r="J143" s="487"/>
      <c r="K143" s="487"/>
      <c r="L143" s="487"/>
      <c r="M143" s="487"/>
      <c r="N143" s="487"/>
      <c r="O143" s="487"/>
      <c r="P143" s="487"/>
      <c r="Q143" s="487"/>
      <c r="R143" s="487"/>
      <c r="S143" s="487"/>
      <c r="T143" s="487"/>
      <c r="U143" s="487"/>
      <c r="V143" s="487"/>
      <c r="W143" s="487"/>
      <c r="X143" s="487"/>
      <c r="Y143" s="487"/>
      <c r="Z143" s="487"/>
    </row>
    <row r="144" spans="1:26" ht="13.5" customHeight="1">
      <c r="A144" s="487"/>
      <c r="B144" s="487"/>
      <c r="C144" s="487"/>
      <c r="D144" s="487"/>
      <c r="E144" s="487"/>
      <c r="F144" s="487"/>
      <c r="G144" s="487"/>
      <c r="H144" s="487"/>
      <c r="I144" s="487"/>
      <c r="J144" s="487"/>
      <c r="K144" s="487"/>
      <c r="L144" s="487"/>
      <c r="M144" s="487"/>
      <c r="N144" s="487"/>
      <c r="O144" s="487"/>
      <c r="P144" s="487"/>
      <c r="Q144" s="487"/>
      <c r="R144" s="487"/>
      <c r="S144" s="487"/>
      <c r="T144" s="487"/>
      <c r="U144" s="487"/>
      <c r="V144" s="487"/>
      <c r="W144" s="487"/>
      <c r="X144" s="487"/>
      <c r="Y144" s="487"/>
      <c r="Z144" s="487"/>
    </row>
    <row r="145" spans="1:26" ht="13.5" customHeight="1">
      <c r="A145" s="487"/>
      <c r="B145" s="487"/>
      <c r="C145" s="487"/>
      <c r="D145" s="487"/>
      <c r="E145" s="487"/>
      <c r="F145" s="487"/>
      <c r="G145" s="487"/>
      <c r="H145" s="487"/>
      <c r="I145" s="487"/>
      <c r="J145" s="487"/>
      <c r="K145" s="487"/>
      <c r="L145" s="487"/>
      <c r="M145" s="487"/>
      <c r="N145" s="487"/>
      <c r="O145" s="487"/>
      <c r="P145" s="487"/>
      <c r="Q145" s="487"/>
      <c r="R145" s="487"/>
      <c r="S145" s="487"/>
      <c r="T145" s="487"/>
      <c r="U145" s="487"/>
      <c r="V145" s="487"/>
      <c r="W145" s="487"/>
      <c r="X145" s="487"/>
      <c r="Y145" s="487"/>
      <c r="Z145" s="487"/>
    </row>
    <row r="146" spans="1:26" ht="13.5" customHeight="1">
      <c r="A146" s="487"/>
      <c r="B146" s="487"/>
      <c r="C146" s="487"/>
      <c r="D146" s="487"/>
      <c r="E146" s="487"/>
      <c r="F146" s="487"/>
      <c r="G146" s="487"/>
      <c r="H146" s="487"/>
      <c r="I146" s="487"/>
      <c r="J146" s="487"/>
      <c r="K146" s="487"/>
      <c r="L146" s="487"/>
      <c r="M146" s="487"/>
      <c r="N146" s="487"/>
      <c r="O146" s="487"/>
      <c r="P146" s="487"/>
      <c r="Q146" s="487"/>
      <c r="R146" s="487"/>
      <c r="S146" s="487"/>
      <c r="T146" s="487"/>
      <c r="U146" s="487"/>
      <c r="V146" s="487"/>
      <c r="W146" s="487"/>
      <c r="X146" s="487"/>
      <c r="Y146" s="487"/>
      <c r="Z146" s="487"/>
    </row>
    <row r="147" spans="1:26" ht="13.5" customHeight="1">
      <c r="A147" s="487"/>
      <c r="B147" s="487"/>
      <c r="C147" s="487"/>
      <c r="D147" s="487"/>
      <c r="E147" s="487"/>
      <c r="F147" s="487"/>
      <c r="G147" s="487"/>
      <c r="H147" s="487"/>
      <c r="I147" s="487"/>
      <c r="J147" s="487"/>
      <c r="K147" s="487"/>
      <c r="L147" s="487"/>
      <c r="M147" s="487"/>
      <c r="N147" s="487"/>
      <c r="O147" s="487"/>
      <c r="P147" s="487"/>
      <c r="Q147" s="487"/>
      <c r="R147" s="487"/>
      <c r="S147" s="487"/>
      <c r="T147" s="487"/>
      <c r="U147" s="487"/>
      <c r="V147" s="487"/>
      <c r="W147" s="487"/>
      <c r="X147" s="487"/>
      <c r="Y147" s="487"/>
      <c r="Z147" s="487"/>
    </row>
    <row r="148" spans="1:26" ht="13.5" customHeight="1">
      <c r="A148" s="487"/>
      <c r="B148" s="487"/>
      <c r="C148" s="487"/>
      <c r="D148" s="487"/>
      <c r="E148" s="487"/>
      <c r="F148" s="487"/>
      <c r="G148" s="487"/>
      <c r="H148" s="487"/>
      <c r="I148" s="487"/>
      <c r="J148" s="487"/>
      <c r="K148" s="487"/>
      <c r="L148" s="487"/>
      <c r="M148" s="487"/>
      <c r="N148" s="487"/>
      <c r="O148" s="487"/>
      <c r="P148" s="487"/>
      <c r="Q148" s="487"/>
      <c r="R148" s="487"/>
      <c r="S148" s="487"/>
      <c r="T148" s="487"/>
      <c r="U148" s="487"/>
      <c r="V148" s="487"/>
      <c r="W148" s="487"/>
      <c r="X148" s="487"/>
      <c r="Y148" s="487"/>
      <c r="Z148" s="487"/>
    </row>
    <row r="149" spans="1:26" ht="13.5" customHeight="1">
      <c r="A149" s="487"/>
      <c r="B149" s="487"/>
      <c r="C149" s="487"/>
      <c r="D149" s="487"/>
      <c r="E149" s="487"/>
      <c r="F149" s="487"/>
      <c r="G149" s="487"/>
      <c r="H149" s="487"/>
      <c r="I149" s="487"/>
      <c r="J149" s="487"/>
      <c r="K149" s="487"/>
      <c r="L149" s="487"/>
      <c r="M149" s="487"/>
      <c r="N149" s="487"/>
      <c r="O149" s="487"/>
      <c r="P149" s="487"/>
      <c r="Q149" s="487"/>
      <c r="R149" s="487"/>
      <c r="S149" s="487"/>
      <c r="T149" s="487"/>
      <c r="U149" s="487"/>
      <c r="V149" s="487"/>
      <c r="W149" s="487"/>
      <c r="X149" s="487"/>
      <c r="Y149" s="487"/>
      <c r="Z149" s="487"/>
    </row>
    <row r="150" spans="1:26" ht="13.5" customHeight="1">
      <c r="A150" s="487"/>
      <c r="B150" s="487"/>
      <c r="C150" s="487"/>
      <c r="D150" s="487"/>
      <c r="E150" s="487"/>
      <c r="F150" s="487"/>
      <c r="G150" s="487"/>
      <c r="H150" s="487"/>
      <c r="I150" s="487"/>
      <c r="J150" s="487"/>
      <c r="K150" s="487"/>
      <c r="L150" s="487"/>
      <c r="M150" s="487"/>
      <c r="N150" s="487"/>
      <c r="O150" s="487"/>
      <c r="P150" s="487"/>
      <c r="Q150" s="487"/>
      <c r="R150" s="487"/>
      <c r="S150" s="487"/>
      <c r="T150" s="487"/>
      <c r="U150" s="487"/>
      <c r="V150" s="487"/>
      <c r="W150" s="487"/>
      <c r="X150" s="487"/>
      <c r="Y150" s="487"/>
      <c r="Z150" s="487"/>
    </row>
    <row r="151" spans="1:26" ht="13.5" customHeight="1">
      <c r="A151" s="487"/>
      <c r="B151" s="487"/>
      <c r="C151" s="487"/>
      <c r="D151" s="487"/>
      <c r="E151" s="487"/>
      <c r="F151" s="487"/>
      <c r="G151" s="487"/>
      <c r="H151" s="487"/>
      <c r="I151" s="487"/>
      <c r="J151" s="487"/>
      <c r="K151" s="487"/>
      <c r="L151" s="487"/>
      <c r="M151" s="487"/>
      <c r="N151" s="487"/>
      <c r="O151" s="487"/>
      <c r="P151" s="487"/>
      <c r="Q151" s="487"/>
      <c r="R151" s="487"/>
      <c r="S151" s="487"/>
      <c r="T151" s="487"/>
      <c r="U151" s="487"/>
      <c r="V151" s="487"/>
      <c r="W151" s="487"/>
      <c r="X151" s="487"/>
      <c r="Y151" s="487"/>
      <c r="Z151" s="487"/>
    </row>
    <row r="152" spans="1:26" ht="13.5" customHeight="1">
      <c r="A152" s="487"/>
      <c r="B152" s="487"/>
      <c r="C152" s="487"/>
      <c r="D152" s="487"/>
      <c r="E152" s="487"/>
      <c r="F152" s="487"/>
      <c r="G152" s="487"/>
      <c r="H152" s="487"/>
      <c r="I152" s="487"/>
      <c r="J152" s="487"/>
      <c r="K152" s="487"/>
      <c r="L152" s="487"/>
      <c r="M152" s="487"/>
      <c r="N152" s="487"/>
      <c r="O152" s="487"/>
      <c r="P152" s="487"/>
      <c r="Q152" s="487"/>
      <c r="R152" s="487"/>
      <c r="S152" s="487"/>
      <c r="T152" s="487"/>
      <c r="U152" s="487"/>
      <c r="V152" s="487"/>
      <c r="W152" s="487"/>
      <c r="X152" s="487"/>
      <c r="Y152" s="487"/>
      <c r="Z152" s="487"/>
    </row>
    <row r="153" spans="1:26" ht="13.5" customHeight="1">
      <c r="A153" s="487"/>
      <c r="B153" s="487"/>
      <c r="C153" s="487"/>
      <c r="D153" s="487"/>
      <c r="E153" s="487"/>
      <c r="F153" s="487"/>
      <c r="G153" s="487"/>
      <c r="H153" s="487"/>
      <c r="I153" s="487"/>
      <c r="J153" s="487"/>
      <c r="K153" s="487"/>
      <c r="L153" s="487"/>
      <c r="M153" s="487"/>
      <c r="N153" s="487"/>
      <c r="O153" s="487"/>
      <c r="P153" s="487"/>
      <c r="Q153" s="487"/>
      <c r="R153" s="487"/>
      <c r="S153" s="487"/>
      <c r="T153" s="487"/>
      <c r="U153" s="487"/>
      <c r="V153" s="487"/>
      <c r="W153" s="487"/>
      <c r="X153" s="487"/>
      <c r="Y153" s="487"/>
      <c r="Z153" s="487"/>
    </row>
    <row r="154" spans="1:26" ht="13.5" customHeight="1">
      <c r="A154" s="487"/>
      <c r="B154" s="487"/>
      <c r="C154" s="487"/>
      <c r="D154" s="487"/>
      <c r="E154" s="487"/>
      <c r="F154" s="487"/>
      <c r="G154" s="487"/>
      <c r="H154" s="487"/>
      <c r="I154" s="487"/>
      <c r="J154" s="487"/>
      <c r="K154" s="487"/>
      <c r="L154" s="487"/>
      <c r="M154" s="487"/>
      <c r="N154" s="487"/>
      <c r="O154" s="487"/>
      <c r="P154" s="487"/>
      <c r="Q154" s="487"/>
      <c r="R154" s="487"/>
      <c r="S154" s="487"/>
      <c r="T154" s="487"/>
      <c r="U154" s="487"/>
      <c r="V154" s="487"/>
      <c r="W154" s="487"/>
      <c r="X154" s="487"/>
      <c r="Y154" s="487"/>
      <c r="Z154" s="487"/>
    </row>
    <row r="155" spans="1:26" ht="13.5" customHeight="1">
      <c r="A155" s="487"/>
      <c r="B155" s="487"/>
      <c r="C155" s="487"/>
      <c r="D155" s="487"/>
      <c r="E155" s="487"/>
      <c r="F155" s="487"/>
      <c r="G155" s="487"/>
      <c r="H155" s="487"/>
      <c r="I155" s="487"/>
      <c r="J155" s="487"/>
      <c r="K155" s="487"/>
      <c r="L155" s="487"/>
      <c r="M155" s="487"/>
      <c r="N155" s="487"/>
      <c r="O155" s="487"/>
      <c r="P155" s="487"/>
      <c r="Q155" s="487"/>
      <c r="R155" s="487"/>
      <c r="S155" s="487"/>
      <c r="T155" s="487"/>
      <c r="U155" s="487"/>
      <c r="V155" s="487"/>
      <c r="W155" s="487"/>
      <c r="X155" s="487"/>
      <c r="Y155" s="487"/>
      <c r="Z155" s="487"/>
    </row>
    <row r="156" spans="1:26" ht="13.5" customHeight="1">
      <c r="A156" s="487"/>
      <c r="B156" s="487"/>
      <c r="C156" s="487"/>
      <c r="D156" s="487"/>
      <c r="E156" s="487"/>
      <c r="F156" s="487"/>
      <c r="G156" s="487"/>
      <c r="H156" s="487"/>
      <c r="I156" s="487"/>
      <c r="J156" s="487"/>
      <c r="K156" s="487"/>
      <c r="L156" s="487"/>
      <c r="M156" s="487"/>
      <c r="N156" s="487"/>
      <c r="O156" s="487"/>
      <c r="P156" s="487"/>
      <c r="Q156" s="487"/>
      <c r="R156" s="487"/>
      <c r="S156" s="487"/>
      <c r="T156" s="487"/>
      <c r="U156" s="487"/>
      <c r="V156" s="487"/>
      <c r="W156" s="487"/>
      <c r="X156" s="487"/>
      <c r="Y156" s="487"/>
      <c r="Z156" s="487"/>
    </row>
    <row r="157" spans="1:26" ht="13.5" customHeight="1">
      <c r="A157" s="487"/>
      <c r="B157" s="487"/>
      <c r="C157" s="487"/>
      <c r="D157" s="487"/>
      <c r="E157" s="487"/>
      <c r="F157" s="487"/>
      <c r="G157" s="487"/>
      <c r="H157" s="487"/>
      <c r="I157" s="487"/>
      <c r="J157" s="487"/>
      <c r="K157" s="487"/>
      <c r="L157" s="487"/>
      <c r="M157" s="487"/>
      <c r="N157" s="487"/>
      <c r="O157" s="487"/>
      <c r="P157" s="487"/>
      <c r="Q157" s="487"/>
      <c r="R157" s="487"/>
      <c r="S157" s="487"/>
      <c r="T157" s="487"/>
      <c r="U157" s="487"/>
      <c r="V157" s="487"/>
      <c r="W157" s="487"/>
      <c r="X157" s="487"/>
      <c r="Y157" s="487"/>
      <c r="Z157" s="487"/>
    </row>
    <row r="158" spans="1:26" ht="13.5" customHeight="1">
      <c r="A158" s="487"/>
      <c r="B158" s="487"/>
      <c r="C158" s="487"/>
      <c r="D158" s="487"/>
      <c r="E158" s="487"/>
      <c r="F158" s="487"/>
      <c r="G158" s="487"/>
      <c r="H158" s="487"/>
      <c r="I158" s="487"/>
      <c r="J158" s="487"/>
      <c r="K158" s="487"/>
      <c r="L158" s="487"/>
      <c r="M158" s="487"/>
      <c r="N158" s="487"/>
      <c r="O158" s="487"/>
      <c r="P158" s="487"/>
      <c r="Q158" s="487"/>
      <c r="R158" s="487"/>
      <c r="S158" s="487"/>
      <c r="T158" s="487"/>
      <c r="U158" s="487"/>
      <c r="V158" s="487"/>
      <c r="W158" s="487"/>
      <c r="X158" s="487"/>
      <c r="Y158" s="487"/>
      <c r="Z158" s="487"/>
    </row>
    <row r="159" spans="1:26" ht="13.5" customHeight="1">
      <c r="A159" s="487"/>
      <c r="B159" s="487"/>
      <c r="C159" s="487"/>
      <c r="D159" s="487"/>
      <c r="E159" s="487"/>
      <c r="F159" s="487"/>
      <c r="G159" s="487"/>
      <c r="H159" s="487"/>
      <c r="I159" s="487"/>
      <c r="J159" s="487"/>
      <c r="K159" s="487"/>
      <c r="L159" s="487"/>
      <c r="M159" s="487"/>
      <c r="N159" s="487"/>
      <c r="O159" s="487"/>
      <c r="P159" s="487"/>
      <c r="Q159" s="487"/>
      <c r="R159" s="487"/>
      <c r="S159" s="487"/>
      <c r="T159" s="487"/>
      <c r="U159" s="487"/>
      <c r="V159" s="487"/>
      <c r="W159" s="487"/>
      <c r="X159" s="487"/>
      <c r="Y159" s="487"/>
      <c r="Z159" s="487"/>
    </row>
    <row r="160" spans="1:26" ht="13.5" customHeight="1">
      <c r="A160" s="487"/>
      <c r="B160" s="487"/>
      <c r="C160" s="487"/>
      <c r="D160" s="487"/>
      <c r="E160" s="487"/>
      <c r="F160" s="487"/>
      <c r="G160" s="487"/>
      <c r="H160" s="487"/>
      <c r="I160" s="487"/>
      <c r="J160" s="487"/>
      <c r="K160" s="487"/>
      <c r="L160" s="487"/>
      <c r="M160" s="487"/>
      <c r="N160" s="487"/>
      <c r="O160" s="487"/>
      <c r="P160" s="487"/>
      <c r="Q160" s="487"/>
      <c r="R160" s="487"/>
      <c r="S160" s="487"/>
      <c r="T160" s="487"/>
      <c r="U160" s="487"/>
      <c r="V160" s="487"/>
      <c r="W160" s="487"/>
      <c r="X160" s="487"/>
      <c r="Y160" s="487"/>
      <c r="Z160" s="487"/>
    </row>
    <row r="161" spans="1:26" ht="13.5" customHeight="1">
      <c r="A161" s="487"/>
      <c r="B161" s="487"/>
      <c r="C161" s="487"/>
      <c r="D161" s="487"/>
      <c r="E161" s="487"/>
      <c r="F161" s="487"/>
      <c r="G161" s="487"/>
      <c r="H161" s="487"/>
      <c r="I161" s="487"/>
      <c r="J161" s="487"/>
      <c r="K161" s="487"/>
      <c r="L161" s="487"/>
      <c r="M161" s="487"/>
      <c r="N161" s="487"/>
      <c r="O161" s="487"/>
      <c r="P161" s="487"/>
      <c r="Q161" s="487"/>
      <c r="R161" s="487"/>
      <c r="S161" s="487"/>
      <c r="T161" s="487"/>
      <c r="U161" s="487"/>
      <c r="V161" s="487"/>
      <c r="W161" s="487"/>
      <c r="X161" s="487"/>
      <c r="Y161" s="487"/>
      <c r="Z161" s="487"/>
    </row>
    <row r="162" spans="1:26" ht="13.5" customHeight="1">
      <c r="A162" s="487"/>
      <c r="B162" s="487"/>
      <c r="C162" s="487"/>
      <c r="D162" s="487"/>
      <c r="E162" s="487"/>
      <c r="F162" s="487"/>
      <c r="G162" s="487"/>
      <c r="H162" s="487"/>
      <c r="I162" s="487"/>
      <c r="J162" s="487"/>
      <c r="K162" s="487"/>
      <c r="L162" s="487"/>
      <c r="M162" s="487"/>
      <c r="N162" s="487"/>
      <c r="O162" s="487"/>
      <c r="P162" s="487"/>
      <c r="Q162" s="487"/>
      <c r="R162" s="487"/>
      <c r="S162" s="487"/>
      <c r="T162" s="487"/>
      <c r="U162" s="487"/>
      <c r="V162" s="487"/>
      <c r="W162" s="487"/>
      <c r="X162" s="487"/>
      <c r="Y162" s="487"/>
      <c r="Z162" s="487"/>
    </row>
    <row r="163" spans="1:26" ht="13.5" customHeight="1">
      <c r="A163" s="487"/>
      <c r="B163" s="487"/>
      <c r="C163" s="487"/>
      <c r="D163" s="487"/>
      <c r="E163" s="487"/>
      <c r="F163" s="487"/>
      <c r="G163" s="487"/>
      <c r="H163" s="487"/>
      <c r="I163" s="487"/>
      <c r="J163" s="487"/>
      <c r="K163" s="487"/>
      <c r="L163" s="487"/>
      <c r="M163" s="487"/>
      <c r="N163" s="487"/>
      <c r="O163" s="487"/>
      <c r="P163" s="487"/>
      <c r="Q163" s="487"/>
      <c r="R163" s="487"/>
      <c r="S163" s="487"/>
      <c r="T163" s="487"/>
      <c r="U163" s="487"/>
      <c r="V163" s="487"/>
      <c r="W163" s="487"/>
      <c r="X163" s="487"/>
      <c r="Y163" s="487"/>
      <c r="Z163" s="487"/>
    </row>
    <row r="164" spans="1:26" ht="13.5" customHeight="1">
      <c r="A164" s="487"/>
      <c r="B164" s="487"/>
      <c r="C164" s="487"/>
      <c r="D164" s="487"/>
      <c r="E164" s="487"/>
      <c r="F164" s="487"/>
      <c r="G164" s="487"/>
      <c r="H164" s="487"/>
      <c r="I164" s="487"/>
      <c r="J164" s="487"/>
      <c r="K164" s="487"/>
      <c r="L164" s="487"/>
      <c r="M164" s="487"/>
      <c r="N164" s="487"/>
      <c r="O164" s="487"/>
      <c r="P164" s="487"/>
      <c r="Q164" s="487"/>
      <c r="R164" s="487"/>
      <c r="S164" s="487"/>
      <c r="T164" s="487"/>
      <c r="U164" s="487"/>
      <c r="V164" s="487"/>
      <c r="W164" s="487"/>
      <c r="X164" s="487"/>
      <c r="Y164" s="487"/>
      <c r="Z164" s="487"/>
    </row>
    <row r="165" spans="1:26" ht="13.5" customHeight="1">
      <c r="A165" s="487"/>
      <c r="B165" s="487"/>
      <c r="C165" s="487"/>
      <c r="D165" s="487"/>
      <c r="E165" s="487"/>
      <c r="F165" s="487"/>
      <c r="G165" s="487"/>
      <c r="H165" s="487"/>
      <c r="I165" s="487"/>
      <c r="J165" s="487"/>
      <c r="K165" s="487"/>
      <c r="L165" s="487"/>
      <c r="M165" s="487"/>
      <c r="N165" s="487"/>
      <c r="O165" s="487"/>
      <c r="P165" s="487"/>
      <c r="Q165" s="487"/>
      <c r="R165" s="487"/>
      <c r="S165" s="487"/>
      <c r="T165" s="487"/>
      <c r="U165" s="487"/>
      <c r="V165" s="487"/>
      <c r="W165" s="487"/>
      <c r="X165" s="487"/>
      <c r="Y165" s="487"/>
      <c r="Z165" s="487"/>
    </row>
    <row r="166" spans="1:26" ht="13.5" customHeight="1">
      <c r="A166" s="487"/>
      <c r="B166" s="487"/>
      <c r="C166" s="487"/>
      <c r="D166" s="487"/>
      <c r="E166" s="487"/>
      <c r="F166" s="487"/>
      <c r="G166" s="487"/>
      <c r="H166" s="487"/>
      <c r="I166" s="487"/>
      <c r="J166" s="487"/>
      <c r="K166" s="487"/>
      <c r="L166" s="487"/>
      <c r="M166" s="487"/>
      <c r="N166" s="487"/>
      <c r="O166" s="487"/>
      <c r="P166" s="487"/>
      <c r="Q166" s="487"/>
      <c r="R166" s="487"/>
      <c r="S166" s="487"/>
      <c r="T166" s="487"/>
      <c r="U166" s="487"/>
      <c r="V166" s="487"/>
      <c r="W166" s="487"/>
      <c r="X166" s="487"/>
      <c r="Y166" s="487"/>
      <c r="Z166" s="487"/>
    </row>
    <row r="167" spans="1:26" ht="13.5" customHeight="1">
      <c r="A167" s="487"/>
      <c r="B167" s="487"/>
      <c r="C167" s="487"/>
      <c r="D167" s="487"/>
      <c r="E167" s="487"/>
      <c r="F167" s="487"/>
      <c r="G167" s="487"/>
      <c r="H167" s="487"/>
      <c r="I167" s="487"/>
      <c r="J167" s="487"/>
      <c r="K167" s="487"/>
      <c r="L167" s="487"/>
      <c r="M167" s="487"/>
      <c r="N167" s="487"/>
      <c r="O167" s="487"/>
      <c r="P167" s="487"/>
      <c r="Q167" s="487"/>
      <c r="R167" s="487"/>
      <c r="S167" s="487"/>
      <c r="T167" s="487"/>
      <c r="U167" s="487"/>
      <c r="V167" s="487"/>
      <c r="W167" s="487"/>
      <c r="X167" s="487"/>
      <c r="Y167" s="487"/>
      <c r="Z167" s="487"/>
    </row>
    <row r="168" spans="1:26" ht="13.5" customHeight="1">
      <c r="A168" s="487"/>
      <c r="B168" s="487"/>
      <c r="C168" s="487"/>
      <c r="D168" s="487"/>
      <c r="E168" s="487"/>
      <c r="F168" s="487"/>
      <c r="G168" s="487"/>
      <c r="H168" s="487"/>
      <c r="I168" s="487"/>
      <c r="J168" s="487"/>
      <c r="K168" s="487"/>
      <c r="L168" s="487"/>
      <c r="M168" s="487"/>
      <c r="N168" s="487"/>
      <c r="O168" s="487"/>
      <c r="P168" s="487"/>
      <c r="Q168" s="487"/>
      <c r="R168" s="487"/>
      <c r="S168" s="487"/>
      <c r="T168" s="487"/>
      <c r="U168" s="487"/>
      <c r="V168" s="487"/>
      <c r="W168" s="487"/>
      <c r="X168" s="487"/>
      <c r="Y168" s="487"/>
      <c r="Z168" s="487"/>
    </row>
    <row r="169" spans="1:26" ht="13.5" customHeight="1">
      <c r="A169" s="487"/>
      <c r="B169" s="487"/>
      <c r="C169" s="487"/>
      <c r="D169" s="487"/>
      <c r="E169" s="487"/>
      <c r="F169" s="487"/>
      <c r="G169" s="487"/>
      <c r="H169" s="487"/>
      <c r="I169" s="487"/>
      <c r="J169" s="487"/>
      <c r="K169" s="487"/>
      <c r="L169" s="487"/>
      <c r="M169" s="487"/>
      <c r="N169" s="487"/>
      <c r="O169" s="487"/>
      <c r="P169" s="487"/>
      <c r="Q169" s="487"/>
      <c r="R169" s="487"/>
      <c r="S169" s="487"/>
      <c r="T169" s="487"/>
      <c r="U169" s="487"/>
      <c r="V169" s="487"/>
      <c r="W169" s="487"/>
      <c r="X169" s="487"/>
      <c r="Y169" s="487"/>
      <c r="Z169" s="487"/>
    </row>
    <row r="170" spans="1:26" ht="13.5" customHeight="1">
      <c r="A170" s="487"/>
      <c r="B170" s="487"/>
      <c r="C170" s="487"/>
      <c r="D170" s="487"/>
      <c r="E170" s="487"/>
      <c r="F170" s="487"/>
      <c r="G170" s="487"/>
      <c r="H170" s="487"/>
      <c r="I170" s="487"/>
      <c r="J170" s="487"/>
      <c r="K170" s="487"/>
      <c r="L170" s="487"/>
      <c r="M170" s="487"/>
      <c r="N170" s="487"/>
      <c r="O170" s="487"/>
      <c r="P170" s="487"/>
      <c r="Q170" s="487"/>
      <c r="R170" s="487"/>
      <c r="S170" s="487"/>
      <c r="T170" s="487"/>
      <c r="U170" s="487"/>
      <c r="V170" s="487"/>
      <c r="W170" s="487"/>
      <c r="X170" s="487"/>
      <c r="Y170" s="487"/>
      <c r="Z170" s="487"/>
    </row>
    <row r="171" spans="1:26" ht="13.5" customHeight="1">
      <c r="A171" s="487"/>
      <c r="B171" s="487"/>
      <c r="C171" s="487"/>
      <c r="D171" s="487"/>
      <c r="E171" s="487"/>
      <c r="F171" s="487"/>
      <c r="G171" s="487"/>
      <c r="H171" s="487"/>
      <c r="I171" s="487"/>
      <c r="J171" s="487"/>
      <c r="K171" s="487"/>
      <c r="L171" s="487"/>
      <c r="M171" s="487"/>
      <c r="N171" s="487"/>
      <c r="O171" s="487"/>
      <c r="P171" s="487"/>
      <c r="Q171" s="487"/>
      <c r="R171" s="487"/>
      <c r="S171" s="487"/>
      <c r="T171" s="487"/>
      <c r="U171" s="487"/>
      <c r="V171" s="487"/>
      <c r="W171" s="487"/>
      <c r="X171" s="487"/>
      <c r="Y171" s="487"/>
      <c r="Z171" s="487"/>
    </row>
    <row r="172" spans="1:26" ht="13.5" customHeight="1">
      <c r="A172" s="487"/>
      <c r="B172" s="487"/>
      <c r="C172" s="487"/>
      <c r="D172" s="487"/>
      <c r="E172" s="487"/>
      <c r="F172" s="487"/>
      <c r="G172" s="487"/>
      <c r="H172" s="487"/>
      <c r="I172" s="487"/>
      <c r="J172" s="487"/>
      <c r="K172" s="487"/>
      <c r="L172" s="487"/>
      <c r="M172" s="487"/>
      <c r="N172" s="487"/>
      <c r="O172" s="487"/>
      <c r="P172" s="487"/>
      <c r="Q172" s="487"/>
      <c r="R172" s="487"/>
      <c r="S172" s="487"/>
      <c r="T172" s="487"/>
      <c r="U172" s="487"/>
      <c r="V172" s="487"/>
      <c r="W172" s="487"/>
      <c r="X172" s="487"/>
      <c r="Y172" s="487"/>
      <c r="Z172" s="487"/>
    </row>
    <row r="173" spans="1:26" ht="13.5" customHeight="1">
      <c r="A173" s="487"/>
      <c r="B173" s="487"/>
      <c r="C173" s="487"/>
      <c r="D173" s="487"/>
      <c r="E173" s="487"/>
      <c r="F173" s="487"/>
      <c r="G173" s="487"/>
      <c r="H173" s="487"/>
      <c r="I173" s="487"/>
      <c r="J173" s="487"/>
      <c r="K173" s="487"/>
      <c r="L173" s="487"/>
      <c r="M173" s="487"/>
      <c r="N173" s="487"/>
      <c r="O173" s="487"/>
      <c r="P173" s="487"/>
      <c r="Q173" s="487"/>
      <c r="R173" s="487"/>
      <c r="S173" s="487"/>
      <c r="T173" s="487"/>
      <c r="U173" s="487"/>
      <c r="V173" s="487"/>
      <c r="W173" s="487"/>
      <c r="X173" s="487"/>
      <c r="Y173" s="487"/>
      <c r="Z173" s="487"/>
    </row>
    <row r="174" spans="1:26" ht="13.5" customHeight="1">
      <c r="A174" s="487"/>
      <c r="B174" s="487"/>
      <c r="C174" s="487"/>
      <c r="D174" s="487"/>
      <c r="E174" s="487"/>
      <c r="F174" s="487"/>
      <c r="G174" s="487"/>
      <c r="H174" s="487"/>
      <c r="I174" s="487"/>
      <c r="J174" s="487"/>
      <c r="K174" s="487"/>
      <c r="L174" s="487"/>
      <c r="M174" s="487"/>
      <c r="N174" s="487"/>
      <c r="O174" s="487"/>
      <c r="P174" s="487"/>
      <c r="Q174" s="487"/>
      <c r="R174" s="487"/>
      <c r="S174" s="487"/>
      <c r="T174" s="487"/>
      <c r="U174" s="487"/>
      <c r="V174" s="487"/>
      <c r="W174" s="487"/>
      <c r="X174" s="487"/>
      <c r="Y174" s="487"/>
      <c r="Z174" s="487"/>
    </row>
    <row r="175" spans="1:26" ht="13.5" customHeight="1">
      <c r="A175" s="487"/>
      <c r="B175" s="487"/>
      <c r="C175" s="487"/>
      <c r="D175" s="487"/>
      <c r="E175" s="487"/>
      <c r="F175" s="487"/>
      <c r="G175" s="487"/>
      <c r="H175" s="487"/>
      <c r="I175" s="487"/>
      <c r="J175" s="487"/>
      <c r="K175" s="487"/>
      <c r="L175" s="487"/>
      <c r="M175" s="487"/>
      <c r="N175" s="487"/>
      <c r="O175" s="487"/>
      <c r="P175" s="487"/>
      <c r="Q175" s="487"/>
      <c r="R175" s="487"/>
      <c r="S175" s="487"/>
      <c r="T175" s="487"/>
      <c r="U175" s="487"/>
      <c r="V175" s="487"/>
      <c r="W175" s="487"/>
      <c r="X175" s="487"/>
      <c r="Y175" s="487"/>
      <c r="Z175" s="487"/>
    </row>
    <row r="176" spans="1:26" ht="13.5" customHeight="1">
      <c r="A176" s="487"/>
      <c r="B176" s="487"/>
      <c r="C176" s="487"/>
      <c r="D176" s="487"/>
      <c r="E176" s="487"/>
      <c r="F176" s="487"/>
      <c r="G176" s="487"/>
      <c r="H176" s="487"/>
      <c r="I176" s="487"/>
      <c r="J176" s="487"/>
      <c r="K176" s="487"/>
      <c r="L176" s="487"/>
      <c r="M176" s="487"/>
      <c r="N176" s="487"/>
      <c r="O176" s="487"/>
      <c r="P176" s="487"/>
      <c r="Q176" s="487"/>
      <c r="R176" s="487"/>
      <c r="S176" s="487"/>
      <c r="T176" s="487"/>
      <c r="U176" s="487"/>
      <c r="V176" s="487"/>
      <c r="W176" s="487"/>
      <c r="X176" s="487"/>
      <c r="Y176" s="487"/>
      <c r="Z176" s="487"/>
    </row>
    <row r="177" spans="1:26" ht="13.5" customHeight="1">
      <c r="A177" s="487"/>
      <c r="B177" s="487"/>
      <c r="C177" s="487"/>
      <c r="D177" s="487"/>
      <c r="E177" s="487"/>
      <c r="F177" s="487"/>
      <c r="G177" s="487"/>
      <c r="H177" s="487"/>
      <c r="I177" s="487"/>
      <c r="J177" s="487"/>
      <c r="K177" s="487"/>
      <c r="L177" s="487"/>
      <c r="M177" s="487"/>
      <c r="N177" s="487"/>
      <c r="O177" s="487"/>
      <c r="P177" s="487"/>
      <c r="Q177" s="487"/>
      <c r="R177" s="487"/>
      <c r="S177" s="487"/>
      <c r="T177" s="487"/>
      <c r="U177" s="487"/>
      <c r="V177" s="487"/>
      <c r="W177" s="487"/>
      <c r="X177" s="487"/>
      <c r="Y177" s="487"/>
      <c r="Z177" s="487"/>
    </row>
    <row r="178" spans="1:26" ht="13.5" customHeight="1">
      <c r="A178" s="487"/>
      <c r="B178" s="487"/>
      <c r="C178" s="487"/>
      <c r="D178" s="487"/>
      <c r="E178" s="487"/>
      <c r="F178" s="487"/>
      <c r="G178" s="487"/>
      <c r="H178" s="487"/>
      <c r="I178" s="487"/>
      <c r="J178" s="487"/>
      <c r="K178" s="487"/>
      <c r="L178" s="487"/>
      <c r="M178" s="487"/>
      <c r="N178" s="487"/>
      <c r="O178" s="487"/>
      <c r="P178" s="487"/>
      <c r="Q178" s="487"/>
      <c r="R178" s="487"/>
      <c r="S178" s="487"/>
      <c r="T178" s="487"/>
      <c r="U178" s="487"/>
      <c r="V178" s="487"/>
      <c r="W178" s="487"/>
      <c r="X178" s="487"/>
      <c r="Y178" s="487"/>
      <c r="Z178" s="487"/>
    </row>
    <row r="179" spans="1:26" ht="13.5" customHeight="1">
      <c r="A179" s="487"/>
      <c r="B179" s="487"/>
      <c r="C179" s="487"/>
      <c r="D179" s="487"/>
      <c r="E179" s="487"/>
      <c r="F179" s="487"/>
      <c r="G179" s="487"/>
      <c r="H179" s="487"/>
      <c r="I179" s="487"/>
      <c r="J179" s="487"/>
      <c r="K179" s="487"/>
      <c r="L179" s="487"/>
      <c r="M179" s="487"/>
      <c r="N179" s="487"/>
      <c r="O179" s="487"/>
      <c r="P179" s="487"/>
      <c r="Q179" s="487"/>
      <c r="R179" s="487"/>
      <c r="S179" s="487"/>
      <c r="T179" s="487"/>
      <c r="U179" s="487"/>
      <c r="V179" s="487"/>
      <c r="W179" s="487"/>
      <c r="X179" s="487"/>
      <c r="Y179" s="487"/>
      <c r="Z179" s="487"/>
    </row>
    <row r="180" spans="1:26" ht="13.5" customHeight="1">
      <c r="A180" s="487"/>
      <c r="B180" s="487"/>
      <c r="C180" s="487"/>
      <c r="D180" s="487"/>
      <c r="E180" s="487"/>
      <c r="F180" s="487"/>
      <c r="G180" s="487"/>
      <c r="H180" s="487"/>
      <c r="I180" s="487"/>
      <c r="J180" s="487"/>
      <c r="K180" s="487"/>
      <c r="L180" s="487"/>
      <c r="M180" s="487"/>
      <c r="N180" s="487"/>
      <c r="O180" s="487"/>
      <c r="P180" s="487"/>
      <c r="Q180" s="487"/>
      <c r="R180" s="487"/>
      <c r="S180" s="487"/>
      <c r="T180" s="487"/>
      <c r="U180" s="487"/>
      <c r="V180" s="487"/>
      <c r="W180" s="487"/>
      <c r="X180" s="487"/>
      <c r="Y180" s="487"/>
      <c r="Z180" s="487"/>
    </row>
    <row r="181" spans="1:26" ht="13.5" customHeight="1">
      <c r="A181" s="487"/>
      <c r="B181" s="487"/>
      <c r="C181" s="487"/>
      <c r="D181" s="487"/>
      <c r="E181" s="487"/>
      <c r="F181" s="487"/>
      <c r="G181" s="487"/>
      <c r="H181" s="487"/>
      <c r="I181" s="487"/>
      <c r="J181" s="487"/>
      <c r="K181" s="487"/>
      <c r="L181" s="487"/>
      <c r="M181" s="487"/>
      <c r="N181" s="487"/>
      <c r="O181" s="487"/>
      <c r="P181" s="487"/>
      <c r="Q181" s="487"/>
      <c r="R181" s="487"/>
      <c r="S181" s="487"/>
      <c r="T181" s="487"/>
      <c r="U181" s="487"/>
      <c r="V181" s="487"/>
      <c r="W181" s="487"/>
      <c r="X181" s="487"/>
      <c r="Y181" s="487"/>
      <c r="Z181" s="487"/>
    </row>
    <row r="182" spans="1:26" ht="13.5" customHeight="1">
      <c r="A182" s="487"/>
      <c r="B182" s="487"/>
      <c r="C182" s="487"/>
      <c r="D182" s="487"/>
      <c r="E182" s="487"/>
      <c r="F182" s="487"/>
      <c r="G182" s="487"/>
      <c r="H182" s="487"/>
      <c r="I182" s="487"/>
      <c r="J182" s="487"/>
      <c r="K182" s="487"/>
      <c r="L182" s="487"/>
      <c r="M182" s="487"/>
      <c r="N182" s="487"/>
      <c r="O182" s="487"/>
      <c r="P182" s="487"/>
      <c r="Q182" s="487"/>
      <c r="R182" s="487"/>
      <c r="S182" s="487"/>
      <c r="T182" s="487"/>
      <c r="U182" s="487"/>
      <c r="V182" s="487"/>
      <c r="W182" s="487"/>
      <c r="X182" s="487"/>
      <c r="Y182" s="487"/>
      <c r="Z182" s="487"/>
    </row>
    <row r="183" spans="1:26" ht="13.5" customHeight="1">
      <c r="A183" s="487"/>
      <c r="B183" s="487"/>
      <c r="C183" s="487"/>
      <c r="D183" s="487"/>
      <c r="E183" s="487"/>
      <c r="F183" s="487"/>
      <c r="G183" s="487"/>
      <c r="H183" s="487"/>
      <c r="I183" s="487"/>
      <c r="J183" s="487"/>
      <c r="K183" s="487"/>
      <c r="L183" s="487"/>
      <c r="M183" s="487"/>
      <c r="N183" s="487"/>
      <c r="O183" s="487"/>
      <c r="P183" s="487"/>
      <c r="Q183" s="487"/>
      <c r="R183" s="487"/>
      <c r="S183" s="487"/>
      <c r="T183" s="487"/>
      <c r="U183" s="487"/>
      <c r="V183" s="487"/>
      <c r="W183" s="487"/>
      <c r="X183" s="487"/>
      <c r="Y183" s="487"/>
      <c r="Z183" s="487"/>
    </row>
    <row r="184" spans="1:26" ht="13.5" customHeight="1">
      <c r="A184" s="487"/>
      <c r="B184" s="487"/>
      <c r="C184" s="487"/>
      <c r="D184" s="487"/>
      <c r="E184" s="487"/>
      <c r="F184" s="487"/>
      <c r="G184" s="487"/>
      <c r="H184" s="487"/>
      <c r="I184" s="487"/>
      <c r="J184" s="487"/>
      <c r="K184" s="487"/>
      <c r="L184" s="487"/>
      <c r="M184" s="487"/>
      <c r="N184" s="487"/>
      <c r="O184" s="487"/>
      <c r="P184" s="487"/>
      <c r="Q184" s="487"/>
      <c r="R184" s="487"/>
      <c r="S184" s="487"/>
      <c r="T184" s="487"/>
      <c r="U184" s="487"/>
      <c r="V184" s="487"/>
      <c r="W184" s="487"/>
      <c r="X184" s="487"/>
      <c r="Y184" s="487"/>
      <c r="Z184" s="487"/>
    </row>
    <row r="185" spans="1:26" ht="13.5" customHeight="1">
      <c r="A185" s="487"/>
      <c r="B185" s="487"/>
      <c r="C185" s="487"/>
      <c r="D185" s="487"/>
      <c r="E185" s="487"/>
      <c r="F185" s="487"/>
      <c r="G185" s="487"/>
      <c r="H185" s="487"/>
      <c r="I185" s="487"/>
      <c r="J185" s="487"/>
      <c r="K185" s="487"/>
      <c r="L185" s="487"/>
      <c r="M185" s="487"/>
      <c r="N185" s="487"/>
      <c r="O185" s="487"/>
      <c r="P185" s="487"/>
      <c r="Q185" s="487"/>
      <c r="R185" s="487"/>
      <c r="S185" s="487"/>
      <c r="T185" s="487"/>
      <c r="U185" s="487"/>
      <c r="V185" s="487"/>
      <c r="W185" s="487"/>
      <c r="X185" s="487"/>
      <c r="Y185" s="487"/>
      <c r="Z185" s="487"/>
    </row>
    <row r="186" spans="1:26" ht="13.5" customHeight="1">
      <c r="A186" s="487"/>
      <c r="B186" s="487"/>
      <c r="C186" s="487"/>
      <c r="D186" s="487"/>
      <c r="E186" s="487"/>
      <c r="F186" s="487"/>
      <c r="G186" s="487"/>
      <c r="H186" s="487"/>
      <c r="I186" s="487"/>
      <c r="J186" s="487"/>
      <c r="K186" s="487"/>
      <c r="L186" s="487"/>
      <c r="M186" s="487"/>
      <c r="N186" s="487"/>
      <c r="O186" s="487"/>
      <c r="P186" s="487"/>
      <c r="Q186" s="487"/>
      <c r="R186" s="487"/>
      <c r="S186" s="487"/>
      <c r="T186" s="487"/>
      <c r="U186" s="487"/>
      <c r="V186" s="487"/>
      <c r="W186" s="487"/>
      <c r="X186" s="487"/>
      <c r="Y186" s="487"/>
      <c r="Z186" s="487"/>
    </row>
    <row r="187" spans="1:26" ht="13.5" customHeight="1">
      <c r="A187" s="487"/>
      <c r="B187" s="487"/>
      <c r="C187" s="487"/>
      <c r="D187" s="487"/>
      <c r="E187" s="487"/>
      <c r="F187" s="487"/>
      <c r="G187" s="487"/>
      <c r="H187" s="487"/>
      <c r="I187" s="487"/>
      <c r="J187" s="487"/>
      <c r="K187" s="487"/>
      <c r="L187" s="487"/>
      <c r="M187" s="487"/>
      <c r="N187" s="487"/>
      <c r="O187" s="487"/>
      <c r="P187" s="487"/>
      <c r="Q187" s="487"/>
      <c r="R187" s="487"/>
      <c r="S187" s="487"/>
      <c r="T187" s="487"/>
      <c r="U187" s="487"/>
      <c r="V187" s="487"/>
      <c r="W187" s="487"/>
      <c r="X187" s="487"/>
      <c r="Y187" s="487"/>
      <c r="Z187" s="487"/>
    </row>
    <row r="188" spans="1:26" ht="13.5" customHeight="1">
      <c r="A188" s="487"/>
      <c r="B188" s="487"/>
      <c r="C188" s="487"/>
      <c r="D188" s="487"/>
      <c r="E188" s="487"/>
      <c r="F188" s="487"/>
      <c r="G188" s="487"/>
      <c r="H188" s="487"/>
      <c r="I188" s="487"/>
      <c r="J188" s="487"/>
      <c r="K188" s="487"/>
      <c r="L188" s="487"/>
      <c r="M188" s="487"/>
      <c r="N188" s="487"/>
      <c r="O188" s="487"/>
      <c r="P188" s="487"/>
      <c r="Q188" s="487"/>
      <c r="R188" s="487"/>
      <c r="S188" s="487"/>
      <c r="T188" s="487"/>
      <c r="U188" s="487"/>
      <c r="V188" s="487"/>
      <c r="W188" s="487"/>
      <c r="X188" s="487"/>
      <c r="Y188" s="487"/>
      <c r="Z188" s="487"/>
    </row>
    <row r="189" spans="1:26" ht="13.5" customHeight="1">
      <c r="A189" s="487"/>
      <c r="B189" s="487"/>
      <c r="C189" s="487"/>
      <c r="D189" s="487"/>
      <c r="E189" s="487"/>
      <c r="F189" s="487"/>
      <c r="G189" s="487"/>
      <c r="H189" s="487"/>
      <c r="I189" s="487"/>
      <c r="J189" s="487"/>
      <c r="K189" s="487"/>
      <c r="L189" s="487"/>
      <c r="M189" s="487"/>
      <c r="N189" s="487"/>
      <c r="O189" s="487"/>
      <c r="P189" s="487"/>
      <c r="Q189" s="487"/>
      <c r="R189" s="487"/>
      <c r="S189" s="487"/>
      <c r="T189" s="487"/>
      <c r="U189" s="487"/>
      <c r="V189" s="487"/>
      <c r="W189" s="487"/>
      <c r="X189" s="487"/>
      <c r="Y189" s="487"/>
      <c r="Z189" s="487"/>
    </row>
    <row r="190" spans="1:26" ht="13.5" customHeight="1">
      <c r="A190" s="487"/>
      <c r="B190" s="487"/>
      <c r="C190" s="487"/>
      <c r="D190" s="487"/>
      <c r="E190" s="487"/>
      <c r="F190" s="487"/>
      <c r="G190" s="487"/>
      <c r="H190" s="487"/>
      <c r="I190" s="487"/>
      <c r="J190" s="487"/>
      <c r="K190" s="487"/>
      <c r="L190" s="487"/>
      <c r="M190" s="487"/>
      <c r="N190" s="487"/>
      <c r="O190" s="487"/>
      <c r="P190" s="487"/>
      <c r="Q190" s="487"/>
      <c r="R190" s="487"/>
      <c r="S190" s="487"/>
      <c r="T190" s="487"/>
      <c r="U190" s="487"/>
      <c r="V190" s="487"/>
      <c r="W190" s="487"/>
      <c r="X190" s="487"/>
      <c r="Y190" s="487"/>
      <c r="Z190" s="487"/>
    </row>
    <row r="191" spans="1:26" ht="13.5" customHeight="1">
      <c r="A191" s="487"/>
      <c r="B191" s="487"/>
      <c r="C191" s="487"/>
      <c r="D191" s="487"/>
      <c r="E191" s="487"/>
      <c r="F191" s="487"/>
      <c r="G191" s="487"/>
      <c r="H191" s="487"/>
      <c r="I191" s="487"/>
      <c r="J191" s="487"/>
      <c r="K191" s="487"/>
      <c r="L191" s="487"/>
      <c r="M191" s="487"/>
      <c r="N191" s="487"/>
      <c r="O191" s="487"/>
      <c r="P191" s="487"/>
      <c r="Q191" s="487"/>
      <c r="R191" s="487"/>
      <c r="S191" s="487"/>
      <c r="T191" s="487"/>
      <c r="U191" s="487"/>
      <c r="V191" s="487"/>
      <c r="W191" s="487"/>
      <c r="X191" s="487"/>
      <c r="Y191" s="487"/>
      <c r="Z191" s="487"/>
    </row>
    <row r="192" spans="1:26" ht="13.5" customHeight="1">
      <c r="A192" s="487"/>
      <c r="B192" s="487"/>
      <c r="C192" s="487"/>
      <c r="D192" s="487"/>
      <c r="E192" s="487"/>
      <c r="F192" s="487"/>
      <c r="G192" s="487"/>
      <c r="H192" s="487"/>
      <c r="I192" s="487"/>
      <c r="J192" s="487"/>
      <c r="K192" s="487"/>
      <c r="L192" s="487"/>
      <c r="M192" s="487"/>
      <c r="N192" s="487"/>
      <c r="O192" s="487"/>
      <c r="P192" s="487"/>
      <c r="Q192" s="487"/>
      <c r="R192" s="487"/>
      <c r="S192" s="487"/>
      <c r="T192" s="487"/>
      <c r="U192" s="487"/>
      <c r="V192" s="487"/>
      <c r="W192" s="487"/>
      <c r="X192" s="487"/>
      <c r="Y192" s="487"/>
      <c r="Z192" s="487"/>
    </row>
    <row r="193" spans="1:26" ht="13.5" customHeight="1">
      <c r="A193" s="487"/>
      <c r="B193" s="487"/>
      <c r="C193" s="487"/>
      <c r="D193" s="487"/>
      <c r="E193" s="487"/>
      <c r="F193" s="487"/>
      <c r="G193" s="487"/>
      <c r="H193" s="487"/>
      <c r="I193" s="487"/>
      <c r="J193" s="487"/>
      <c r="K193" s="487"/>
      <c r="L193" s="487"/>
      <c r="M193" s="487"/>
      <c r="N193" s="487"/>
      <c r="O193" s="487"/>
      <c r="P193" s="487"/>
      <c r="Q193" s="487"/>
      <c r="R193" s="487"/>
      <c r="S193" s="487"/>
      <c r="T193" s="487"/>
      <c r="U193" s="487"/>
      <c r="V193" s="487"/>
      <c r="W193" s="487"/>
      <c r="X193" s="487"/>
      <c r="Y193" s="487"/>
      <c r="Z193" s="487"/>
    </row>
    <row r="194" spans="1:26" ht="13.5" customHeight="1">
      <c r="A194" s="487"/>
      <c r="B194" s="487"/>
      <c r="C194" s="487"/>
      <c r="D194" s="487"/>
      <c r="E194" s="487"/>
      <c r="F194" s="487"/>
      <c r="G194" s="487"/>
      <c r="H194" s="487"/>
      <c r="I194" s="487"/>
      <c r="J194" s="487"/>
      <c r="K194" s="487"/>
      <c r="L194" s="487"/>
      <c r="M194" s="487"/>
      <c r="N194" s="487"/>
      <c r="O194" s="487"/>
      <c r="P194" s="487"/>
      <c r="Q194" s="487"/>
      <c r="R194" s="487"/>
      <c r="S194" s="487"/>
      <c r="T194" s="487"/>
      <c r="U194" s="487"/>
      <c r="V194" s="487"/>
      <c r="W194" s="487"/>
      <c r="X194" s="487"/>
      <c r="Y194" s="487"/>
      <c r="Z194" s="487"/>
    </row>
    <row r="195" spans="1:26" ht="13.5" customHeight="1">
      <c r="A195" s="487"/>
      <c r="B195" s="487"/>
      <c r="C195" s="487"/>
      <c r="D195" s="487"/>
      <c r="E195" s="487"/>
      <c r="F195" s="487"/>
      <c r="G195" s="487"/>
      <c r="H195" s="487"/>
      <c r="I195" s="487"/>
      <c r="J195" s="487"/>
      <c r="K195" s="487"/>
      <c r="L195" s="487"/>
      <c r="M195" s="487"/>
      <c r="N195" s="487"/>
      <c r="O195" s="487"/>
      <c r="P195" s="487"/>
      <c r="Q195" s="487"/>
      <c r="R195" s="487"/>
      <c r="S195" s="487"/>
      <c r="T195" s="487"/>
      <c r="U195" s="487"/>
      <c r="V195" s="487"/>
      <c r="W195" s="487"/>
      <c r="X195" s="487"/>
      <c r="Y195" s="487"/>
      <c r="Z195" s="487"/>
    </row>
    <row r="196" spans="1:26" ht="13.5" customHeight="1">
      <c r="A196" s="487"/>
      <c r="B196" s="487"/>
      <c r="C196" s="487"/>
      <c r="D196" s="487"/>
      <c r="E196" s="487"/>
      <c r="F196" s="487"/>
      <c r="G196" s="487"/>
      <c r="H196" s="487"/>
      <c r="I196" s="487"/>
      <c r="J196" s="487"/>
      <c r="K196" s="487"/>
      <c r="L196" s="487"/>
      <c r="M196" s="487"/>
      <c r="N196" s="487"/>
      <c r="O196" s="487"/>
      <c r="P196" s="487"/>
      <c r="Q196" s="487"/>
      <c r="R196" s="487"/>
      <c r="S196" s="487"/>
      <c r="T196" s="487"/>
      <c r="U196" s="487"/>
      <c r="V196" s="487"/>
      <c r="W196" s="487"/>
      <c r="X196" s="487"/>
      <c r="Y196" s="487"/>
      <c r="Z196" s="487"/>
    </row>
    <row r="197" spans="1:26" ht="13.5" customHeight="1">
      <c r="A197" s="487"/>
      <c r="B197" s="487"/>
      <c r="C197" s="487"/>
      <c r="D197" s="487"/>
      <c r="E197" s="487"/>
      <c r="F197" s="487"/>
      <c r="G197" s="487"/>
      <c r="H197" s="487"/>
      <c r="I197" s="487"/>
      <c r="J197" s="487"/>
      <c r="K197" s="487"/>
      <c r="L197" s="487"/>
      <c r="M197" s="487"/>
      <c r="N197" s="487"/>
      <c r="O197" s="487"/>
      <c r="P197" s="487"/>
      <c r="Q197" s="487"/>
      <c r="R197" s="487"/>
      <c r="S197" s="487"/>
      <c r="T197" s="487"/>
      <c r="U197" s="487"/>
      <c r="V197" s="487"/>
      <c r="W197" s="487"/>
      <c r="X197" s="487"/>
      <c r="Y197" s="487"/>
      <c r="Z197" s="487"/>
    </row>
    <row r="198" spans="1:26" ht="13.5" customHeight="1">
      <c r="A198" s="487"/>
      <c r="B198" s="487"/>
      <c r="C198" s="487"/>
      <c r="D198" s="487"/>
      <c r="E198" s="487"/>
      <c r="F198" s="487"/>
      <c r="G198" s="487"/>
      <c r="H198" s="487"/>
      <c r="I198" s="487"/>
      <c r="J198" s="487"/>
      <c r="K198" s="487"/>
      <c r="L198" s="487"/>
      <c r="M198" s="487"/>
      <c r="N198" s="487"/>
      <c r="O198" s="487"/>
      <c r="P198" s="487"/>
      <c r="Q198" s="487"/>
      <c r="R198" s="487"/>
      <c r="S198" s="487"/>
      <c r="T198" s="487"/>
      <c r="U198" s="487"/>
      <c r="V198" s="487"/>
      <c r="W198" s="487"/>
      <c r="X198" s="487"/>
      <c r="Y198" s="487"/>
      <c r="Z198" s="487"/>
    </row>
    <row r="199" spans="1:26" ht="13.5" customHeight="1">
      <c r="A199" s="487"/>
      <c r="B199" s="487"/>
      <c r="C199" s="487"/>
      <c r="D199" s="487"/>
      <c r="E199" s="487"/>
      <c r="F199" s="487"/>
      <c r="G199" s="487"/>
      <c r="H199" s="487"/>
      <c r="I199" s="487"/>
      <c r="J199" s="487"/>
      <c r="K199" s="487"/>
      <c r="L199" s="487"/>
      <c r="M199" s="487"/>
      <c r="N199" s="487"/>
      <c r="O199" s="487"/>
      <c r="P199" s="487"/>
      <c r="Q199" s="487"/>
      <c r="R199" s="487"/>
      <c r="S199" s="487"/>
      <c r="T199" s="487"/>
      <c r="U199" s="487"/>
      <c r="V199" s="487"/>
      <c r="W199" s="487"/>
      <c r="X199" s="487"/>
      <c r="Y199" s="487"/>
      <c r="Z199" s="487"/>
    </row>
    <row r="200" spans="1:26" ht="13.5" customHeight="1">
      <c r="A200" s="487"/>
      <c r="B200" s="487"/>
      <c r="C200" s="487"/>
      <c r="D200" s="487"/>
      <c r="E200" s="487"/>
      <c r="F200" s="487"/>
      <c r="G200" s="487"/>
      <c r="H200" s="487"/>
      <c r="I200" s="487"/>
      <c r="J200" s="487"/>
      <c r="K200" s="487"/>
      <c r="L200" s="487"/>
      <c r="M200" s="487"/>
      <c r="N200" s="487"/>
      <c r="O200" s="487"/>
      <c r="P200" s="487"/>
      <c r="Q200" s="487"/>
      <c r="R200" s="487"/>
      <c r="S200" s="487"/>
      <c r="T200" s="487"/>
      <c r="U200" s="487"/>
      <c r="V200" s="487"/>
      <c r="W200" s="487"/>
      <c r="X200" s="487"/>
      <c r="Y200" s="487"/>
      <c r="Z200" s="487"/>
    </row>
    <row r="201" spans="1:26" ht="13.5" customHeight="1">
      <c r="A201" s="487"/>
      <c r="B201" s="487"/>
      <c r="C201" s="487"/>
      <c r="D201" s="487"/>
      <c r="E201" s="487"/>
      <c r="F201" s="487"/>
      <c r="G201" s="487"/>
      <c r="H201" s="487"/>
      <c r="I201" s="487"/>
      <c r="J201" s="487"/>
      <c r="K201" s="487"/>
      <c r="L201" s="487"/>
      <c r="M201" s="487"/>
      <c r="N201" s="487"/>
      <c r="O201" s="487"/>
      <c r="P201" s="487"/>
      <c r="Q201" s="487"/>
      <c r="R201" s="487"/>
      <c r="S201" s="487"/>
      <c r="T201" s="487"/>
      <c r="U201" s="487"/>
      <c r="V201" s="487"/>
      <c r="W201" s="487"/>
      <c r="X201" s="487"/>
      <c r="Y201" s="487"/>
      <c r="Z201" s="487"/>
    </row>
    <row r="202" spans="1:26" ht="13.5" customHeight="1">
      <c r="A202" s="487"/>
      <c r="B202" s="487"/>
      <c r="C202" s="487"/>
      <c r="D202" s="487"/>
      <c r="E202" s="487"/>
      <c r="F202" s="487"/>
      <c r="G202" s="487"/>
      <c r="H202" s="487"/>
      <c r="I202" s="487"/>
      <c r="J202" s="487"/>
      <c r="K202" s="487"/>
      <c r="L202" s="487"/>
      <c r="M202" s="487"/>
      <c r="N202" s="487"/>
      <c r="O202" s="487"/>
      <c r="P202" s="487"/>
      <c r="Q202" s="487"/>
      <c r="R202" s="487"/>
      <c r="S202" s="487"/>
      <c r="T202" s="487"/>
      <c r="U202" s="487"/>
      <c r="V202" s="487"/>
      <c r="W202" s="487"/>
      <c r="X202" s="487"/>
      <c r="Y202" s="487"/>
      <c r="Z202" s="487"/>
    </row>
    <row r="203" spans="1:26" ht="13.5" customHeight="1">
      <c r="A203" s="487"/>
      <c r="B203" s="487"/>
      <c r="C203" s="487"/>
      <c r="D203" s="487"/>
      <c r="E203" s="487"/>
      <c r="F203" s="487"/>
      <c r="G203" s="487"/>
      <c r="H203" s="487"/>
      <c r="I203" s="487"/>
      <c r="J203" s="487"/>
      <c r="K203" s="487"/>
      <c r="L203" s="487"/>
      <c r="M203" s="487"/>
      <c r="N203" s="487"/>
      <c r="O203" s="487"/>
      <c r="P203" s="487"/>
      <c r="Q203" s="487"/>
      <c r="R203" s="487"/>
      <c r="S203" s="487"/>
      <c r="T203" s="487"/>
      <c r="U203" s="487"/>
      <c r="V203" s="487"/>
      <c r="W203" s="487"/>
      <c r="X203" s="487"/>
      <c r="Y203" s="487"/>
      <c r="Z203" s="487"/>
    </row>
    <row r="204" spans="1:26" ht="13.5" customHeight="1">
      <c r="A204" s="487"/>
      <c r="B204" s="487"/>
      <c r="C204" s="487"/>
      <c r="D204" s="487"/>
      <c r="E204" s="487"/>
      <c r="F204" s="487"/>
      <c r="G204" s="487"/>
      <c r="H204" s="487"/>
      <c r="I204" s="487"/>
      <c r="J204" s="487"/>
      <c r="K204" s="487"/>
      <c r="L204" s="487"/>
      <c r="M204" s="487"/>
      <c r="N204" s="487"/>
      <c r="O204" s="487"/>
      <c r="P204" s="487"/>
      <c r="Q204" s="487"/>
      <c r="R204" s="487"/>
      <c r="S204" s="487"/>
      <c r="T204" s="487"/>
      <c r="U204" s="487"/>
      <c r="V204" s="487"/>
      <c r="W204" s="487"/>
      <c r="X204" s="487"/>
      <c r="Y204" s="487"/>
      <c r="Z204" s="487"/>
    </row>
    <row r="205" spans="1:26" ht="13.5" customHeight="1">
      <c r="A205" s="487"/>
      <c r="B205" s="487"/>
      <c r="C205" s="487"/>
      <c r="D205" s="487"/>
      <c r="E205" s="487"/>
      <c r="F205" s="487"/>
      <c r="G205" s="487"/>
      <c r="H205" s="487"/>
      <c r="I205" s="487"/>
      <c r="J205" s="487"/>
      <c r="K205" s="487"/>
      <c r="L205" s="487"/>
      <c r="M205" s="487"/>
      <c r="N205" s="487"/>
      <c r="O205" s="487"/>
      <c r="P205" s="487"/>
      <c r="Q205" s="487"/>
      <c r="R205" s="487"/>
      <c r="S205" s="487"/>
      <c r="T205" s="487"/>
      <c r="U205" s="487"/>
      <c r="V205" s="487"/>
      <c r="W205" s="487"/>
      <c r="X205" s="487"/>
      <c r="Y205" s="487"/>
      <c r="Z205" s="487"/>
    </row>
    <row r="206" spans="1:26" ht="13.5" customHeight="1">
      <c r="A206" s="487"/>
      <c r="B206" s="487"/>
      <c r="C206" s="487"/>
      <c r="D206" s="487"/>
      <c r="E206" s="487"/>
      <c r="F206" s="487"/>
      <c r="G206" s="487"/>
      <c r="H206" s="487"/>
      <c r="I206" s="487"/>
      <c r="J206" s="487"/>
      <c r="K206" s="487"/>
      <c r="L206" s="487"/>
      <c r="M206" s="487"/>
      <c r="N206" s="487"/>
      <c r="O206" s="487"/>
      <c r="P206" s="487"/>
      <c r="Q206" s="487"/>
      <c r="R206" s="487"/>
      <c r="S206" s="487"/>
      <c r="T206" s="487"/>
      <c r="U206" s="487"/>
      <c r="V206" s="487"/>
      <c r="W206" s="487"/>
      <c r="X206" s="487"/>
      <c r="Y206" s="487"/>
      <c r="Z206" s="487"/>
    </row>
    <row r="207" spans="1:26" ht="13.5" customHeight="1">
      <c r="A207" s="487"/>
      <c r="B207" s="487"/>
      <c r="C207" s="487"/>
      <c r="D207" s="487"/>
      <c r="E207" s="487"/>
      <c r="F207" s="487"/>
      <c r="G207" s="487"/>
      <c r="H207" s="487"/>
      <c r="I207" s="487"/>
      <c r="J207" s="487"/>
      <c r="K207" s="487"/>
      <c r="L207" s="487"/>
      <c r="M207" s="487"/>
      <c r="N207" s="487"/>
      <c r="O207" s="487"/>
      <c r="P207" s="487"/>
      <c r="Q207" s="487"/>
      <c r="R207" s="487"/>
      <c r="S207" s="487"/>
      <c r="T207" s="487"/>
      <c r="U207" s="487"/>
      <c r="V207" s="487"/>
      <c r="W207" s="487"/>
      <c r="X207" s="487"/>
      <c r="Y207" s="487"/>
      <c r="Z207" s="487"/>
    </row>
    <row r="208" spans="1:26" ht="13.5" customHeight="1">
      <c r="A208" s="487"/>
      <c r="B208" s="487"/>
      <c r="C208" s="487"/>
      <c r="D208" s="487"/>
      <c r="E208" s="487"/>
      <c r="F208" s="487"/>
      <c r="G208" s="487"/>
      <c r="H208" s="487"/>
      <c r="I208" s="487"/>
      <c r="J208" s="487"/>
      <c r="K208" s="487"/>
      <c r="L208" s="487"/>
      <c r="M208" s="487"/>
      <c r="N208" s="487"/>
      <c r="O208" s="487"/>
      <c r="P208" s="487"/>
      <c r="Q208" s="487"/>
      <c r="R208" s="487"/>
      <c r="S208" s="487"/>
      <c r="T208" s="487"/>
      <c r="U208" s="487"/>
      <c r="V208" s="487"/>
      <c r="W208" s="487"/>
      <c r="X208" s="487"/>
      <c r="Y208" s="487"/>
      <c r="Z208" s="487"/>
    </row>
    <row r="209" spans="1:26" ht="13.5" customHeight="1">
      <c r="A209" s="487"/>
      <c r="B209" s="487"/>
      <c r="C209" s="487"/>
      <c r="D209" s="487"/>
      <c r="E209" s="487"/>
      <c r="F209" s="487"/>
      <c r="G209" s="487"/>
      <c r="H209" s="487"/>
      <c r="I209" s="487"/>
      <c r="J209" s="487"/>
      <c r="K209" s="487"/>
      <c r="L209" s="487"/>
      <c r="M209" s="487"/>
      <c r="N209" s="487"/>
      <c r="O209" s="487"/>
      <c r="P209" s="487"/>
      <c r="Q209" s="487"/>
      <c r="R209" s="487"/>
      <c r="S209" s="487"/>
      <c r="T209" s="487"/>
      <c r="U209" s="487"/>
      <c r="V209" s="487"/>
      <c r="W209" s="487"/>
      <c r="X209" s="487"/>
      <c r="Y209" s="487"/>
      <c r="Z209" s="487"/>
    </row>
    <row r="210" spans="1:26" ht="13.5" customHeight="1">
      <c r="A210" s="487"/>
      <c r="B210" s="487"/>
      <c r="C210" s="487"/>
      <c r="D210" s="487"/>
      <c r="E210" s="487"/>
      <c r="F210" s="487"/>
      <c r="G210" s="487"/>
      <c r="H210" s="487"/>
      <c r="I210" s="487"/>
      <c r="J210" s="487"/>
      <c r="K210" s="487"/>
      <c r="L210" s="487"/>
      <c r="M210" s="487"/>
      <c r="N210" s="487"/>
      <c r="O210" s="487"/>
      <c r="P210" s="487"/>
      <c r="Q210" s="487"/>
      <c r="R210" s="487"/>
      <c r="S210" s="487"/>
      <c r="T210" s="487"/>
      <c r="U210" s="487"/>
      <c r="V210" s="487"/>
      <c r="W210" s="487"/>
      <c r="X210" s="487"/>
      <c r="Y210" s="487"/>
      <c r="Z210" s="487"/>
    </row>
    <row r="211" spans="1:26" ht="13.5" customHeight="1">
      <c r="A211" s="487"/>
      <c r="B211" s="487"/>
      <c r="C211" s="487"/>
      <c r="D211" s="487"/>
      <c r="E211" s="487"/>
      <c r="F211" s="487"/>
      <c r="G211" s="487"/>
      <c r="H211" s="487"/>
      <c r="I211" s="487"/>
      <c r="J211" s="487"/>
      <c r="K211" s="487"/>
      <c r="L211" s="487"/>
      <c r="M211" s="487"/>
      <c r="N211" s="487"/>
      <c r="O211" s="487"/>
      <c r="P211" s="487"/>
      <c r="Q211" s="487"/>
      <c r="R211" s="487"/>
      <c r="S211" s="487"/>
      <c r="T211" s="487"/>
      <c r="U211" s="487"/>
      <c r="V211" s="487"/>
      <c r="W211" s="487"/>
      <c r="X211" s="487"/>
      <c r="Y211" s="487"/>
      <c r="Z211" s="487"/>
    </row>
    <row r="212" spans="1:26" ht="13.5" customHeight="1">
      <c r="A212" s="487"/>
      <c r="B212" s="487"/>
      <c r="C212" s="487"/>
      <c r="D212" s="487"/>
      <c r="E212" s="487"/>
      <c r="F212" s="487"/>
      <c r="G212" s="487"/>
      <c r="H212" s="487"/>
      <c r="I212" s="487"/>
      <c r="J212" s="487"/>
      <c r="K212" s="487"/>
      <c r="L212" s="487"/>
      <c r="M212" s="487"/>
      <c r="N212" s="487"/>
      <c r="O212" s="487"/>
      <c r="P212" s="487"/>
      <c r="Q212" s="487"/>
      <c r="R212" s="487"/>
      <c r="S212" s="487"/>
      <c r="T212" s="487"/>
      <c r="U212" s="487"/>
      <c r="V212" s="487"/>
      <c r="W212" s="487"/>
      <c r="X212" s="487"/>
      <c r="Y212" s="487"/>
      <c r="Z212" s="487"/>
    </row>
    <row r="213" spans="1:26" ht="13.5" customHeight="1">
      <c r="A213" s="487"/>
      <c r="B213" s="487"/>
      <c r="C213" s="487"/>
      <c r="D213" s="487"/>
      <c r="E213" s="487"/>
      <c r="F213" s="487"/>
      <c r="G213" s="487"/>
      <c r="H213" s="487"/>
      <c r="I213" s="487"/>
      <c r="J213" s="487"/>
      <c r="K213" s="487"/>
      <c r="L213" s="487"/>
      <c r="M213" s="487"/>
      <c r="N213" s="487"/>
      <c r="O213" s="487"/>
      <c r="P213" s="487"/>
      <c r="Q213" s="487"/>
      <c r="R213" s="487"/>
      <c r="S213" s="487"/>
      <c r="T213" s="487"/>
      <c r="U213" s="487"/>
      <c r="V213" s="487"/>
      <c r="W213" s="487"/>
      <c r="X213" s="487"/>
      <c r="Y213" s="487"/>
      <c r="Z213" s="487"/>
    </row>
    <row r="214" spans="1:26" ht="13.5" customHeight="1">
      <c r="A214" s="487"/>
      <c r="B214" s="487"/>
      <c r="C214" s="487"/>
      <c r="D214" s="487"/>
      <c r="E214" s="487"/>
      <c r="F214" s="487"/>
      <c r="G214" s="487"/>
      <c r="H214" s="487"/>
      <c r="I214" s="487"/>
      <c r="J214" s="487"/>
      <c r="K214" s="487"/>
      <c r="L214" s="487"/>
      <c r="M214" s="487"/>
      <c r="N214" s="487"/>
      <c r="O214" s="487"/>
      <c r="P214" s="487"/>
      <c r="Q214" s="487"/>
      <c r="R214" s="487"/>
      <c r="S214" s="487"/>
      <c r="T214" s="487"/>
      <c r="U214" s="487"/>
      <c r="V214" s="487"/>
      <c r="W214" s="487"/>
      <c r="X214" s="487"/>
      <c r="Y214" s="487"/>
      <c r="Z214" s="487"/>
    </row>
    <row r="215" spans="1:26" ht="13.5" customHeight="1">
      <c r="A215" s="487"/>
      <c r="B215" s="487"/>
      <c r="C215" s="487"/>
      <c r="D215" s="487"/>
      <c r="E215" s="487"/>
      <c r="F215" s="487"/>
      <c r="G215" s="487"/>
      <c r="H215" s="487"/>
      <c r="I215" s="487"/>
      <c r="J215" s="487"/>
      <c r="K215" s="487"/>
      <c r="L215" s="487"/>
      <c r="M215" s="487"/>
      <c r="N215" s="487"/>
      <c r="O215" s="487"/>
      <c r="P215" s="487"/>
      <c r="Q215" s="487"/>
      <c r="R215" s="487"/>
      <c r="S215" s="487"/>
      <c r="T215" s="487"/>
      <c r="U215" s="487"/>
      <c r="V215" s="487"/>
      <c r="W215" s="487"/>
      <c r="X215" s="487"/>
      <c r="Y215" s="487"/>
      <c r="Z215" s="487"/>
    </row>
    <row r="216" spans="1:26" ht="13.5" customHeight="1">
      <c r="A216" s="487"/>
      <c r="B216" s="487"/>
      <c r="C216" s="487"/>
      <c r="D216" s="487"/>
      <c r="E216" s="487"/>
      <c r="F216" s="487"/>
      <c r="G216" s="487"/>
      <c r="H216" s="487"/>
      <c r="I216" s="487"/>
      <c r="J216" s="487"/>
      <c r="K216" s="487"/>
      <c r="L216" s="487"/>
      <c r="M216" s="487"/>
      <c r="N216" s="487"/>
      <c r="O216" s="487"/>
      <c r="P216" s="487"/>
      <c r="Q216" s="487"/>
      <c r="R216" s="487"/>
      <c r="S216" s="487"/>
      <c r="T216" s="487"/>
      <c r="U216" s="487"/>
      <c r="V216" s="487"/>
      <c r="W216" s="487"/>
      <c r="X216" s="487"/>
      <c r="Y216" s="487"/>
      <c r="Z216" s="487"/>
    </row>
    <row r="217" spans="1:26" ht="13.5" customHeight="1">
      <c r="A217" s="487"/>
      <c r="B217" s="487"/>
      <c r="C217" s="487"/>
      <c r="D217" s="487"/>
      <c r="E217" s="487"/>
      <c r="F217" s="487"/>
      <c r="G217" s="487"/>
      <c r="H217" s="487"/>
      <c r="I217" s="487"/>
      <c r="J217" s="487"/>
      <c r="K217" s="487"/>
      <c r="L217" s="487"/>
      <c r="M217" s="487"/>
      <c r="N217" s="487"/>
      <c r="O217" s="487"/>
      <c r="P217" s="487"/>
      <c r="Q217" s="487"/>
      <c r="R217" s="487"/>
      <c r="S217" s="487"/>
      <c r="T217" s="487"/>
      <c r="U217" s="487"/>
      <c r="V217" s="487"/>
      <c r="W217" s="487"/>
      <c r="X217" s="487"/>
      <c r="Y217" s="487"/>
      <c r="Z217" s="487"/>
    </row>
    <row r="218" spans="1:26" ht="13.5" customHeight="1">
      <c r="A218" s="487"/>
      <c r="B218" s="487"/>
      <c r="C218" s="487"/>
      <c r="D218" s="487"/>
      <c r="E218" s="487"/>
      <c r="F218" s="487"/>
      <c r="G218" s="487"/>
      <c r="H218" s="487"/>
      <c r="I218" s="487"/>
      <c r="J218" s="487"/>
      <c r="K218" s="487"/>
      <c r="L218" s="487"/>
      <c r="M218" s="487"/>
      <c r="N218" s="487"/>
      <c r="O218" s="487"/>
      <c r="P218" s="487"/>
      <c r="Q218" s="487"/>
      <c r="R218" s="487"/>
      <c r="S218" s="487"/>
      <c r="T218" s="487"/>
      <c r="U218" s="487"/>
      <c r="V218" s="487"/>
      <c r="W218" s="487"/>
      <c r="X218" s="487"/>
      <c r="Y218" s="487"/>
      <c r="Z218" s="487"/>
    </row>
    <row r="219" spans="1:26" ht="13.5" customHeight="1">
      <c r="A219" s="487"/>
      <c r="B219" s="487"/>
      <c r="C219" s="487"/>
      <c r="D219" s="487"/>
      <c r="E219" s="487"/>
      <c r="F219" s="487"/>
      <c r="G219" s="487"/>
      <c r="H219" s="487"/>
      <c r="I219" s="487"/>
      <c r="J219" s="487"/>
      <c r="K219" s="487"/>
      <c r="L219" s="487"/>
      <c r="M219" s="487"/>
      <c r="N219" s="487"/>
      <c r="O219" s="487"/>
      <c r="P219" s="487"/>
      <c r="Q219" s="487"/>
      <c r="R219" s="487"/>
      <c r="S219" s="487"/>
      <c r="T219" s="487"/>
      <c r="U219" s="487"/>
      <c r="V219" s="487"/>
      <c r="W219" s="487"/>
      <c r="X219" s="487"/>
      <c r="Y219" s="487"/>
      <c r="Z219" s="487"/>
    </row>
    <row r="220" spans="1:26" ht="13.5" customHeight="1">
      <c r="A220" s="487"/>
      <c r="B220" s="487"/>
      <c r="C220" s="487"/>
      <c r="D220" s="487"/>
      <c r="E220" s="487"/>
      <c r="F220" s="487"/>
      <c r="G220" s="487"/>
      <c r="H220" s="487"/>
      <c r="I220" s="487"/>
      <c r="J220" s="487"/>
      <c r="K220" s="487"/>
      <c r="L220" s="487"/>
      <c r="M220" s="487"/>
      <c r="N220" s="487"/>
      <c r="O220" s="487"/>
      <c r="P220" s="487"/>
      <c r="Q220" s="487"/>
      <c r="R220" s="487"/>
      <c r="S220" s="487"/>
      <c r="T220" s="487"/>
      <c r="U220" s="487"/>
      <c r="V220" s="487"/>
      <c r="W220" s="487"/>
      <c r="X220" s="487"/>
      <c r="Y220" s="487"/>
      <c r="Z220" s="487"/>
    </row>
    <row r="221" spans="1:26" ht="13.5" customHeight="1">
      <c r="A221" s="487"/>
      <c r="B221" s="487"/>
      <c r="C221" s="487"/>
      <c r="D221" s="487"/>
      <c r="E221" s="487"/>
      <c r="F221" s="487"/>
      <c r="G221" s="487"/>
      <c r="H221" s="487"/>
      <c r="I221" s="487"/>
      <c r="J221" s="487"/>
      <c r="K221" s="487"/>
      <c r="L221" s="487"/>
      <c r="M221" s="487"/>
      <c r="N221" s="487"/>
      <c r="O221" s="487"/>
      <c r="P221" s="487"/>
      <c r="Q221" s="487"/>
      <c r="R221" s="487"/>
      <c r="S221" s="487"/>
      <c r="T221" s="487"/>
      <c r="U221" s="487"/>
      <c r="V221" s="487"/>
      <c r="W221" s="487"/>
      <c r="X221" s="487"/>
      <c r="Y221" s="487"/>
      <c r="Z221" s="487"/>
    </row>
    <row r="222" spans="1:26" ht="13.5" customHeight="1">
      <c r="A222" s="487"/>
      <c r="B222" s="487"/>
      <c r="C222" s="487"/>
      <c r="D222" s="487"/>
      <c r="E222" s="487"/>
      <c r="F222" s="487"/>
      <c r="G222" s="487"/>
      <c r="H222" s="487"/>
      <c r="I222" s="487"/>
      <c r="J222" s="487"/>
      <c r="K222" s="487"/>
      <c r="L222" s="487"/>
      <c r="M222" s="487"/>
      <c r="N222" s="487"/>
      <c r="O222" s="487"/>
      <c r="P222" s="487"/>
      <c r="Q222" s="487"/>
      <c r="R222" s="487"/>
      <c r="S222" s="487"/>
      <c r="T222" s="487"/>
      <c r="U222" s="487"/>
      <c r="V222" s="487"/>
      <c r="W222" s="487"/>
      <c r="X222" s="487"/>
      <c r="Y222" s="487"/>
      <c r="Z222" s="487"/>
    </row>
    <row r="223" spans="1:26" ht="13.5" customHeight="1">
      <c r="A223" s="487"/>
      <c r="B223" s="487"/>
      <c r="C223" s="487"/>
      <c r="D223" s="487"/>
      <c r="E223" s="487"/>
      <c r="F223" s="487"/>
      <c r="G223" s="487"/>
      <c r="H223" s="487"/>
      <c r="I223" s="487"/>
      <c r="J223" s="487"/>
      <c r="K223" s="487"/>
      <c r="L223" s="487"/>
      <c r="M223" s="487"/>
      <c r="N223" s="487"/>
      <c r="O223" s="487"/>
      <c r="P223" s="487"/>
      <c r="Q223" s="487"/>
      <c r="R223" s="487"/>
      <c r="S223" s="487"/>
      <c r="T223" s="487"/>
      <c r="U223" s="487"/>
      <c r="V223" s="487"/>
      <c r="W223" s="487"/>
      <c r="X223" s="487"/>
      <c r="Y223" s="487"/>
      <c r="Z223" s="487"/>
    </row>
    <row r="224" spans="1:26" ht="13.5" customHeight="1">
      <c r="A224" s="487"/>
      <c r="B224" s="487"/>
      <c r="C224" s="487"/>
      <c r="D224" s="487"/>
      <c r="E224" s="487"/>
      <c r="F224" s="487"/>
      <c r="G224" s="487"/>
      <c r="H224" s="487"/>
      <c r="I224" s="487"/>
      <c r="J224" s="487"/>
      <c r="K224" s="487"/>
      <c r="L224" s="487"/>
      <c r="M224" s="487"/>
      <c r="N224" s="487"/>
      <c r="O224" s="487"/>
      <c r="P224" s="487"/>
      <c r="Q224" s="487"/>
      <c r="R224" s="487"/>
      <c r="S224" s="487"/>
      <c r="T224" s="487"/>
      <c r="U224" s="487"/>
      <c r="V224" s="487"/>
      <c r="W224" s="487"/>
      <c r="X224" s="487"/>
      <c r="Y224" s="487"/>
      <c r="Z224" s="487"/>
    </row>
    <row r="225" spans="1:26" ht="13.5" customHeight="1">
      <c r="A225" s="487"/>
      <c r="B225" s="487"/>
      <c r="C225" s="487"/>
      <c r="D225" s="487"/>
      <c r="E225" s="487"/>
      <c r="F225" s="487"/>
      <c r="G225" s="487"/>
      <c r="H225" s="487"/>
      <c r="I225" s="487"/>
      <c r="J225" s="487"/>
      <c r="K225" s="487"/>
      <c r="L225" s="487"/>
      <c r="M225" s="487"/>
      <c r="N225" s="487"/>
      <c r="O225" s="487"/>
      <c r="P225" s="487"/>
      <c r="Q225" s="487"/>
      <c r="R225" s="487"/>
      <c r="S225" s="487"/>
      <c r="T225" s="487"/>
      <c r="U225" s="487"/>
      <c r="V225" s="487"/>
      <c r="W225" s="487"/>
      <c r="X225" s="487"/>
      <c r="Y225" s="487"/>
      <c r="Z225" s="487"/>
    </row>
    <row r="226" spans="1:26" ht="13.5" customHeight="1">
      <c r="A226" s="487"/>
      <c r="B226" s="487"/>
      <c r="C226" s="487"/>
      <c r="D226" s="487"/>
      <c r="E226" s="487"/>
      <c r="F226" s="487"/>
      <c r="G226" s="487"/>
      <c r="H226" s="487"/>
      <c r="I226" s="487"/>
      <c r="J226" s="487"/>
      <c r="K226" s="487"/>
      <c r="L226" s="487"/>
      <c r="M226" s="487"/>
      <c r="N226" s="487"/>
      <c r="O226" s="487"/>
      <c r="P226" s="487"/>
      <c r="Q226" s="487"/>
      <c r="R226" s="487"/>
      <c r="S226" s="487"/>
      <c r="T226" s="487"/>
      <c r="U226" s="487"/>
      <c r="V226" s="487"/>
      <c r="W226" s="487"/>
      <c r="X226" s="487"/>
      <c r="Y226" s="487"/>
      <c r="Z226" s="487"/>
    </row>
    <row r="227" spans="1:26" ht="13.5" customHeight="1">
      <c r="A227" s="487"/>
      <c r="B227" s="487"/>
      <c r="C227" s="487"/>
      <c r="D227" s="487"/>
      <c r="E227" s="487"/>
      <c r="F227" s="487"/>
      <c r="G227" s="487"/>
      <c r="H227" s="487"/>
      <c r="I227" s="487"/>
      <c r="J227" s="487"/>
      <c r="K227" s="487"/>
      <c r="L227" s="487"/>
      <c r="M227" s="487"/>
      <c r="N227" s="487"/>
      <c r="O227" s="487"/>
      <c r="P227" s="487"/>
      <c r="Q227" s="487"/>
      <c r="R227" s="487"/>
      <c r="S227" s="487"/>
      <c r="T227" s="487"/>
      <c r="U227" s="487"/>
      <c r="V227" s="487"/>
      <c r="W227" s="487"/>
      <c r="X227" s="487"/>
      <c r="Y227" s="487"/>
      <c r="Z227" s="487"/>
    </row>
    <row r="228" spans="1:26" ht="13.5" customHeight="1">
      <c r="A228" s="487"/>
      <c r="B228" s="487"/>
      <c r="C228" s="487"/>
      <c r="D228" s="487"/>
      <c r="E228" s="487"/>
      <c r="F228" s="487"/>
      <c r="G228" s="487"/>
      <c r="H228" s="487"/>
      <c r="I228" s="487"/>
      <c r="J228" s="487"/>
      <c r="K228" s="487"/>
      <c r="L228" s="487"/>
      <c r="M228" s="487"/>
      <c r="N228" s="487"/>
      <c r="O228" s="487"/>
      <c r="P228" s="487"/>
      <c r="Q228" s="487"/>
      <c r="R228" s="487"/>
      <c r="S228" s="487"/>
      <c r="T228" s="487"/>
      <c r="U228" s="487"/>
      <c r="V228" s="487"/>
      <c r="W228" s="487"/>
      <c r="X228" s="487"/>
      <c r="Y228" s="487"/>
      <c r="Z228" s="487"/>
    </row>
    <row r="229" spans="1:26" ht="13.5" customHeight="1">
      <c r="A229" s="487"/>
      <c r="B229" s="487"/>
      <c r="C229" s="487"/>
      <c r="D229" s="487"/>
      <c r="E229" s="487"/>
      <c r="F229" s="487"/>
      <c r="G229" s="487"/>
      <c r="H229" s="487"/>
      <c r="I229" s="487"/>
      <c r="J229" s="487"/>
      <c r="K229" s="487"/>
      <c r="L229" s="487"/>
      <c r="M229" s="487"/>
      <c r="N229" s="487"/>
      <c r="O229" s="487"/>
      <c r="P229" s="487"/>
      <c r="Q229" s="487"/>
      <c r="R229" s="487"/>
      <c r="S229" s="487"/>
      <c r="T229" s="487"/>
      <c r="U229" s="487"/>
      <c r="V229" s="487"/>
      <c r="W229" s="487"/>
      <c r="X229" s="487"/>
      <c r="Y229" s="487"/>
      <c r="Z229" s="487"/>
    </row>
    <row r="230" spans="1:26" ht="13.5" customHeight="1">
      <c r="A230" s="487"/>
      <c r="B230" s="487"/>
      <c r="C230" s="487"/>
      <c r="D230" s="487"/>
      <c r="E230" s="487"/>
      <c r="F230" s="487"/>
      <c r="G230" s="487"/>
      <c r="H230" s="487"/>
      <c r="I230" s="487"/>
      <c r="J230" s="487"/>
      <c r="K230" s="487"/>
      <c r="L230" s="487"/>
      <c r="M230" s="487"/>
      <c r="N230" s="487"/>
      <c r="O230" s="487"/>
      <c r="P230" s="487"/>
      <c r="Q230" s="487"/>
      <c r="R230" s="487"/>
      <c r="S230" s="487"/>
      <c r="T230" s="487"/>
      <c r="U230" s="487"/>
      <c r="V230" s="487"/>
      <c r="W230" s="487"/>
      <c r="X230" s="487"/>
      <c r="Y230" s="487"/>
      <c r="Z230" s="487"/>
    </row>
    <row r="231" spans="1:26" ht="13.5" customHeight="1">
      <c r="A231" s="487"/>
      <c r="B231" s="487"/>
      <c r="C231" s="487"/>
      <c r="D231" s="487"/>
      <c r="E231" s="487"/>
      <c r="F231" s="487"/>
      <c r="G231" s="487"/>
      <c r="H231" s="487"/>
      <c r="I231" s="487"/>
      <c r="J231" s="487"/>
      <c r="K231" s="487"/>
      <c r="L231" s="487"/>
      <c r="M231" s="487"/>
      <c r="N231" s="487"/>
      <c r="O231" s="487"/>
      <c r="P231" s="487"/>
      <c r="Q231" s="487"/>
      <c r="R231" s="487"/>
      <c r="S231" s="487"/>
      <c r="T231" s="487"/>
      <c r="U231" s="487"/>
      <c r="V231" s="487"/>
      <c r="W231" s="487"/>
      <c r="X231" s="487"/>
      <c r="Y231" s="487"/>
      <c r="Z231" s="487"/>
    </row>
    <row r="232" spans="1:26" ht="13.5" customHeight="1">
      <c r="A232" s="487"/>
      <c r="B232" s="487"/>
      <c r="C232" s="487"/>
      <c r="D232" s="487"/>
      <c r="E232" s="487"/>
      <c r="F232" s="487"/>
      <c r="G232" s="487"/>
      <c r="H232" s="487"/>
      <c r="I232" s="487"/>
      <c r="J232" s="487"/>
      <c r="K232" s="487"/>
      <c r="L232" s="487"/>
      <c r="M232" s="487"/>
      <c r="N232" s="487"/>
      <c r="O232" s="487"/>
      <c r="P232" s="487"/>
      <c r="Q232" s="487"/>
      <c r="R232" s="487"/>
      <c r="S232" s="487"/>
      <c r="T232" s="487"/>
      <c r="U232" s="487"/>
      <c r="V232" s="487"/>
      <c r="W232" s="487"/>
      <c r="X232" s="487"/>
      <c r="Y232" s="487"/>
      <c r="Z232" s="487"/>
    </row>
    <row r="233" spans="1:26" ht="13.5" customHeight="1">
      <c r="A233" s="487"/>
      <c r="B233" s="487"/>
      <c r="C233" s="487"/>
      <c r="D233" s="487"/>
      <c r="E233" s="487"/>
      <c r="F233" s="487"/>
      <c r="G233" s="487"/>
      <c r="H233" s="487"/>
      <c r="I233" s="487"/>
      <c r="J233" s="487"/>
      <c r="K233" s="487"/>
      <c r="L233" s="487"/>
      <c r="M233" s="487"/>
      <c r="N233" s="487"/>
      <c r="O233" s="487"/>
      <c r="P233" s="487"/>
      <c r="Q233" s="487"/>
      <c r="R233" s="487"/>
      <c r="S233" s="487"/>
      <c r="T233" s="487"/>
      <c r="U233" s="487"/>
      <c r="V233" s="487"/>
      <c r="W233" s="487"/>
      <c r="X233" s="487"/>
      <c r="Y233" s="487"/>
      <c r="Z233" s="487"/>
    </row>
    <row r="234" spans="1:26" ht="13.5" customHeight="1">
      <c r="A234" s="487"/>
      <c r="B234" s="487"/>
      <c r="C234" s="487"/>
      <c r="D234" s="487"/>
      <c r="E234" s="487"/>
      <c r="F234" s="487"/>
      <c r="G234" s="487"/>
      <c r="H234" s="487"/>
      <c r="I234" s="487"/>
      <c r="J234" s="487"/>
      <c r="K234" s="487"/>
      <c r="L234" s="487"/>
      <c r="M234" s="487"/>
      <c r="N234" s="487"/>
      <c r="O234" s="487"/>
      <c r="P234" s="487"/>
      <c r="Q234" s="487"/>
      <c r="R234" s="487"/>
      <c r="S234" s="487"/>
      <c r="T234" s="487"/>
      <c r="U234" s="487"/>
      <c r="V234" s="487"/>
      <c r="W234" s="487"/>
      <c r="X234" s="487"/>
      <c r="Y234" s="487"/>
      <c r="Z234" s="487"/>
    </row>
    <row r="235" spans="1:26" ht="13.5" customHeight="1">
      <c r="A235" s="487"/>
      <c r="B235" s="487"/>
      <c r="C235" s="487"/>
      <c r="D235" s="487"/>
      <c r="E235" s="487"/>
      <c r="F235" s="487"/>
      <c r="G235" s="487"/>
      <c r="H235" s="487"/>
      <c r="I235" s="487"/>
      <c r="J235" s="487"/>
      <c r="K235" s="487"/>
      <c r="L235" s="487"/>
      <c r="M235" s="487"/>
      <c r="N235" s="487"/>
      <c r="O235" s="487"/>
      <c r="P235" s="487"/>
      <c r="Q235" s="487"/>
      <c r="R235" s="487"/>
      <c r="S235" s="487"/>
      <c r="T235" s="487"/>
      <c r="U235" s="487"/>
      <c r="V235" s="487"/>
      <c r="W235" s="487"/>
      <c r="X235" s="487"/>
      <c r="Y235" s="487"/>
      <c r="Z235" s="487"/>
    </row>
    <row r="236" spans="1:26" ht="13.5" customHeight="1">
      <c r="A236" s="487"/>
      <c r="B236" s="487"/>
      <c r="C236" s="487"/>
      <c r="D236" s="487"/>
      <c r="E236" s="487"/>
      <c r="F236" s="487"/>
      <c r="G236" s="487"/>
      <c r="H236" s="487"/>
      <c r="I236" s="487"/>
      <c r="J236" s="487"/>
      <c r="K236" s="487"/>
      <c r="L236" s="487"/>
      <c r="M236" s="487"/>
      <c r="N236" s="487"/>
      <c r="O236" s="487"/>
      <c r="P236" s="487"/>
      <c r="Q236" s="487"/>
      <c r="R236" s="487"/>
      <c r="S236" s="487"/>
      <c r="T236" s="487"/>
      <c r="U236" s="487"/>
      <c r="V236" s="487"/>
      <c r="W236" s="487"/>
      <c r="X236" s="487"/>
      <c r="Y236" s="487"/>
      <c r="Z236" s="487"/>
    </row>
    <row r="237" spans="1:26" ht="13.5" customHeight="1">
      <c r="A237" s="487"/>
      <c r="B237" s="487"/>
      <c r="C237" s="487"/>
      <c r="D237" s="487"/>
      <c r="E237" s="487"/>
      <c r="F237" s="487"/>
      <c r="G237" s="487"/>
      <c r="H237" s="487"/>
      <c r="I237" s="487"/>
      <c r="J237" s="487"/>
      <c r="K237" s="487"/>
      <c r="L237" s="487"/>
      <c r="M237" s="487"/>
      <c r="N237" s="487"/>
      <c r="O237" s="487"/>
      <c r="P237" s="487"/>
      <c r="Q237" s="487"/>
      <c r="R237" s="487"/>
      <c r="S237" s="487"/>
      <c r="T237" s="487"/>
      <c r="U237" s="487"/>
      <c r="V237" s="487"/>
      <c r="W237" s="487"/>
      <c r="X237" s="487"/>
      <c r="Y237" s="487"/>
      <c r="Z237" s="487"/>
    </row>
    <row r="238" spans="1:26" ht="13.5" customHeight="1">
      <c r="A238" s="487"/>
      <c r="B238" s="487"/>
      <c r="C238" s="487"/>
      <c r="D238" s="487"/>
      <c r="E238" s="487"/>
      <c r="F238" s="487"/>
      <c r="G238" s="487"/>
      <c r="H238" s="487"/>
      <c r="I238" s="487"/>
      <c r="J238" s="487"/>
      <c r="K238" s="487"/>
      <c r="L238" s="487"/>
      <c r="M238" s="487"/>
      <c r="N238" s="487"/>
      <c r="O238" s="487"/>
      <c r="P238" s="487"/>
      <c r="Q238" s="487"/>
      <c r="R238" s="487"/>
      <c r="S238" s="487"/>
      <c r="T238" s="487"/>
      <c r="U238" s="487"/>
      <c r="V238" s="487"/>
      <c r="W238" s="487"/>
      <c r="X238" s="487"/>
      <c r="Y238" s="487"/>
      <c r="Z238" s="487"/>
    </row>
    <row r="239" spans="1:26" ht="13.5" customHeight="1">
      <c r="A239" s="487"/>
      <c r="B239" s="487"/>
      <c r="C239" s="487"/>
      <c r="D239" s="487"/>
      <c r="E239" s="487"/>
      <c r="F239" s="487"/>
      <c r="G239" s="487"/>
      <c r="H239" s="487"/>
      <c r="I239" s="487"/>
      <c r="J239" s="487"/>
      <c r="K239" s="487"/>
      <c r="L239" s="487"/>
      <c r="M239" s="487"/>
      <c r="N239" s="487"/>
      <c r="O239" s="487"/>
      <c r="P239" s="487"/>
      <c r="Q239" s="487"/>
      <c r="R239" s="487"/>
      <c r="S239" s="487"/>
      <c r="T239" s="487"/>
      <c r="U239" s="487"/>
      <c r="V239" s="487"/>
      <c r="W239" s="487"/>
      <c r="X239" s="487"/>
      <c r="Y239" s="487"/>
      <c r="Z239" s="487"/>
    </row>
    <row r="240" spans="1:26" ht="13.5" customHeight="1">
      <c r="A240" s="487"/>
      <c r="B240" s="487"/>
      <c r="C240" s="487"/>
      <c r="D240" s="487"/>
      <c r="E240" s="487"/>
      <c r="F240" s="487"/>
      <c r="G240" s="487"/>
      <c r="H240" s="487"/>
      <c r="I240" s="487"/>
      <c r="J240" s="487"/>
      <c r="K240" s="487"/>
      <c r="L240" s="487"/>
      <c r="M240" s="487"/>
      <c r="N240" s="487"/>
      <c r="O240" s="487"/>
      <c r="P240" s="487"/>
      <c r="Q240" s="487"/>
      <c r="R240" s="487"/>
      <c r="S240" s="487"/>
      <c r="T240" s="487"/>
      <c r="U240" s="487"/>
      <c r="V240" s="487"/>
      <c r="W240" s="487"/>
      <c r="X240" s="487"/>
      <c r="Y240" s="487"/>
      <c r="Z240" s="487"/>
    </row>
    <row r="241" spans="1:26" ht="13.5" customHeight="1">
      <c r="A241" s="487"/>
      <c r="B241" s="487"/>
      <c r="C241" s="487"/>
      <c r="D241" s="487"/>
      <c r="E241" s="487"/>
      <c r="F241" s="487"/>
      <c r="G241" s="487"/>
      <c r="H241" s="487"/>
      <c r="I241" s="487"/>
      <c r="J241" s="487"/>
      <c r="K241" s="487"/>
      <c r="L241" s="487"/>
      <c r="M241" s="487"/>
      <c r="N241" s="487"/>
      <c r="O241" s="487"/>
      <c r="P241" s="487"/>
      <c r="Q241" s="487"/>
      <c r="R241" s="487"/>
      <c r="S241" s="487"/>
      <c r="T241" s="487"/>
      <c r="U241" s="487"/>
      <c r="V241" s="487"/>
      <c r="W241" s="487"/>
      <c r="X241" s="487"/>
      <c r="Y241" s="487"/>
      <c r="Z241" s="487"/>
    </row>
    <row r="242" spans="1:26" ht="13.5" customHeight="1">
      <c r="A242" s="487"/>
      <c r="B242" s="487"/>
      <c r="C242" s="487"/>
      <c r="D242" s="487"/>
      <c r="E242" s="487"/>
      <c r="F242" s="487"/>
      <c r="G242" s="487"/>
      <c r="H242" s="487"/>
      <c r="I242" s="487"/>
      <c r="J242" s="487"/>
      <c r="K242" s="487"/>
      <c r="L242" s="487"/>
      <c r="M242" s="487"/>
      <c r="N242" s="487"/>
      <c r="O242" s="487"/>
      <c r="P242" s="487"/>
      <c r="Q242" s="487"/>
      <c r="R242" s="487"/>
      <c r="S242" s="487"/>
      <c r="T242" s="487"/>
      <c r="U242" s="487"/>
      <c r="V242" s="487"/>
      <c r="W242" s="487"/>
      <c r="X242" s="487"/>
      <c r="Y242" s="487"/>
      <c r="Z242" s="487"/>
    </row>
    <row r="243" spans="1:26" ht="13.5" customHeight="1">
      <c r="A243" s="487"/>
      <c r="B243" s="487"/>
      <c r="C243" s="487"/>
      <c r="D243" s="487"/>
      <c r="E243" s="487"/>
      <c r="F243" s="487"/>
      <c r="G243" s="487"/>
      <c r="H243" s="487"/>
      <c r="I243" s="487"/>
      <c r="J243" s="487"/>
      <c r="K243" s="487"/>
      <c r="L243" s="487"/>
      <c r="M243" s="487"/>
      <c r="N243" s="487"/>
      <c r="O243" s="487"/>
      <c r="P243" s="487"/>
      <c r="Q243" s="487"/>
      <c r="R243" s="487"/>
      <c r="S243" s="487"/>
      <c r="T243" s="487"/>
      <c r="U243" s="487"/>
      <c r="V243" s="487"/>
      <c r="W243" s="487"/>
      <c r="X243" s="487"/>
      <c r="Y243" s="487"/>
      <c r="Z243" s="487"/>
    </row>
    <row r="244" spans="1:26" ht="13.5" customHeight="1">
      <c r="A244" s="487"/>
      <c r="B244" s="487"/>
      <c r="C244" s="487"/>
      <c r="D244" s="487"/>
      <c r="E244" s="487"/>
      <c r="F244" s="487"/>
      <c r="G244" s="487"/>
      <c r="H244" s="487"/>
      <c r="I244" s="487"/>
      <c r="J244" s="487"/>
      <c r="K244" s="487"/>
      <c r="L244" s="487"/>
      <c r="M244" s="487"/>
      <c r="N244" s="487"/>
      <c r="O244" s="487"/>
      <c r="P244" s="487"/>
      <c r="Q244" s="487"/>
      <c r="R244" s="487"/>
      <c r="S244" s="487"/>
      <c r="T244" s="487"/>
      <c r="U244" s="487"/>
      <c r="V244" s="487"/>
      <c r="W244" s="487"/>
      <c r="X244" s="487"/>
      <c r="Y244" s="487"/>
      <c r="Z244" s="487"/>
    </row>
    <row r="245" spans="1:26" ht="13.5" customHeight="1">
      <c r="A245" s="487"/>
      <c r="B245" s="487"/>
      <c r="C245" s="487"/>
      <c r="D245" s="487"/>
      <c r="E245" s="487"/>
      <c r="F245" s="487"/>
      <c r="G245" s="487"/>
      <c r="H245" s="487"/>
      <c r="I245" s="487"/>
      <c r="J245" s="487"/>
      <c r="K245" s="487"/>
      <c r="L245" s="487"/>
      <c r="M245" s="487"/>
      <c r="N245" s="487"/>
      <c r="O245" s="487"/>
      <c r="P245" s="487"/>
      <c r="Q245" s="487"/>
      <c r="R245" s="487"/>
      <c r="S245" s="487"/>
      <c r="T245" s="487"/>
      <c r="U245" s="487"/>
      <c r="V245" s="487"/>
      <c r="W245" s="487"/>
      <c r="X245" s="487"/>
      <c r="Y245" s="487"/>
      <c r="Z245" s="487"/>
    </row>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s="488" customFormat="1" ht="15.75" customHeight="1"/>
    <row r="258" s="488" customFormat="1" ht="15.75" customHeight="1"/>
    <row r="259" s="488" customFormat="1" ht="15.75" customHeight="1"/>
    <row r="260" s="488" customFormat="1" ht="15.75" customHeight="1"/>
    <row r="261" s="488" customFormat="1" ht="15.75" customHeight="1"/>
    <row r="262" s="488" customFormat="1" ht="15.75" customHeight="1"/>
    <row r="263" s="488" customFormat="1" ht="15.75" customHeight="1"/>
    <row r="264" s="488" customFormat="1" ht="15.75" customHeight="1"/>
    <row r="265" s="488" customFormat="1" ht="15.75" customHeight="1"/>
    <row r="266" s="488" customFormat="1" ht="15.75" customHeight="1"/>
    <row r="267" s="488" customFormat="1" ht="15.75" customHeight="1"/>
    <row r="268" s="488" customFormat="1" ht="15.75" customHeight="1"/>
    <row r="269" s="488" customFormat="1" ht="15.75" customHeight="1"/>
    <row r="270" s="488" customFormat="1" ht="15.75" customHeight="1"/>
    <row r="271" s="488" customFormat="1" ht="15.75" customHeight="1"/>
    <row r="272" s="488" customFormat="1" ht="15.75" customHeight="1"/>
    <row r="273" s="488" customFormat="1" ht="15.75" customHeight="1"/>
    <row r="274" s="488" customFormat="1" ht="15.75" customHeight="1"/>
    <row r="275" s="488" customFormat="1" ht="15.75" customHeight="1"/>
    <row r="276" s="488" customFormat="1" ht="15.75" customHeight="1"/>
    <row r="277" s="488" customFormat="1" ht="15.75" customHeight="1"/>
    <row r="278" s="488" customFormat="1" ht="15.75" customHeight="1"/>
    <row r="279" s="488" customFormat="1" ht="15.75" customHeight="1"/>
    <row r="280" s="488" customFormat="1" ht="15.75" customHeight="1"/>
    <row r="281" s="488" customFormat="1" ht="15.75" customHeight="1"/>
    <row r="282" s="488" customFormat="1" ht="15.75" customHeight="1"/>
    <row r="283" s="488" customFormat="1" ht="15.75" customHeight="1"/>
    <row r="284" s="488" customFormat="1" ht="15.75" customHeight="1"/>
    <row r="285" s="488" customFormat="1" ht="15.75" customHeight="1"/>
    <row r="286" s="488" customFormat="1" ht="15.75" customHeight="1"/>
    <row r="287" s="488" customFormat="1" ht="15.75" customHeight="1"/>
    <row r="288" s="488" customFormat="1" ht="15.75" customHeight="1"/>
    <row r="289" s="488" customFormat="1" ht="15.75" customHeight="1"/>
    <row r="290" s="488" customFormat="1" ht="15.75" customHeight="1"/>
    <row r="291" s="488" customFormat="1" ht="15.75" customHeight="1"/>
    <row r="292" s="488" customFormat="1" ht="15.75" customHeight="1"/>
    <row r="293" s="488" customFormat="1" ht="15.75" customHeight="1"/>
    <row r="294" s="488" customFormat="1" ht="15.75" customHeight="1"/>
    <row r="295" s="488" customFormat="1" ht="15.75" customHeight="1"/>
    <row r="296" s="488" customFormat="1" ht="15.75" customHeight="1"/>
    <row r="297" s="488" customFormat="1" ht="15.75" customHeight="1"/>
    <row r="298" s="488" customFormat="1" ht="15.75" customHeight="1"/>
    <row r="299" s="488" customFormat="1" ht="15.75" customHeight="1"/>
    <row r="300" s="488" customFormat="1" ht="15.75" customHeight="1"/>
    <row r="301" s="488" customFormat="1" ht="15.75" customHeight="1"/>
    <row r="302" s="488" customFormat="1" ht="15.75" customHeight="1"/>
    <row r="303" s="488" customFormat="1" ht="15.75" customHeight="1"/>
    <row r="304" s="488" customFormat="1" ht="15.75" customHeight="1"/>
    <row r="305" s="488" customFormat="1" ht="15.75" customHeight="1"/>
    <row r="306" s="488" customFormat="1" ht="15.75" customHeight="1"/>
    <row r="307" s="488" customFormat="1" ht="15.75" customHeight="1"/>
    <row r="308" s="488" customFormat="1" ht="15.75" customHeight="1"/>
    <row r="309" s="488" customFormat="1" ht="15.75" customHeight="1"/>
    <row r="310" s="488" customFormat="1" ht="15.75" customHeight="1"/>
    <row r="311" s="488" customFormat="1" ht="15.75" customHeight="1"/>
    <row r="312" s="488" customFormat="1" ht="15.75" customHeight="1"/>
    <row r="313" s="488" customFormat="1" ht="15.75" customHeight="1"/>
    <row r="314" s="488" customFormat="1" ht="15.75" customHeight="1"/>
    <row r="315" s="488" customFormat="1" ht="15.75" customHeight="1"/>
    <row r="316" s="488" customFormat="1" ht="15.75" customHeight="1"/>
    <row r="317" s="488" customFormat="1" ht="15.75" customHeight="1"/>
    <row r="318" s="488" customFormat="1" ht="15.75" customHeight="1"/>
    <row r="319" s="488" customFormat="1" ht="15.75" customHeight="1"/>
    <row r="320" s="488" customFormat="1" ht="15.75" customHeight="1"/>
    <row r="321" s="488" customFormat="1" ht="15.75" customHeight="1"/>
    <row r="322" s="488" customFormat="1" ht="15.75" customHeight="1"/>
    <row r="323" s="488" customFormat="1" ht="15.75" customHeight="1"/>
    <row r="324" s="488" customFormat="1" ht="15.75" customHeight="1"/>
    <row r="325" s="488" customFormat="1" ht="15.75" customHeight="1"/>
    <row r="326" s="488" customFormat="1" ht="15.75" customHeight="1"/>
    <row r="327" s="488" customFormat="1" ht="15.75" customHeight="1"/>
    <row r="328" s="488" customFormat="1" ht="15.75" customHeight="1"/>
    <row r="329" s="488" customFormat="1" ht="15.75" customHeight="1"/>
    <row r="330" s="488" customFormat="1" ht="15.75" customHeight="1"/>
    <row r="331" s="488" customFormat="1" ht="15.75" customHeight="1"/>
    <row r="332" s="488" customFormat="1" ht="15.75" customHeight="1"/>
    <row r="333" s="488" customFormat="1" ht="15.75" customHeight="1"/>
    <row r="334" s="488" customFormat="1" ht="15.75" customHeight="1"/>
    <row r="335" s="488" customFormat="1" ht="15.75" customHeight="1"/>
    <row r="336" s="488" customFormat="1" ht="15.75" customHeight="1"/>
    <row r="337" s="488" customFormat="1" ht="15.75" customHeight="1"/>
    <row r="338" s="488" customFormat="1" ht="15.75" customHeight="1"/>
    <row r="339" s="488" customFormat="1" ht="15.75" customHeight="1"/>
    <row r="340" s="488" customFormat="1" ht="15.75" customHeight="1"/>
    <row r="341" s="488" customFormat="1" ht="15.75" customHeight="1"/>
    <row r="342" s="488" customFormat="1" ht="15.75" customHeight="1"/>
    <row r="343" s="488" customFormat="1" ht="15.75" customHeight="1"/>
    <row r="344" s="488" customFormat="1" ht="15.75" customHeight="1"/>
    <row r="345" s="488" customFormat="1" ht="15.75" customHeight="1"/>
    <row r="346" s="488" customFormat="1" ht="15.75" customHeight="1"/>
    <row r="347" s="488" customFormat="1" ht="15.75" customHeight="1"/>
    <row r="348" s="488" customFormat="1" ht="15.75" customHeight="1"/>
    <row r="349" s="488" customFormat="1" ht="15.75" customHeight="1"/>
    <row r="350" s="488" customFormat="1" ht="15.75" customHeight="1"/>
    <row r="351" s="488" customFormat="1" ht="15.75" customHeight="1"/>
    <row r="352" s="488" customFormat="1" ht="15.75" customHeight="1"/>
    <row r="353" s="488" customFormat="1" ht="15.75" customHeight="1"/>
    <row r="354" s="488" customFormat="1" ht="15.75" customHeight="1"/>
    <row r="355" s="488" customFormat="1" ht="15.75" customHeight="1"/>
    <row r="356" s="488" customFormat="1" ht="15.75" customHeight="1"/>
    <row r="357" s="488" customFormat="1" ht="15.75" customHeight="1"/>
    <row r="358" s="488" customFormat="1" ht="15.75" customHeight="1"/>
    <row r="359" s="488" customFormat="1" ht="15.75" customHeight="1"/>
    <row r="360" s="488" customFormat="1" ht="15.75" customHeight="1"/>
    <row r="361" s="488" customFormat="1" ht="15.75" customHeight="1"/>
    <row r="362" s="488" customFormat="1" ht="15.75" customHeight="1"/>
    <row r="363" s="488" customFormat="1" ht="15.75" customHeight="1"/>
    <row r="364" s="488" customFormat="1" ht="15.75" customHeight="1"/>
    <row r="365" s="488" customFormat="1" ht="15.75" customHeight="1"/>
    <row r="366" s="488" customFormat="1" ht="15.75" customHeight="1"/>
    <row r="367" s="488" customFormat="1" ht="15.75" customHeight="1"/>
    <row r="368" s="488" customFormat="1" ht="15.75" customHeight="1"/>
    <row r="369" s="488" customFormat="1" ht="15.75" customHeight="1"/>
    <row r="370" s="488" customFormat="1" ht="15.75" customHeight="1"/>
    <row r="371" s="488" customFormat="1" ht="15.75" customHeight="1"/>
    <row r="372" s="488" customFormat="1" ht="15.75" customHeight="1"/>
    <row r="373" s="488" customFormat="1" ht="15.75" customHeight="1"/>
    <row r="374" s="488" customFormat="1" ht="15.75" customHeight="1"/>
    <row r="375" s="488" customFormat="1" ht="15.75" customHeight="1"/>
    <row r="376" s="488" customFormat="1" ht="15.75" customHeight="1"/>
    <row r="377" s="488" customFormat="1" ht="15.75" customHeight="1"/>
    <row r="378" s="488" customFormat="1" ht="15.75" customHeight="1"/>
    <row r="379" s="488" customFormat="1" ht="15.75" customHeight="1"/>
    <row r="380" s="488" customFormat="1" ht="15.75" customHeight="1"/>
    <row r="381" s="488" customFormat="1" ht="15.75" customHeight="1"/>
    <row r="382" s="488" customFormat="1" ht="15.75" customHeight="1"/>
    <row r="383" s="488" customFormat="1" ht="15.75" customHeight="1"/>
    <row r="384" s="488" customFormat="1" ht="15.75" customHeight="1"/>
    <row r="385" s="488" customFormat="1" ht="15.75" customHeight="1"/>
    <row r="386" s="488" customFormat="1" ht="15.75" customHeight="1"/>
    <row r="387" s="488" customFormat="1" ht="15.75" customHeight="1"/>
    <row r="388" s="488" customFormat="1" ht="15.75" customHeight="1"/>
    <row r="389" s="488" customFormat="1" ht="15.75" customHeight="1"/>
    <row r="390" s="488" customFormat="1" ht="15.75" customHeight="1"/>
    <row r="391" s="488" customFormat="1" ht="15.75" customHeight="1"/>
    <row r="392" s="488" customFormat="1" ht="15.75" customHeight="1"/>
    <row r="393" s="488" customFormat="1" ht="15.75" customHeight="1"/>
    <row r="394" s="488" customFormat="1" ht="15.75" customHeight="1"/>
    <row r="395" s="488" customFormat="1" ht="15.75" customHeight="1"/>
    <row r="396" s="488" customFormat="1" ht="15.75" customHeight="1"/>
    <row r="397" s="488" customFormat="1" ht="15.75" customHeight="1"/>
    <row r="398" s="488" customFormat="1" ht="15.75" customHeight="1"/>
    <row r="399" s="488" customFormat="1" ht="15.75" customHeight="1"/>
    <row r="400" s="488" customFormat="1" ht="15.75" customHeight="1"/>
    <row r="401" s="488" customFormat="1" ht="15.75" customHeight="1"/>
    <row r="402" s="488" customFormat="1" ht="15.75" customHeight="1"/>
    <row r="403" s="488" customFormat="1" ht="15.75" customHeight="1"/>
    <row r="404" s="488" customFormat="1" ht="15.75" customHeight="1"/>
    <row r="405" s="488" customFormat="1" ht="15.75" customHeight="1"/>
    <row r="406" s="488" customFormat="1" ht="15.75" customHeight="1"/>
    <row r="407" s="488" customFormat="1" ht="15.75" customHeight="1"/>
    <row r="408" s="488" customFormat="1" ht="15.75" customHeight="1"/>
    <row r="409" s="488" customFormat="1" ht="15.75" customHeight="1"/>
    <row r="410" s="488" customFormat="1" ht="15.75" customHeight="1"/>
    <row r="411" s="488" customFormat="1" ht="15.75" customHeight="1"/>
    <row r="412" s="488" customFormat="1" ht="15.75" customHeight="1"/>
    <row r="413" s="488" customFormat="1" ht="15.75" customHeight="1"/>
    <row r="414" s="488" customFormat="1" ht="15.75" customHeight="1"/>
    <row r="415" s="488" customFormat="1" ht="15.75" customHeight="1"/>
    <row r="416" s="488" customFormat="1" ht="15.75" customHeight="1"/>
    <row r="417" s="488" customFormat="1" ht="15.75" customHeight="1"/>
    <row r="418" s="488" customFormat="1" ht="15.75" customHeight="1"/>
    <row r="419" s="488" customFormat="1" ht="15.75" customHeight="1"/>
    <row r="420" s="488" customFormat="1" ht="15.75" customHeight="1"/>
    <row r="421" s="488" customFormat="1" ht="15.75" customHeight="1"/>
    <row r="422" s="488" customFormat="1" ht="15.75" customHeight="1"/>
    <row r="423" s="488" customFormat="1" ht="15.75" customHeight="1"/>
    <row r="424" s="488" customFormat="1" ht="15.75" customHeight="1"/>
    <row r="425" s="488" customFormat="1" ht="15.75" customHeight="1"/>
    <row r="426" s="488" customFormat="1" ht="15.75" customHeight="1"/>
    <row r="427" s="488" customFormat="1" ht="15.75" customHeight="1"/>
    <row r="428" s="488" customFormat="1" ht="15.75" customHeight="1"/>
    <row r="429" s="488" customFormat="1" ht="15.75" customHeight="1"/>
    <row r="430" s="488" customFormat="1" ht="15.75" customHeight="1"/>
    <row r="431" s="488" customFormat="1" ht="15.75" customHeight="1"/>
    <row r="432" s="488" customFormat="1" ht="15.75" customHeight="1"/>
    <row r="433" s="488" customFormat="1" ht="15.75" customHeight="1"/>
    <row r="434" s="488" customFormat="1" ht="15.75" customHeight="1"/>
    <row r="435" s="488" customFormat="1" ht="15.75" customHeight="1"/>
    <row r="436" s="488" customFormat="1" ht="15.75" customHeight="1"/>
    <row r="437" s="488" customFormat="1" ht="15.75" customHeight="1"/>
    <row r="438" s="488" customFormat="1" ht="15.75" customHeight="1"/>
    <row r="439" s="488" customFormat="1" ht="15.75" customHeight="1"/>
    <row r="440" s="488" customFormat="1" ht="15.75" customHeight="1"/>
    <row r="441" s="488" customFormat="1" ht="15.75" customHeight="1"/>
    <row r="442" s="488" customFormat="1" ht="15.75" customHeight="1"/>
    <row r="443" s="488" customFormat="1" ht="15.75" customHeight="1"/>
    <row r="444" s="488" customFormat="1" ht="15.75" customHeight="1"/>
    <row r="445" s="488" customFormat="1" ht="15.75" customHeight="1"/>
    <row r="446" s="488" customFormat="1" ht="15.75" customHeight="1"/>
    <row r="447" s="488" customFormat="1" ht="15.75" customHeight="1"/>
    <row r="448" s="488" customFormat="1" ht="15.75" customHeight="1"/>
    <row r="449" s="488" customFormat="1" ht="15.75" customHeight="1"/>
    <row r="450" s="488" customFormat="1" ht="15.75" customHeight="1"/>
    <row r="451" s="488" customFormat="1" ht="15.75" customHeight="1"/>
    <row r="452" s="488" customFormat="1" ht="15.75" customHeight="1"/>
    <row r="453" s="488" customFormat="1" ht="15.75" customHeight="1"/>
    <row r="454" s="488" customFormat="1" ht="15.75" customHeight="1"/>
    <row r="455" s="488" customFormat="1" ht="15.75" customHeight="1"/>
    <row r="456" s="488" customFormat="1" ht="15.75" customHeight="1"/>
    <row r="457" s="488" customFormat="1" ht="15.75" customHeight="1"/>
    <row r="458" s="488" customFormat="1" ht="15.75" customHeight="1"/>
    <row r="459" s="488" customFormat="1" ht="15.75" customHeight="1"/>
    <row r="460" s="488" customFormat="1" ht="15.75" customHeight="1"/>
    <row r="461" s="488" customFormat="1" ht="15.75" customHeight="1"/>
    <row r="462" s="488" customFormat="1" ht="15.75" customHeight="1"/>
    <row r="463" s="488" customFormat="1" ht="15.75" customHeight="1"/>
    <row r="464" s="488" customFormat="1" ht="15.75" customHeight="1"/>
    <row r="465" s="488" customFormat="1" ht="15.75" customHeight="1"/>
    <row r="466" s="488" customFormat="1" ht="15.75" customHeight="1"/>
    <row r="467" s="488" customFormat="1" ht="15.75" customHeight="1"/>
    <row r="468" s="488" customFormat="1" ht="15.75" customHeight="1"/>
    <row r="469" s="488" customFormat="1" ht="15.75" customHeight="1"/>
    <row r="470" s="488" customFormat="1" ht="15.75" customHeight="1"/>
    <row r="471" s="488" customFormat="1" ht="15.75" customHeight="1"/>
    <row r="472" s="488" customFormat="1" ht="15.75" customHeight="1"/>
    <row r="473" s="488" customFormat="1" ht="15.75" customHeight="1"/>
    <row r="474" s="488" customFormat="1" ht="15.75" customHeight="1"/>
    <row r="475" s="488" customFormat="1" ht="15.75" customHeight="1"/>
    <row r="476" s="488" customFormat="1" ht="15.75" customHeight="1"/>
    <row r="477" s="488" customFormat="1" ht="15.75" customHeight="1"/>
    <row r="478" s="488" customFormat="1" ht="15.75" customHeight="1"/>
    <row r="479" s="488" customFormat="1" ht="15.75" customHeight="1"/>
    <row r="480" s="488" customFormat="1" ht="15.75" customHeight="1"/>
    <row r="481" s="488" customFormat="1" ht="15.75" customHeight="1"/>
    <row r="482" s="488" customFormat="1" ht="15.75" customHeight="1"/>
    <row r="483" s="488" customFormat="1" ht="15.75" customHeight="1"/>
    <row r="484" s="488" customFormat="1" ht="15.75" customHeight="1"/>
    <row r="485" s="488" customFormat="1" ht="15.75" customHeight="1"/>
    <row r="486" s="488" customFormat="1" ht="15.75" customHeight="1"/>
    <row r="487" s="488" customFormat="1" ht="15.75" customHeight="1"/>
    <row r="488" s="488" customFormat="1" ht="15.75" customHeight="1"/>
    <row r="489" s="488" customFormat="1" ht="15.75" customHeight="1"/>
    <row r="490" s="488" customFormat="1" ht="15.75" customHeight="1"/>
    <row r="491" s="488" customFormat="1" ht="15.75" customHeight="1"/>
    <row r="492" s="488" customFormat="1" ht="15.75" customHeight="1"/>
    <row r="493" s="488" customFormat="1" ht="15.75" customHeight="1"/>
    <row r="494" s="488" customFormat="1" ht="15.75" customHeight="1"/>
    <row r="495" s="488" customFormat="1" ht="15.75" customHeight="1"/>
    <row r="496" s="488" customFormat="1" ht="15.75" customHeight="1"/>
    <row r="497" s="488" customFormat="1" ht="15.75" customHeight="1"/>
    <row r="498" s="488" customFormat="1" ht="15.75" customHeight="1"/>
    <row r="499" s="488" customFormat="1" ht="15.75" customHeight="1"/>
    <row r="500" s="488" customFormat="1" ht="15.75" customHeight="1"/>
    <row r="501" s="488" customFormat="1" ht="15.75" customHeight="1"/>
    <row r="502" s="488" customFormat="1" ht="15.75" customHeight="1"/>
    <row r="503" s="488" customFormat="1" ht="15.75" customHeight="1"/>
    <row r="504" s="488" customFormat="1" ht="15.75" customHeight="1"/>
    <row r="505" s="488" customFormat="1" ht="15.75" customHeight="1"/>
    <row r="506" s="488" customFormat="1" ht="15.75" customHeight="1"/>
    <row r="507" s="488" customFormat="1" ht="15.75" customHeight="1"/>
    <row r="508" s="488" customFormat="1" ht="15.75" customHeight="1"/>
    <row r="509" s="488" customFormat="1" ht="15.75" customHeight="1"/>
    <row r="510" s="488" customFormat="1" ht="15.75" customHeight="1"/>
    <row r="511" s="488" customFormat="1" ht="15.75" customHeight="1"/>
    <row r="512" s="488" customFormat="1" ht="15.75" customHeight="1"/>
    <row r="513" s="488" customFormat="1" ht="15.75" customHeight="1"/>
    <row r="514" s="488" customFormat="1" ht="15.75" customHeight="1"/>
    <row r="515" s="488" customFormat="1" ht="15.75" customHeight="1"/>
    <row r="516" s="488" customFormat="1" ht="15.75" customHeight="1"/>
    <row r="517" s="488" customFormat="1" ht="15.75" customHeight="1"/>
    <row r="518" s="488" customFormat="1" ht="15.75" customHeight="1"/>
    <row r="519" s="488" customFormat="1" ht="15.75" customHeight="1"/>
    <row r="520" s="488" customFormat="1" ht="15.75" customHeight="1"/>
    <row r="521" s="488" customFormat="1" ht="15.75" customHeight="1"/>
    <row r="522" s="488" customFormat="1" ht="15.75" customHeight="1"/>
    <row r="523" s="488" customFormat="1" ht="15.75" customHeight="1"/>
    <row r="524" s="488" customFormat="1" ht="15.75" customHeight="1"/>
    <row r="525" s="488" customFormat="1" ht="15.75" customHeight="1"/>
    <row r="526" s="488" customFormat="1" ht="15.75" customHeight="1"/>
    <row r="527" s="488" customFormat="1" ht="15.75" customHeight="1"/>
    <row r="528" s="488" customFormat="1" ht="15.75" customHeight="1"/>
    <row r="529" s="488" customFormat="1" ht="15.75" customHeight="1"/>
    <row r="530" s="488" customFormat="1" ht="15.75" customHeight="1"/>
    <row r="531" s="488" customFormat="1" ht="15.75" customHeight="1"/>
    <row r="532" s="488" customFormat="1" ht="15.75" customHeight="1"/>
    <row r="533" s="488" customFormat="1" ht="15.75" customHeight="1"/>
    <row r="534" s="488" customFormat="1" ht="15.75" customHeight="1"/>
    <row r="535" s="488" customFormat="1" ht="15.75" customHeight="1"/>
    <row r="536" s="488" customFormat="1" ht="15.75" customHeight="1"/>
    <row r="537" s="488" customFormat="1" ht="15.75" customHeight="1"/>
    <row r="538" s="488" customFormat="1" ht="15.75" customHeight="1"/>
    <row r="539" s="488" customFormat="1" ht="15.75" customHeight="1"/>
    <row r="540" s="488" customFormat="1" ht="15.75" customHeight="1"/>
    <row r="541" s="488" customFormat="1" ht="15.75" customHeight="1"/>
    <row r="542" s="488" customFormat="1" ht="15.75" customHeight="1"/>
    <row r="543" s="488" customFormat="1" ht="15.75" customHeight="1"/>
    <row r="544" s="488" customFormat="1" ht="15.75" customHeight="1"/>
    <row r="545" s="488" customFormat="1" ht="15.75" customHeight="1"/>
    <row r="546" s="488" customFormat="1" ht="15.75" customHeight="1"/>
    <row r="547" s="488" customFormat="1" ht="15.75" customHeight="1"/>
    <row r="548" s="488" customFormat="1" ht="15.75" customHeight="1"/>
    <row r="549" s="488" customFormat="1" ht="15.75" customHeight="1"/>
    <row r="550" s="488" customFormat="1" ht="15.75" customHeight="1"/>
    <row r="551" s="488" customFormat="1" ht="15.75" customHeight="1"/>
    <row r="552" s="488" customFormat="1" ht="15.75" customHeight="1"/>
    <row r="553" s="488" customFormat="1" ht="15.75" customHeight="1"/>
    <row r="554" s="488" customFormat="1" ht="15.75" customHeight="1"/>
    <row r="555" s="488" customFormat="1" ht="15.75" customHeight="1"/>
    <row r="556" s="488" customFormat="1" ht="15.75" customHeight="1"/>
    <row r="557" s="488" customFormat="1" ht="15.75" customHeight="1"/>
    <row r="558" s="488" customFormat="1" ht="15.75" customHeight="1"/>
    <row r="559" s="488" customFormat="1" ht="15.75" customHeight="1"/>
    <row r="560" s="488" customFormat="1" ht="15.75" customHeight="1"/>
    <row r="561" s="488" customFormat="1" ht="15.75" customHeight="1"/>
    <row r="562" s="488" customFormat="1" ht="15.75" customHeight="1"/>
    <row r="563" s="488" customFormat="1" ht="15.75" customHeight="1"/>
    <row r="564" s="488" customFormat="1" ht="15.75" customHeight="1"/>
    <row r="565" s="488" customFormat="1" ht="15.75" customHeight="1"/>
    <row r="566" s="488" customFormat="1" ht="15.75" customHeight="1"/>
    <row r="567" s="488" customFormat="1" ht="15.75" customHeight="1"/>
    <row r="568" s="488" customFormat="1" ht="15.75" customHeight="1"/>
    <row r="569" s="488" customFormat="1" ht="15.75" customHeight="1"/>
    <row r="570" s="488" customFormat="1" ht="15.75" customHeight="1"/>
    <row r="571" s="488" customFormat="1" ht="15.75" customHeight="1"/>
    <row r="572" s="488" customFormat="1" ht="15.75" customHeight="1"/>
    <row r="573" s="488" customFormat="1" ht="15.75" customHeight="1"/>
    <row r="574" s="488" customFormat="1" ht="15.75" customHeight="1"/>
    <row r="575" s="488" customFormat="1" ht="15.75" customHeight="1"/>
    <row r="576" s="488" customFormat="1" ht="15.75" customHeight="1"/>
    <row r="577" s="488" customFormat="1" ht="15.75" customHeight="1"/>
    <row r="578" s="488" customFormat="1" ht="15.75" customHeight="1"/>
    <row r="579" s="488" customFormat="1" ht="15.75" customHeight="1"/>
    <row r="580" s="488" customFormat="1" ht="15.75" customHeight="1"/>
    <row r="581" s="488" customFormat="1" ht="15.75" customHeight="1"/>
    <row r="582" s="488" customFormat="1" ht="15.75" customHeight="1"/>
    <row r="583" s="488" customFormat="1" ht="15.75" customHeight="1"/>
    <row r="584" s="488" customFormat="1" ht="15.75" customHeight="1"/>
    <row r="585" s="488" customFormat="1" ht="15.75" customHeight="1"/>
    <row r="586" s="488" customFormat="1" ht="15.75" customHeight="1"/>
    <row r="587" s="488" customFormat="1" ht="15.75" customHeight="1"/>
    <row r="588" s="488" customFormat="1" ht="15.75" customHeight="1"/>
    <row r="589" s="488" customFormat="1" ht="15.75" customHeight="1"/>
    <row r="590" s="488" customFormat="1" ht="15.75" customHeight="1"/>
    <row r="591" s="488" customFormat="1" ht="15.75" customHeight="1"/>
    <row r="592" s="488" customFormat="1" ht="15.75" customHeight="1"/>
    <row r="593" s="488" customFormat="1" ht="15.75" customHeight="1"/>
    <row r="594" s="488" customFormat="1" ht="15.75" customHeight="1"/>
    <row r="595" s="488" customFormat="1" ht="15.75" customHeight="1"/>
    <row r="596" s="488" customFormat="1" ht="15.75" customHeight="1"/>
    <row r="597" s="488" customFormat="1" ht="15.75" customHeight="1"/>
    <row r="598" s="488" customFormat="1" ht="15.75" customHeight="1"/>
    <row r="599" s="488" customFormat="1" ht="15.75" customHeight="1"/>
    <row r="600" s="488" customFormat="1" ht="15.75" customHeight="1"/>
    <row r="601" s="488" customFormat="1" ht="15.75" customHeight="1"/>
    <row r="602" s="488" customFormat="1" ht="15.75" customHeight="1"/>
    <row r="603" s="488" customFormat="1" ht="15.75" customHeight="1"/>
    <row r="604" s="488" customFormat="1" ht="15.75" customHeight="1"/>
    <row r="605" s="488" customFormat="1" ht="15.75" customHeight="1"/>
    <row r="606" s="488" customFormat="1" ht="15.75" customHeight="1"/>
    <row r="607" s="488" customFormat="1" ht="15.75" customHeight="1"/>
    <row r="608" s="488" customFormat="1" ht="15.75" customHeight="1"/>
    <row r="609" s="488" customFormat="1" ht="15.75" customHeight="1"/>
    <row r="610" s="488" customFormat="1" ht="15.75" customHeight="1"/>
    <row r="611" s="488" customFormat="1" ht="15.75" customHeight="1"/>
    <row r="612" s="488" customFormat="1" ht="15.75" customHeight="1"/>
    <row r="613" s="488" customFormat="1" ht="15.75" customHeight="1"/>
    <row r="614" s="488" customFormat="1" ht="15.75" customHeight="1"/>
    <row r="615" s="488" customFormat="1" ht="15.75" customHeight="1"/>
    <row r="616" s="488" customFormat="1" ht="15.75" customHeight="1"/>
    <row r="617" s="488" customFormat="1" ht="15.75" customHeight="1"/>
    <row r="618" s="488" customFormat="1" ht="15.75" customHeight="1"/>
    <row r="619" s="488" customFormat="1" ht="15.75" customHeight="1"/>
    <row r="620" s="488" customFormat="1" ht="15.75" customHeight="1"/>
    <row r="621" s="488" customFormat="1" ht="15.75" customHeight="1"/>
    <row r="622" s="488" customFormat="1" ht="15.75" customHeight="1"/>
    <row r="623" s="488" customFormat="1" ht="15.75" customHeight="1"/>
    <row r="624" s="488" customFormat="1" ht="15.75" customHeight="1"/>
    <row r="625" s="488" customFormat="1" ht="15.75" customHeight="1"/>
    <row r="626" s="488" customFormat="1" ht="15.75" customHeight="1"/>
    <row r="627" s="488" customFormat="1" ht="15.75" customHeight="1"/>
    <row r="628" s="488" customFormat="1" ht="15.75" customHeight="1"/>
    <row r="629" s="488" customFormat="1" ht="15.75" customHeight="1"/>
    <row r="630" s="488" customFormat="1" ht="15.75" customHeight="1"/>
    <row r="631" s="488" customFormat="1" ht="15.75" customHeight="1"/>
    <row r="632" s="488" customFormat="1" ht="15.75" customHeight="1"/>
    <row r="633" s="488" customFormat="1" ht="15.75" customHeight="1"/>
    <row r="634" s="488" customFormat="1" ht="15.75" customHeight="1"/>
    <row r="635" s="488" customFormat="1" ht="15.75" customHeight="1"/>
    <row r="636" s="488" customFormat="1" ht="15.75" customHeight="1"/>
    <row r="637" s="488" customFormat="1" ht="15.75" customHeight="1"/>
    <row r="638" s="488" customFormat="1" ht="15.75" customHeight="1"/>
    <row r="639" s="488" customFormat="1" ht="15.75" customHeight="1"/>
    <row r="640" s="488" customFormat="1" ht="15.75" customHeight="1"/>
    <row r="641" s="488" customFormat="1" ht="15.75" customHeight="1"/>
    <row r="642" s="488" customFormat="1" ht="15.75" customHeight="1"/>
    <row r="643" s="488" customFormat="1" ht="15.75" customHeight="1"/>
    <row r="644" s="488" customFormat="1" ht="15.75" customHeight="1"/>
    <row r="645" s="488" customFormat="1" ht="15.75" customHeight="1"/>
    <row r="646" s="488" customFormat="1" ht="15.75" customHeight="1"/>
    <row r="647" s="488" customFormat="1" ht="15.75" customHeight="1"/>
    <row r="648" s="488" customFormat="1" ht="15.75" customHeight="1"/>
    <row r="649" s="488" customFormat="1" ht="15.75" customHeight="1"/>
    <row r="650" s="488" customFormat="1" ht="15.75" customHeight="1"/>
    <row r="651" s="488" customFormat="1" ht="15.75" customHeight="1"/>
    <row r="652" s="488" customFormat="1" ht="15.75" customHeight="1"/>
    <row r="653" s="488" customFormat="1" ht="15.75" customHeight="1"/>
    <row r="654" s="488" customFormat="1" ht="15.75" customHeight="1"/>
    <row r="655" s="488" customFormat="1" ht="15.75" customHeight="1"/>
    <row r="656" s="488" customFormat="1" ht="15.75" customHeight="1"/>
    <row r="657" s="488" customFormat="1" ht="15.75" customHeight="1"/>
    <row r="658" s="488" customFormat="1" ht="15.75" customHeight="1"/>
    <row r="659" s="488" customFormat="1" ht="15.75" customHeight="1"/>
    <row r="660" s="488" customFormat="1" ht="15.75" customHeight="1"/>
    <row r="661" s="488" customFormat="1" ht="15.75" customHeight="1"/>
    <row r="662" s="488" customFormat="1" ht="15.75" customHeight="1"/>
    <row r="663" s="488" customFormat="1" ht="15.75" customHeight="1"/>
    <row r="664" s="488" customFormat="1" ht="15.75" customHeight="1"/>
    <row r="665" s="488" customFormat="1" ht="15.75" customHeight="1"/>
    <row r="666" s="488" customFormat="1" ht="15.75" customHeight="1"/>
    <row r="667" s="488" customFormat="1" ht="15.75" customHeight="1"/>
    <row r="668" s="488" customFormat="1" ht="15.75" customHeight="1"/>
    <row r="669" s="488" customFormat="1" ht="15.75" customHeight="1"/>
    <row r="670" s="488" customFormat="1" ht="15.75" customHeight="1"/>
    <row r="671" s="488" customFormat="1" ht="15.75" customHeight="1"/>
    <row r="672" s="488" customFormat="1" ht="15.75" customHeight="1"/>
    <row r="673" s="488" customFormat="1" ht="15.75" customHeight="1"/>
    <row r="674" s="488" customFormat="1" ht="15.75" customHeight="1"/>
    <row r="675" s="488" customFormat="1" ht="15.75" customHeight="1"/>
    <row r="676" s="488" customFormat="1" ht="15.75" customHeight="1"/>
    <row r="677" s="488" customFormat="1" ht="15.75" customHeight="1"/>
    <row r="678" s="488" customFormat="1" ht="15.75" customHeight="1"/>
    <row r="679" s="488" customFormat="1" ht="15.75" customHeight="1"/>
    <row r="680" s="488" customFormat="1" ht="15.75" customHeight="1"/>
    <row r="681" s="488" customFormat="1" ht="15.75" customHeight="1"/>
    <row r="682" s="488" customFormat="1" ht="15.75" customHeight="1"/>
    <row r="683" s="488" customFormat="1" ht="15.75" customHeight="1"/>
    <row r="684" s="488" customFormat="1" ht="15.75" customHeight="1"/>
    <row r="685" s="488" customFormat="1" ht="15.75" customHeight="1"/>
    <row r="686" s="488" customFormat="1" ht="15.75" customHeight="1"/>
    <row r="687" s="488" customFormat="1" ht="15.75" customHeight="1"/>
    <row r="688" s="488" customFormat="1" ht="15.75" customHeight="1"/>
    <row r="689" s="488" customFormat="1" ht="15.75" customHeight="1"/>
    <row r="690" s="488" customFormat="1" ht="15.75" customHeight="1"/>
    <row r="691" s="488" customFormat="1" ht="15.75" customHeight="1"/>
    <row r="692" s="488" customFormat="1" ht="15.75" customHeight="1"/>
    <row r="693" s="488" customFormat="1" ht="15.75" customHeight="1"/>
    <row r="694" s="488" customFormat="1" ht="15.75" customHeight="1"/>
    <row r="695" s="488" customFormat="1" ht="15.75" customHeight="1"/>
    <row r="696" s="488" customFormat="1" ht="15.75" customHeight="1"/>
    <row r="697" s="488" customFormat="1" ht="15.75" customHeight="1"/>
    <row r="698" s="488" customFormat="1" ht="15.75" customHeight="1"/>
    <row r="699" s="488" customFormat="1" ht="15.75" customHeight="1"/>
    <row r="700" s="488" customFormat="1" ht="15.75" customHeight="1"/>
    <row r="701" s="488" customFormat="1" ht="15.75" customHeight="1"/>
    <row r="702" s="488" customFormat="1" ht="15.75" customHeight="1"/>
    <row r="703" s="488" customFormat="1" ht="15.75" customHeight="1"/>
    <row r="704" s="488" customFormat="1" ht="15.75" customHeight="1"/>
    <row r="705" s="488" customFormat="1" ht="15.75" customHeight="1"/>
    <row r="706" s="488" customFormat="1" ht="15.75" customHeight="1"/>
    <row r="707" s="488" customFormat="1" ht="15.75" customHeight="1"/>
    <row r="708" s="488" customFormat="1" ht="15.75" customHeight="1"/>
    <row r="709" s="488" customFormat="1" ht="15.75" customHeight="1"/>
    <row r="710" s="488" customFormat="1" ht="15.75" customHeight="1"/>
    <row r="711" s="488" customFormat="1" ht="15.75" customHeight="1"/>
    <row r="712" s="488" customFormat="1" ht="15.75" customHeight="1"/>
    <row r="713" s="488" customFormat="1" ht="15.75" customHeight="1"/>
    <row r="714" s="488" customFormat="1" ht="15.75" customHeight="1"/>
    <row r="715" s="488" customFormat="1" ht="15.75" customHeight="1"/>
    <row r="716" s="488" customFormat="1" ht="15.75" customHeight="1"/>
    <row r="717" s="488" customFormat="1" ht="15.75" customHeight="1"/>
    <row r="718" s="488" customFormat="1" ht="15.75" customHeight="1"/>
    <row r="719" s="488" customFormat="1" ht="15.75" customHeight="1"/>
    <row r="720" s="488" customFormat="1" ht="15.75" customHeight="1"/>
    <row r="721" s="488" customFormat="1" ht="15.75" customHeight="1"/>
    <row r="722" s="488" customFormat="1" ht="15.75" customHeight="1"/>
    <row r="723" s="488" customFormat="1" ht="15.75" customHeight="1"/>
    <row r="724" s="488" customFormat="1" ht="15.75" customHeight="1"/>
    <row r="725" s="488" customFormat="1" ht="15.75" customHeight="1"/>
    <row r="726" s="488" customFormat="1" ht="15.75" customHeight="1"/>
    <row r="727" s="488" customFormat="1" ht="15.75" customHeight="1"/>
    <row r="728" s="488" customFormat="1" ht="15.75" customHeight="1"/>
    <row r="729" s="488" customFormat="1" ht="15.75" customHeight="1"/>
    <row r="730" s="488" customFormat="1" ht="15.75" customHeight="1"/>
    <row r="731" s="488" customFormat="1" ht="15.75" customHeight="1"/>
    <row r="732" s="488" customFormat="1" ht="15.75" customHeight="1"/>
    <row r="733" s="488" customFormat="1" ht="15.75" customHeight="1"/>
    <row r="734" s="488" customFormat="1" ht="15.75" customHeight="1"/>
    <row r="735" s="488" customFormat="1" ht="15.75" customHeight="1"/>
    <row r="736" s="488" customFormat="1" ht="15.75" customHeight="1"/>
    <row r="737" s="488" customFormat="1" ht="15.75" customHeight="1"/>
    <row r="738" s="488" customFormat="1" ht="15.75" customHeight="1"/>
    <row r="739" s="488" customFormat="1" ht="15.75" customHeight="1"/>
    <row r="740" s="488" customFormat="1" ht="15.75" customHeight="1"/>
    <row r="741" s="488" customFormat="1" ht="15.75" customHeight="1"/>
    <row r="742" s="488" customFormat="1" ht="15.75" customHeight="1"/>
    <row r="743" s="488" customFormat="1" ht="15.75" customHeight="1"/>
    <row r="744" s="488" customFormat="1" ht="15.75" customHeight="1"/>
    <row r="745" s="488" customFormat="1" ht="15.75" customHeight="1"/>
    <row r="746" s="488" customFormat="1" ht="15.75" customHeight="1"/>
    <row r="747" s="488" customFormat="1" ht="15.75" customHeight="1"/>
    <row r="748" s="488" customFormat="1" ht="15.75" customHeight="1"/>
    <row r="749" s="488" customFormat="1" ht="15.75" customHeight="1"/>
    <row r="750" s="488" customFormat="1" ht="15.75" customHeight="1"/>
    <row r="751" s="488" customFormat="1" ht="15.75" customHeight="1"/>
    <row r="752" s="488" customFormat="1" ht="15.75" customHeight="1"/>
    <row r="753" s="488" customFormat="1" ht="15.75" customHeight="1"/>
    <row r="754" s="488" customFormat="1" ht="15.75" customHeight="1"/>
    <row r="755" s="488" customFormat="1" ht="15.75" customHeight="1"/>
    <row r="756" s="488" customFormat="1" ht="15.75" customHeight="1"/>
    <row r="757" s="488" customFormat="1" ht="15.75" customHeight="1"/>
    <row r="758" s="488" customFormat="1" ht="15.75" customHeight="1"/>
    <row r="759" s="488" customFormat="1" ht="15.75" customHeight="1"/>
    <row r="760" s="488" customFormat="1" ht="15.75" customHeight="1"/>
    <row r="761" s="488" customFormat="1" ht="15.75" customHeight="1"/>
    <row r="762" s="488" customFormat="1" ht="15.75" customHeight="1"/>
    <row r="763" s="488" customFormat="1" ht="15.75" customHeight="1"/>
    <row r="764" s="488" customFormat="1" ht="15.75" customHeight="1"/>
    <row r="765" s="488" customFormat="1" ht="15.75" customHeight="1"/>
    <row r="766" s="488" customFormat="1" ht="15.75" customHeight="1"/>
    <row r="767" s="488" customFormat="1" ht="15.75" customHeight="1"/>
    <row r="768" s="488" customFormat="1" ht="15.75" customHeight="1"/>
    <row r="769" s="488" customFormat="1" ht="15.75" customHeight="1"/>
    <row r="770" s="488" customFormat="1" ht="15.75" customHeight="1"/>
    <row r="771" s="488" customFormat="1" ht="15.75" customHeight="1"/>
    <row r="772" s="488" customFormat="1" ht="15.75" customHeight="1"/>
    <row r="773" s="488" customFormat="1" ht="15.75" customHeight="1"/>
    <row r="774" s="488" customFormat="1" ht="15.75" customHeight="1"/>
    <row r="775" s="488" customFormat="1" ht="15.75" customHeight="1"/>
    <row r="776" s="488" customFormat="1" ht="15.75" customHeight="1"/>
    <row r="777" s="488" customFormat="1" ht="15.75" customHeight="1"/>
    <row r="778" s="488" customFormat="1" ht="15.75" customHeight="1"/>
    <row r="779" s="488" customFormat="1" ht="15.75" customHeight="1"/>
    <row r="780" s="488" customFormat="1" ht="15.75" customHeight="1"/>
    <row r="781" s="488" customFormat="1" ht="15.75" customHeight="1"/>
    <row r="782" s="488" customFormat="1" ht="15.75" customHeight="1"/>
    <row r="783" s="488" customFormat="1" ht="15.75" customHeight="1"/>
    <row r="784" s="488" customFormat="1" ht="15.75" customHeight="1"/>
    <row r="785" s="488" customFormat="1" ht="15.75" customHeight="1"/>
    <row r="786" s="488" customFormat="1" ht="15.75" customHeight="1"/>
    <row r="787" s="488" customFormat="1" ht="15.75" customHeight="1"/>
    <row r="788" s="488" customFormat="1" ht="15.75" customHeight="1"/>
    <row r="789" s="488" customFormat="1" ht="15.75" customHeight="1"/>
    <row r="790" s="488" customFormat="1" ht="15.75" customHeight="1"/>
    <row r="791" s="488" customFormat="1" ht="15.75" customHeight="1"/>
    <row r="792" s="488" customFormat="1" ht="15.75" customHeight="1"/>
    <row r="793" s="488" customFormat="1" ht="15.75" customHeight="1"/>
    <row r="794" s="488" customFormat="1" ht="15.75" customHeight="1"/>
    <row r="795" s="488" customFormat="1" ht="15.75" customHeight="1"/>
    <row r="796" s="488" customFormat="1" ht="15.75" customHeight="1"/>
    <row r="797" s="488" customFormat="1" ht="15.75" customHeight="1"/>
    <row r="798" s="488" customFormat="1" ht="15.75" customHeight="1"/>
    <row r="799" s="488" customFormat="1" ht="15.75" customHeight="1"/>
    <row r="800" s="488" customFormat="1" ht="15.75" customHeight="1"/>
    <row r="801" s="488" customFormat="1" ht="15.75" customHeight="1"/>
    <row r="802" s="488" customFormat="1" ht="15.75" customHeight="1"/>
    <row r="803" s="488" customFormat="1" ht="15.75" customHeight="1"/>
    <row r="804" s="488" customFormat="1" ht="15.75" customHeight="1"/>
    <row r="805" s="488" customFormat="1" ht="15.75" customHeight="1"/>
    <row r="806" s="488" customFormat="1" ht="15.75" customHeight="1"/>
    <row r="807" s="488" customFormat="1" ht="15.75" customHeight="1"/>
    <row r="808" s="488" customFormat="1" ht="15.75" customHeight="1"/>
    <row r="809" s="488" customFormat="1" ht="15.75" customHeight="1"/>
    <row r="810" s="488" customFormat="1" ht="15.75" customHeight="1"/>
    <row r="811" s="488" customFormat="1" ht="15.75" customHeight="1"/>
    <row r="812" s="488" customFormat="1" ht="15.75" customHeight="1"/>
    <row r="813" s="488" customFormat="1" ht="15.75" customHeight="1"/>
    <row r="814" s="488" customFormat="1" ht="15.75" customHeight="1"/>
    <row r="815" s="488" customFormat="1" ht="15.75" customHeight="1"/>
    <row r="816" s="488" customFormat="1" ht="15.75" customHeight="1"/>
    <row r="817" s="488" customFormat="1" ht="15.75" customHeight="1"/>
    <row r="818" s="488" customFormat="1" ht="15.75" customHeight="1"/>
    <row r="819" s="488" customFormat="1" ht="15.75" customHeight="1"/>
    <row r="820" s="488" customFormat="1" ht="15.75" customHeight="1"/>
    <row r="821" s="488" customFormat="1" ht="15.75" customHeight="1"/>
    <row r="822" s="488" customFormat="1" ht="15.75" customHeight="1"/>
    <row r="823" s="488" customFormat="1" ht="15.75" customHeight="1"/>
    <row r="824" s="488" customFormat="1" ht="15.75" customHeight="1"/>
    <row r="825" s="488" customFormat="1" ht="15.75" customHeight="1"/>
    <row r="826" s="488" customFormat="1" ht="15.75" customHeight="1"/>
    <row r="827" s="488" customFormat="1" ht="15.75" customHeight="1"/>
    <row r="828" s="488" customFormat="1" ht="15.75" customHeight="1"/>
    <row r="829" s="488" customFormat="1" ht="15.75" customHeight="1"/>
    <row r="830" s="488" customFormat="1" ht="15.75" customHeight="1"/>
    <row r="831" s="488" customFormat="1" ht="15.75" customHeight="1"/>
    <row r="832" s="488" customFormat="1" ht="15.75" customHeight="1"/>
    <row r="833" s="488" customFormat="1" ht="15.75" customHeight="1"/>
    <row r="834" s="488" customFormat="1" ht="15.75" customHeight="1"/>
    <row r="835" s="488" customFormat="1" ht="15.75" customHeight="1"/>
    <row r="836" s="488" customFormat="1" ht="15.75" customHeight="1"/>
    <row r="837" s="488" customFormat="1" ht="15.75" customHeight="1"/>
    <row r="838" s="488" customFormat="1" ht="15.75" customHeight="1"/>
    <row r="839" s="488" customFormat="1" ht="15.75" customHeight="1"/>
    <row r="840" s="488" customFormat="1" ht="15.75" customHeight="1"/>
    <row r="841" s="488" customFormat="1" ht="15.75" customHeight="1"/>
    <row r="842" s="488" customFormat="1" ht="15.75" customHeight="1"/>
    <row r="843" s="488" customFormat="1" ht="15.75" customHeight="1"/>
    <row r="844" s="488" customFormat="1" ht="15.75" customHeight="1"/>
    <row r="845" s="488" customFormat="1" ht="15.75" customHeight="1"/>
    <row r="846" s="488" customFormat="1" ht="15.75" customHeight="1"/>
    <row r="847" s="488" customFormat="1" ht="15.75" customHeight="1"/>
    <row r="848" s="488" customFormat="1" ht="15.75" customHeight="1"/>
    <row r="849" s="488" customFormat="1" ht="15.75" customHeight="1"/>
    <row r="850" s="488" customFormat="1" ht="15.75" customHeight="1"/>
    <row r="851" s="488" customFormat="1" ht="15.75" customHeight="1"/>
    <row r="852" s="488" customFormat="1" ht="15.75" customHeight="1"/>
    <row r="853" s="488" customFormat="1" ht="15.75" customHeight="1"/>
    <row r="854" s="488" customFormat="1" ht="15.75" customHeight="1"/>
    <row r="855" s="488" customFormat="1" ht="15.75" customHeight="1"/>
    <row r="856" s="488" customFormat="1" ht="15.75" customHeight="1"/>
    <row r="857" s="488" customFormat="1" ht="15.75" customHeight="1"/>
    <row r="858" s="488" customFormat="1" ht="15.75" customHeight="1"/>
    <row r="859" s="488" customFormat="1" ht="15.75" customHeight="1"/>
    <row r="860" s="488" customFormat="1" ht="15.75" customHeight="1"/>
    <row r="861" s="488" customFormat="1" ht="15.75" customHeight="1"/>
    <row r="862" s="488" customFormat="1" ht="15.75" customHeight="1"/>
    <row r="863" s="488" customFormat="1" ht="15.75" customHeight="1"/>
    <row r="864" s="488" customFormat="1" ht="15.75" customHeight="1"/>
    <row r="865" s="488" customFormat="1" ht="15.75" customHeight="1"/>
    <row r="866" s="488" customFormat="1" ht="15.75" customHeight="1"/>
    <row r="867" s="488" customFormat="1" ht="15.75" customHeight="1"/>
    <row r="868" s="488" customFormat="1" ht="15.75" customHeight="1"/>
    <row r="869" s="488" customFormat="1" ht="15.75" customHeight="1"/>
    <row r="870" s="488" customFormat="1" ht="15.75" customHeight="1"/>
    <row r="871" s="488" customFormat="1" ht="15.75" customHeight="1"/>
    <row r="872" s="488" customFormat="1" ht="15.75" customHeight="1"/>
    <row r="873" s="488" customFormat="1" ht="15.75" customHeight="1"/>
    <row r="874" s="488" customFormat="1" ht="15.75" customHeight="1"/>
    <row r="875" s="488" customFormat="1" ht="15.75" customHeight="1"/>
    <row r="876" s="488" customFormat="1" ht="15.75" customHeight="1"/>
    <row r="877" s="488" customFormat="1" ht="15.75" customHeight="1"/>
    <row r="878" s="488" customFormat="1" ht="15.75" customHeight="1"/>
    <row r="879" s="488" customFormat="1" ht="15.75" customHeight="1"/>
    <row r="880" s="488" customFormat="1" ht="15.75" customHeight="1"/>
    <row r="881" s="488" customFormat="1" ht="15.75" customHeight="1"/>
    <row r="882" s="488" customFormat="1" ht="15.75" customHeight="1"/>
    <row r="883" s="488" customFormat="1" ht="15.75" customHeight="1"/>
    <row r="884" s="488" customFormat="1" ht="15.75" customHeight="1"/>
    <row r="885" s="488" customFormat="1" ht="15.75" customHeight="1"/>
    <row r="886" s="488" customFormat="1" ht="15.75" customHeight="1"/>
    <row r="887" s="488" customFormat="1" ht="15.75" customHeight="1"/>
    <row r="888" s="488" customFormat="1" ht="15.75" customHeight="1"/>
    <row r="889" s="488" customFormat="1" ht="15.75" customHeight="1"/>
    <row r="890" s="488" customFormat="1" ht="15.75" customHeight="1"/>
    <row r="891" s="488" customFormat="1" ht="15.75" customHeight="1"/>
    <row r="892" s="488" customFormat="1" ht="15.75" customHeight="1"/>
    <row r="893" s="488" customFormat="1" ht="15.75" customHeight="1"/>
    <row r="894" s="488" customFormat="1" ht="15.75" customHeight="1"/>
    <row r="895" s="488" customFormat="1" ht="15.75" customHeight="1"/>
    <row r="896" s="488" customFormat="1" ht="15.75" customHeight="1"/>
    <row r="897" s="488" customFormat="1" ht="15.75" customHeight="1"/>
    <row r="898" s="488" customFormat="1" ht="15.75" customHeight="1"/>
    <row r="899" s="488" customFormat="1" ht="15.75" customHeight="1"/>
    <row r="900" s="488" customFormat="1" ht="15.75" customHeight="1"/>
    <row r="901" s="488" customFormat="1" ht="15.75" customHeight="1"/>
    <row r="902" s="488" customFormat="1" ht="15.75" customHeight="1"/>
    <row r="903" s="488" customFormat="1" ht="15.75" customHeight="1"/>
    <row r="904" s="488" customFormat="1" ht="15.75" customHeight="1"/>
    <row r="905" s="488" customFormat="1" ht="15.75" customHeight="1"/>
    <row r="906" s="488" customFormat="1" ht="15.75" customHeight="1"/>
    <row r="907" s="488" customFormat="1" ht="15.75" customHeight="1"/>
    <row r="908" s="488" customFormat="1" ht="15.75" customHeight="1"/>
    <row r="909" s="488" customFormat="1" ht="15.75" customHeight="1"/>
    <row r="910" s="488" customFormat="1" ht="15.75" customHeight="1"/>
    <row r="911" s="488" customFormat="1" ht="15.75" customHeight="1"/>
    <row r="912" s="488" customFormat="1" ht="15.75" customHeight="1"/>
    <row r="913" s="488" customFormat="1" ht="15.75" customHeight="1"/>
    <row r="914" s="488" customFormat="1" ht="15.75" customHeight="1"/>
    <row r="915" s="488" customFormat="1" ht="15.75" customHeight="1"/>
    <row r="916" s="488" customFormat="1" ht="15.75" customHeight="1"/>
    <row r="917" s="488" customFormat="1" ht="15.75" customHeight="1"/>
    <row r="918" s="488" customFormat="1" ht="15.75" customHeight="1"/>
    <row r="919" s="488" customFormat="1" ht="15.75" customHeight="1"/>
    <row r="920" s="488" customFormat="1" ht="15.75" customHeight="1"/>
    <row r="921" s="488" customFormat="1" ht="15.75" customHeight="1"/>
    <row r="922" s="488" customFormat="1" ht="15.75" customHeight="1"/>
    <row r="923" s="488" customFormat="1" ht="15.75" customHeight="1"/>
    <row r="924" s="488" customFormat="1" ht="15.75" customHeight="1"/>
    <row r="925" s="488" customFormat="1" ht="15.75" customHeight="1"/>
    <row r="926" s="488" customFormat="1" ht="15.75" customHeight="1"/>
    <row r="927" s="488" customFormat="1" ht="15.75" customHeight="1"/>
    <row r="928" s="488" customFormat="1" ht="15.75" customHeight="1"/>
    <row r="929" s="488" customFormat="1" ht="15.75" customHeight="1"/>
    <row r="930" s="488" customFormat="1" ht="15.75" customHeight="1"/>
    <row r="931" s="488" customFormat="1" ht="15.75" customHeight="1"/>
    <row r="932" s="488" customFormat="1" ht="15.75" customHeight="1"/>
    <row r="933" s="488" customFormat="1" ht="15.75" customHeight="1"/>
    <row r="934" s="488" customFormat="1" ht="15.75" customHeight="1"/>
    <row r="935" s="488" customFormat="1" ht="15.75" customHeight="1"/>
    <row r="936" s="488" customFormat="1" ht="15.75" customHeight="1"/>
    <row r="937" s="488" customFormat="1" ht="15.75" customHeight="1"/>
    <row r="938" s="488" customFormat="1" ht="15.75" customHeight="1"/>
    <row r="939" s="488" customFormat="1" ht="15.75" customHeight="1"/>
    <row r="940" s="488" customFormat="1" ht="15.75" customHeight="1"/>
    <row r="941" s="488" customFormat="1" ht="15.75" customHeight="1"/>
    <row r="942" s="488" customFormat="1" ht="15.75" customHeight="1"/>
    <row r="943" s="488" customFormat="1" ht="15.75" customHeight="1"/>
    <row r="944" s="488" customFormat="1" ht="15.75" customHeight="1"/>
    <row r="945" s="488" customFormat="1" ht="15.75" customHeight="1"/>
    <row r="946" s="488" customFormat="1" ht="15.75" customHeight="1"/>
    <row r="947" s="488" customFormat="1" ht="15.75" customHeight="1"/>
    <row r="948" s="488" customFormat="1" ht="15.75" customHeight="1"/>
    <row r="949" s="488" customFormat="1" ht="15.75" customHeight="1"/>
    <row r="950" s="488" customFormat="1" ht="15.75" customHeight="1"/>
    <row r="951" s="488" customFormat="1" ht="15.75" customHeight="1"/>
    <row r="952" s="488" customFormat="1" ht="15.75" customHeight="1"/>
    <row r="953" s="488" customFormat="1" ht="15.75" customHeight="1"/>
    <row r="954" s="488" customFormat="1" ht="15.75" customHeight="1"/>
    <row r="955" s="488" customFormat="1" ht="15.75" customHeight="1"/>
    <row r="956" s="488" customFormat="1" ht="15.75" customHeight="1"/>
    <row r="957" s="488" customFormat="1" ht="15.75" customHeight="1"/>
    <row r="958" s="488" customFormat="1" ht="15.75" customHeight="1"/>
    <row r="959" s="488" customFormat="1" ht="15.75" customHeight="1"/>
    <row r="960" s="488" customFormat="1" ht="15.75" customHeight="1"/>
    <row r="961" s="488" customFormat="1" ht="15.75" customHeight="1"/>
    <row r="962" s="488" customFormat="1" ht="15.75" customHeight="1"/>
    <row r="963" s="488" customFormat="1" ht="15.75" customHeight="1"/>
    <row r="964" s="488" customFormat="1" ht="15.75" customHeight="1"/>
    <row r="965" s="488" customFormat="1" ht="15.75" customHeight="1"/>
    <row r="966" s="488" customFormat="1" ht="15.75" customHeight="1"/>
    <row r="967" s="488" customFormat="1" ht="15.75" customHeight="1"/>
    <row r="968" s="488" customFormat="1" ht="15.75" customHeight="1"/>
    <row r="969" s="488" customFormat="1" ht="15.75" customHeight="1"/>
    <row r="970" s="488" customFormat="1" ht="15.75" customHeight="1"/>
    <row r="971" s="488" customFormat="1" ht="15.75" customHeight="1"/>
    <row r="972" s="488" customFormat="1" ht="15.75" customHeight="1"/>
    <row r="973" s="488" customFormat="1" ht="15.75" customHeight="1"/>
    <row r="974" s="488" customFormat="1" ht="15.75" customHeight="1"/>
    <row r="975" s="488" customFormat="1" ht="15.75" customHeight="1"/>
    <row r="976" s="488" customFormat="1" ht="15.75" customHeight="1"/>
    <row r="977" s="488" customFormat="1" ht="15.75" customHeight="1"/>
    <row r="978" s="488" customFormat="1" ht="15.75" customHeight="1"/>
    <row r="979" s="488" customFormat="1" ht="15.75" customHeight="1"/>
    <row r="980" s="488" customFormat="1" ht="15.75" customHeight="1"/>
    <row r="981" s="488" customFormat="1" ht="15.75" customHeight="1"/>
    <row r="982" s="488" customFormat="1" ht="15.75" customHeight="1"/>
    <row r="983" s="488" customFormat="1" ht="15.75" customHeight="1"/>
    <row r="984" s="488" customFormat="1" ht="15.75" customHeight="1"/>
    <row r="985" s="488" customFormat="1" ht="15.75" customHeight="1"/>
    <row r="986" s="488" customFormat="1" ht="15.75" customHeight="1"/>
    <row r="987" s="488" customFormat="1" ht="15.75" customHeight="1"/>
    <row r="988" s="488" customFormat="1" ht="15.75" customHeight="1"/>
    <row r="989" s="488" customFormat="1" ht="15.75" customHeight="1"/>
    <row r="990" s="488" customFormat="1" ht="15.75" customHeight="1"/>
    <row r="991" s="488" customFormat="1" ht="15.75" customHeight="1"/>
    <row r="992" s="488" customFormat="1" ht="15.75" customHeight="1"/>
    <row r="993" s="488" customFormat="1" ht="15.75" customHeight="1"/>
    <row r="994" s="488" customFormat="1" ht="15.75" customHeight="1"/>
    <row r="995" s="488" customFormat="1" ht="15.75" customHeight="1"/>
    <row r="996" s="488" customFormat="1" ht="15.75" customHeight="1"/>
    <row r="997" s="488" customFormat="1" ht="15.75" customHeight="1"/>
    <row r="998" s="488" customFormat="1" ht="15.75" customHeight="1"/>
    <row r="999" s="488" customFormat="1" ht="15.75" customHeight="1"/>
    <row r="1000" s="488" customFormat="1" ht="15.75" customHeight="1"/>
  </sheetData>
  <mergeCells count="2">
    <mergeCell ref="C6:G6"/>
    <mergeCell ref="B44:S44"/>
  </mergeCells>
  <pageMargins left="0.7" right="0.7" top="0.75" bottom="0.75" header="0" footer="0"/>
  <pageSetup scale="38"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000"/>
  <sheetViews>
    <sheetView showGridLines="0" topLeftCell="D61" workbookViewId="0">
      <selection activeCell="J18" sqref="J18"/>
    </sheetView>
  </sheetViews>
  <sheetFormatPr defaultColWidth="14.453125" defaultRowHeight="15" customHeight="1" outlineLevelRow="1"/>
  <cols>
    <col min="1" max="1" width="3.08984375" hidden="1" customWidth="1"/>
    <col min="2" max="2" width="3" hidden="1" customWidth="1"/>
    <col min="3" max="3" width="2.7265625" customWidth="1"/>
    <col min="4" max="4" width="39" customWidth="1"/>
    <col min="5" max="9" width="15.08984375" customWidth="1"/>
    <col min="10" max="10" width="11.81640625" customWidth="1"/>
    <col min="11" max="11" width="11.7265625" customWidth="1"/>
    <col min="12" max="18" width="11" customWidth="1"/>
  </cols>
  <sheetData>
    <row r="1" spans="1:18" ht="13.5" customHeight="1">
      <c r="A1" s="1"/>
      <c r="B1" s="1"/>
      <c r="C1" s="1"/>
      <c r="D1" s="1"/>
      <c r="E1" s="1"/>
      <c r="F1" s="1"/>
      <c r="G1" s="1"/>
      <c r="H1" s="1"/>
      <c r="I1" s="1"/>
      <c r="J1" s="1"/>
      <c r="K1" s="1"/>
      <c r="L1" s="1"/>
      <c r="M1" s="1"/>
      <c r="N1" s="1"/>
      <c r="O1" s="1"/>
      <c r="P1" s="1"/>
      <c r="Q1" s="1"/>
      <c r="R1" s="1"/>
    </row>
    <row r="2" spans="1:18" ht="13.5" customHeight="1">
      <c r="A2" s="1"/>
      <c r="B2" s="1"/>
      <c r="C2" s="1"/>
      <c r="D2" s="1"/>
      <c r="E2" s="266" t="s">
        <v>158</v>
      </c>
      <c r="F2" s="266"/>
      <c r="G2" s="266"/>
      <c r="H2" s="266"/>
      <c r="I2" s="266"/>
      <c r="J2" s="266"/>
      <c r="K2" s="266"/>
      <c r="L2" s="1"/>
      <c r="M2" s="1"/>
      <c r="N2" s="1"/>
      <c r="O2" s="1"/>
      <c r="P2" s="1"/>
      <c r="Q2" s="1"/>
      <c r="R2" s="1"/>
    </row>
    <row r="3" spans="1:18" ht="12.75" customHeight="1">
      <c r="A3" s="1"/>
      <c r="B3" s="1"/>
      <c r="C3" s="1"/>
      <c r="D3" s="1" t="str">
        <f>Corporation&amp;"  ("&amp;Ticker&amp;")"</f>
        <v>Taiwan SemiConductor Manufacturing Co. Ltd.  (TSM)</v>
      </c>
      <c r="E3" s="266" t="s">
        <v>159</v>
      </c>
      <c r="F3" s="266"/>
      <c r="G3" s="266"/>
      <c r="H3" s="266"/>
      <c r="I3" s="266"/>
      <c r="J3" s="266"/>
      <c r="K3" s="266"/>
      <c r="L3" s="1"/>
      <c r="M3" s="1"/>
      <c r="N3" s="1"/>
      <c r="O3" s="1"/>
      <c r="P3" s="1"/>
      <c r="Q3" s="1"/>
      <c r="R3" s="1"/>
    </row>
    <row r="4" spans="1:18" ht="13.5" customHeight="1">
      <c r="A4" s="1"/>
      <c r="B4" s="1"/>
      <c r="C4" s="1"/>
      <c r="D4" s="1"/>
      <c r="E4" s="267"/>
      <c r="F4" s="267"/>
      <c r="G4" s="267"/>
      <c r="H4" s="267"/>
      <c r="I4" s="267"/>
      <c r="J4" s="267"/>
      <c r="K4" s="1"/>
      <c r="L4" s="1"/>
      <c r="M4" s="1"/>
      <c r="N4" s="1"/>
      <c r="O4" s="1"/>
      <c r="P4" s="1"/>
      <c r="Q4" s="1"/>
      <c r="R4" s="1"/>
    </row>
    <row r="5" spans="1:18" ht="13.5" customHeight="1">
      <c r="A5" s="1"/>
      <c r="B5" s="1"/>
      <c r="C5" s="1"/>
      <c r="D5" s="268" t="s">
        <v>160</v>
      </c>
      <c r="E5" s="269"/>
      <c r="F5" s="269"/>
      <c r="G5" s="655" t="s">
        <v>43</v>
      </c>
      <c r="H5" s="656"/>
      <c r="I5" s="269"/>
      <c r="J5" s="270" t="s">
        <v>40</v>
      </c>
      <c r="K5" s="1"/>
      <c r="L5" s="44"/>
      <c r="M5" s="1"/>
      <c r="N5" s="1"/>
      <c r="O5" s="1"/>
      <c r="P5" s="1"/>
      <c r="Q5" s="1"/>
      <c r="R5" s="1"/>
    </row>
    <row r="6" spans="1:18" ht="13.5" customHeight="1">
      <c r="A6" s="1"/>
      <c r="B6" s="1"/>
      <c r="C6" s="1"/>
      <c r="D6" s="271"/>
      <c r="E6" s="272">
        <v>2016</v>
      </c>
      <c r="F6" s="272">
        <v>2017</v>
      </c>
      <c r="G6" s="272">
        <v>2018</v>
      </c>
      <c r="H6" s="272">
        <v>2019</v>
      </c>
      <c r="I6" s="272">
        <v>2020</v>
      </c>
      <c r="J6" s="273">
        <v>2021</v>
      </c>
      <c r="K6" s="274"/>
      <c r="L6" s="592">
        <f>BS!J49+BS!J43+BS!J35+BS!J36+BS!J37+BS!J44</f>
        <v>15338.270742011555</v>
      </c>
      <c r="M6" s="1"/>
      <c r="N6" s="1"/>
      <c r="O6" s="1"/>
      <c r="P6" s="1"/>
      <c r="Q6" s="1"/>
      <c r="R6" s="1"/>
    </row>
    <row r="7" spans="1:18" ht="13.5" customHeight="1">
      <c r="A7" s="1"/>
      <c r="B7" s="1"/>
      <c r="C7" s="1"/>
      <c r="D7" s="275" t="s">
        <v>161</v>
      </c>
      <c r="E7" s="1"/>
      <c r="F7" s="1"/>
      <c r="G7" s="1"/>
      <c r="H7" s="1"/>
      <c r="I7" s="1"/>
      <c r="J7" s="276"/>
      <c r="K7" s="1"/>
      <c r="L7" s="1"/>
      <c r="M7" s="1"/>
      <c r="N7" s="1"/>
      <c r="O7" s="1"/>
      <c r="P7" s="1"/>
      <c r="Q7" s="1"/>
      <c r="R7" s="1"/>
    </row>
    <row r="8" spans="1:18" ht="12.75" customHeight="1">
      <c r="A8" s="1"/>
      <c r="B8" s="1"/>
      <c r="C8" s="1"/>
      <c r="D8" s="275" t="s">
        <v>162</v>
      </c>
      <c r="E8" s="1"/>
      <c r="F8" s="1"/>
      <c r="G8" s="1"/>
      <c r="H8" s="1"/>
      <c r="I8" s="1"/>
      <c r="J8" s="276"/>
      <c r="K8" s="1"/>
      <c r="L8" s="1"/>
      <c r="M8" s="1"/>
      <c r="N8" s="1"/>
      <c r="O8" s="1"/>
      <c r="P8" s="1"/>
      <c r="Q8" s="1"/>
      <c r="R8" s="1"/>
    </row>
    <row r="9" spans="1:18" ht="13.5" customHeight="1">
      <c r="A9" s="1"/>
      <c r="B9" s="1"/>
      <c r="C9" s="1"/>
      <c r="D9" s="200"/>
      <c r="E9" s="1"/>
      <c r="F9" s="561">
        <f t="shared" ref="F9:I9" si="0">(F10-E10)/E10</f>
        <v>2.2425741751084836E-2</v>
      </c>
      <c r="G9" s="560">
        <f t="shared" si="0"/>
        <v>4.4133352367494376E-2</v>
      </c>
      <c r="H9" s="560">
        <f t="shared" si="0"/>
        <v>-0.21185883346544038</v>
      </c>
      <c r="I9" s="560">
        <f t="shared" si="0"/>
        <v>0.44965403964435585</v>
      </c>
      <c r="J9" s="276"/>
      <c r="K9" s="1"/>
      <c r="L9" s="1"/>
      <c r="M9" s="1"/>
      <c r="N9" s="1"/>
      <c r="O9" s="1"/>
      <c r="P9" s="1"/>
      <c r="Q9" s="1"/>
      <c r="R9" s="1"/>
    </row>
    <row r="10" spans="1:18" ht="13.5" customHeight="1">
      <c r="A10" s="1"/>
      <c r="B10" s="1"/>
      <c r="C10" s="1"/>
      <c r="D10" s="200" t="s">
        <v>163</v>
      </c>
      <c r="E10" s="277">
        <v>19485.108</v>
      </c>
      <c r="F10" s="277">
        <v>19922.075999999997</v>
      </c>
      <c r="G10" s="277">
        <v>20801.304</v>
      </c>
      <c r="H10" s="277">
        <v>16394.364000000001</v>
      </c>
      <c r="I10" s="277">
        <v>23766.156000000003</v>
      </c>
      <c r="J10" s="278">
        <f>CF!H60</f>
        <v>29562.79478466728</v>
      </c>
      <c r="K10" s="274"/>
      <c r="L10" s="279">
        <f>I10/lsales</f>
        <v>0.49294082508866915</v>
      </c>
      <c r="M10" s="1"/>
      <c r="N10" s="1"/>
      <c r="O10" s="1"/>
      <c r="P10" s="1"/>
      <c r="Q10" s="1"/>
      <c r="R10" s="1"/>
    </row>
    <row r="11" spans="1:18" ht="13.5" customHeight="1">
      <c r="A11" s="1"/>
      <c r="B11" s="1"/>
      <c r="C11" s="1"/>
      <c r="D11" s="200" t="s">
        <v>164</v>
      </c>
      <c r="E11" s="277">
        <v>4660.2359999999999</v>
      </c>
      <c r="F11" s="277">
        <v>4409.5680000000002</v>
      </c>
      <c r="G11" s="277">
        <v>4653.4319999999998</v>
      </c>
      <c r="H11" s="277">
        <v>5033.5919999999987</v>
      </c>
      <c r="I11" s="277">
        <v>5259.1679999999997</v>
      </c>
      <c r="J11" s="278">
        <f>fsales/365*BS!J89</f>
        <v>6239.0410237323877</v>
      </c>
      <c r="K11" s="1"/>
      <c r="L11" s="1">
        <v>36</v>
      </c>
      <c r="M11" s="1"/>
      <c r="N11" s="1"/>
      <c r="O11" s="1"/>
      <c r="P11" s="1"/>
      <c r="Q11" s="1"/>
      <c r="R11" s="1"/>
    </row>
    <row r="12" spans="1:18" s="551" customFormat="1" ht="13.5" customHeight="1">
      <c r="A12" s="1"/>
      <c r="B12" s="1"/>
      <c r="C12" s="1"/>
      <c r="D12" s="556" t="s">
        <v>339</v>
      </c>
      <c r="E12" s="557">
        <v>1752.5520000000001</v>
      </c>
      <c r="F12" s="557">
        <v>2659.68</v>
      </c>
      <c r="G12" s="557">
        <v>3716.3159999999998</v>
      </c>
      <c r="H12" s="557">
        <v>2987.3159999999998</v>
      </c>
      <c r="I12" s="557">
        <v>4944.7080000000005</v>
      </c>
      <c r="J12" s="590">
        <v>5500</v>
      </c>
      <c r="K12" s="1"/>
      <c r="L12" s="1"/>
      <c r="M12" s="1"/>
      <c r="N12" s="1"/>
      <c r="O12" s="1"/>
      <c r="P12" s="1"/>
      <c r="Q12" s="1"/>
      <c r="R12" s="1"/>
    </row>
    <row r="13" spans="1:18" s="551" customFormat="1" ht="13.5" customHeight="1">
      <c r="A13" s="1"/>
      <c r="B13" s="1"/>
      <c r="C13" s="1"/>
      <c r="D13" s="556" t="s">
        <v>340</v>
      </c>
      <c r="E13" s="557">
        <v>3270.7439999999997</v>
      </c>
      <c r="F13" s="557">
        <v>3454.7759999999998</v>
      </c>
      <c r="G13" s="557">
        <v>4894.7039999999997</v>
      </c>
      <c r="H13" s="557">
        <v>5007.2255999999998</v>
      </c>
      <c r="I13" s="557">
        <v>5111.3159999999998</v>
      </c>
      <c r="J13" s="590">
        <v>5200</v>
      </c>
      <c r="K13" s="1"/>
      <c r="L13" s="1"/>
      <c r="M13" s="1"/>
      <c r="N13" s="1"/>
      <c r="O13" s="1"/>
      <c r="P13" s="1"/>
      <c r="Q13" s="1"/>
      <c r="R13" s="1"/>
    </row>
    <row r="14" spans="1:18" ht="13.5" customHeight="1">
      <c r="A14" s="1"/>
      <c r="B14" s="1"/>
      <c r="C14" s="1"/>
      <c r="D14" s="200" t="s">
        <v>165</v>
      </c>
      <c r="E14" s="277">
        <v>269.60400000000118</v>
      </c>
      <c r="F14" s="277">
        <v>413.20800000000236</v>
      </c>
      <c r="G14" s="277">
        <v>194.61599999999999</v>
      </c>
      <c r="H14" s="277">
        <v>191.55599999999998</v>
      </c>
      <c r="I14" s="277">
        <v>237.27600000000001</v>
      </c>
      <c r="J14" s="278">
        <f>AVERAGE(I14/lrev,H14/IS!$F$8,BS!G14/IS!$E$8,BS!F14/IS!$D$8,BS!E14/IS!$C$8)*fsales</f>
        <v>397.83808981240395</v>
      </c>
      <c r="K14" s="1"/>
      <c r="L14" s="1"/>
      <c r="M14" s="1"/>
      <c r="N14" s="1"/>
      <c r="O14" s="1"/>
      <c r="P14" s="1"/>
      <c r="Q14" s="1"/>
      <c r="R14" s="1"/>
    </row>
    <row r="15" spans="1:18" ht="13.5" customHeight="1">
      <c r="A15" s="64"/>
      <c r="B15" s="64"/>
      <c r="C15" s="64"/>
      <c r="D15" s="275" t="s">
        <v>166</v>
      </c>
      <c r="E15" s="280">
        <f>SUM(E10:E14)</f>
        <v>29438.243999999999</v>
      </c>
      <c r="F15" s="280">
        <f t="shared" ref="F15:J15" si="1">SUM(F10:F14)</f>
        <v>30859.308000000001</v>
      </c>
      <c r="G15" s="280">
        <f t="shared" si="1"/>
        <v>34260.372000000003</v>
      </c>
      <c r="H15" s="280">
        <f t="shared" si="1"/>
        <v>29614.053599999996</v>
      </c>
      <c r="I15" s="280">
        <f t="shared" si="1"/>
        <v>39318.623999999996</v>
      </c>
      <c r="J15" s="280">
        <f t="shared" si="1"/>
        <v>46899.673898212066</v>
      </c>
      <c r="K15" s="64"/>
      <c r="L15" s="64"/>
      <c r="M15" s="64"/>
      <c r="N15" s="64"/>
      <c r="O15" s="64"/>
      <c r="P15" s="64"/>
      <c r="Q15" s="64"/>
      <c r="R15" s="64"/>
    </row>
    <row r="16" spans="1:18" ht="13.5" customHeight="1">
      <c r="A16" s="64"/>
      <c r="B16" s="64"/>
      <c r="C16" s="64"/>
      <c r="D16" s="275"/>
      <c r="E16" s="280"/>
      <c r="F16" s="280"/>
      <c r="G16" s="280"/>
      <c r="H16" s="280"/>
      <c r="I16" s="280"/>
      <c r="J16" s="278"/>
      <c r="K16" s="64"/>
      <c r="L16" s="64"/>
      <c r="M16" s="64"/>
      <c r="N16" s="64"/>
      <c r="O16" s="64"/>
      <c r="P16" s="64"/>
      <c r="Q16" s="64"/>
      <c r="R16" s="64"/>
    </row>
    <row r="17" spans="1:18" ht="13.5" customHeight="1">
      <c r="A17" s="1"/>
      <c r="B17" s="1"/>
      <c r="C17" s="1"/>
      <c r="D17" s="275" t="s">
        <v>167</v>
      </c>
      <c r="E17" s="1"/>
      <c r="F17" s="54"/>
      <c r="G17" s="54"/>
      <c r="H17" s="54"/>
      <c r="I17" s="54"/>
      <c r="J17" s="278"/>
      <c r="K17" s="1"/>
      <c r="L17" s="1"/>
      <c r="M17" s="1"/>
      <c r="N17" s="1"/>
      <c r="O17" s="1"/>
      <c r="P17" s="1"/>
      <c r="Q17" s="1"/>
      <c r="R17" s="1"/>
    </row>
    <row r="18" spans="1:18" ht="13.5" customHeight="1">
      <c r="A18" s="1"/>
      <c r="B18" s="1"/>
      <c r="C18" s="1"/>
      <c r="D18" s="200" t="s">
        <v>168</v>
      </c>
      <c r="E18" s="277">
        <v>35919.972000000002</v>
      </c>
      <c r="F18" s="277">
        <v>38251.511999999995</v>
      </c>
      <c r="G18" s="277">
        <v>38593.799999999996</v>
      </c>
      <c r="H18" s="277">
        <v>48685.572</v>
      </c>
      <c r="I18" s="277">
        <v>56001.203999999998</v>
      </c>
      <c r="J18" s="278">
        <v>67200</v>
      </c>
      <c r="K18" s="567"/>
      <c r="L18" s="1"/>
      <c r="M18" s="1"/>
      <c r="N18" s="1"/>
      <c r="O18" s="1"/>
      <c r="P18" s="1"/>
      <c r="Q18" s="1"/>
      <c r="R18" s="1"/>
    </row>
    <row r="19" spans="1:18" ht="13.5" customHeight="1">
      <c r="A19" s="64"/>
      <c r="B19" s="64"/>
      <c r="C19" s="64"/>
      <c r="D19" s="200" t="s">
        <v>340</v>
      </c>
      <c r="E19" s="277">
        <v>1661.508</v>
      </c>
      <c r="F19" s="277">
        <v>1496.4479999999999</v>
      </c>
      <c r="G19" s="277">
        <v>1054.944</v>
      </c>
      <c r="H19" s="277">
        <v>1086.192</v>
      </c>
      <c r="I19" s="277">
        <v>998.17200000000003</v>
      </c>
      <c r="J19" s="278">
        <v>1440</v>
      </c>
      <c r="K19" s="1"/>
      <c r="L19" s="64"/>
      <c r="M19" s="64"/>
      <c r="N19" s="64"/>
      <c r="O19" s="64"/>
      <c r="P19" s="64"/>
      <c r="Q19" s="64"/>
      <c r="R19" s="64"/>
    </row>
    <row r="20" spans="1:18" s="551" customFormat="1" ht="13.5" customHeight="1">
      <c r="A20" s="64"/>
      <c r="B20" s="64"/>
      <c r="C20" s="64"/>
      <c r="D20" s="556" t="s">
        <v>355</v>
      </c>
      <c r="E20" s="557">
        <v>0</v>
      </c>
      <c r="F20" s="557">
        <v>0</v>
      </c>
      <c r="G20" s="557">
        <v>0</v>
      </c>
      <c r="H20" s="557">
        <v>620.35199999999998</v>
      </c>
      <c r="I20" s="557">
        <v>998.20800000000008</v>
      </c>
      <c r="J20" s="590">
        <v>1460</v>
      </c>
      <c r="K20" s="1"/>
      <c r="L20" s="64"/>
      <c r="M20" s="64"/>
      <c r="N20" s="64"/>
      <c r="O20" s="64"/>
      <c r="P20" s="64"/>
      <c r="Q20" s="64"/>
      <c r="R20" s="64"/>
    </row>
    <row r="21" spans="1:18" ht="13.5" customHeight="1">
      <c r="A21" s="1"/>
      <c r="B21" s="1"/>
      <c r="C21" s="1"/>
      <c r="D21" s="200" t="s">
        <v>169</v>
      </c>
      <c r="E21" s="277">
        <v>526.10400000000004</v>
      </c>
      <c r="F21" s="277">
        <v>510.3</v>
      </c>
      <c r="G21" s="277">
        <v>612.072</v>
      </c>
      <c r="H21" s="277">
        <v>743.50799999999992</v>
      </c>
      <c r="I21" s="277">
        <v>927.64800000000002</v>
      </c>
      <c r="J21" s="278">
        <f>fsales*J95</f>
        <v>1100.4847016834799</v>
      </c>
      <c r="K21" s="1"/>
      <c r="L21" s="1"/>
      <c r="M21" s="1"/>
      <c r="N21" s="1"/>
      <c r="O21" s="1"/>
      <c r="P21" s="1"/>
      <c r="Q21" s="1"/>
      <c r="R21" s="1"/>
    </row>
    <row r="22" spans="1:18" ht="13.5" customHeight="1">
      <c r="A22" s="1"/>
      <c r="B22" s="1"/>
      <c r="C22" s="1"/>
      <c r="D22" s="200" t="s">
        <v>342</v>
      </c>
      <c r="E22" s="277">
        <v>14.687999999999999</v>
      </c>
      <c r="F22" s="277">
        <v>46.187999999999995</v>
      </c>
      <c r="G22" s="277">
        <v>61.199999999999996</v>
      </c>
      <c r="H22" s="277">
        <v>75.06</v>
      </c>
      <c r="I22" s="277">
        <v>48.347999999999999</v>
      </c>
      <c r="J22" s="278">
        <f>I22</f>
        <v>48.347999999999999</v>
      </c>
      <c r="K22" s="1"/>
      <c r="L22" s="1"/>
      <c r="M22" s="1"/>
      <c r="N22" s="1"/>
      <c r="O22" s="1"/>
      <c r="P22" s="1"/>
      <c r="Q22" s="1"/>
      <c r="R22" s="1"/>
    </row>
    <row r="23" spans="1:18" ht="13.5" customHeight="1">
      <c r="A23" s="1"/>
      <c r="B23" s="1"/>
      <c r="C23" s="1"/>
      <c r="D23" s="200" t="s">
        <v>341</v>
      </c>
      <c r="E23" s="277">
        <v>297.75600000000003</v>
      </c>
      <c r="F23" s="277">
        <v>435.78000000000003</v>
      </c>
      <c r="G23" s="277">
        <v>605.01600000000008</v>
      </c>
      <c r="H23" s="277">
        <v>645.40800000000002</v>
      </c>
      <c r="I23" s="277">
        <v>934.48799999999994</v>
      </c>
      <c r="J23" s="278">
        <f>fsales*J97</f>
        <v>1108.5991107691621</v>
      </c>
      <c r="K23" s="1"/>
      <c r="L23" s="1"/>
      <c r="M23" s="1"/>
      <c r="N23" s="1"/>
      <c r="O23" s="1"/>
      <c r="P23" s="1"/>
      <c r="Q23" s="1"/>
      <c r="R23" s="1"/>
    </row>
    <row r="24" spans="1:18" ht="13.5" customHeight="1">
      <c r="A24" s="1"/>
      <c r="B24" s="1"/>
      <c r="C24" s="1"/>
      <c r="D24" s="200" t="s">
        <v>343</v>
      </c>
      <c r="E24" s="277">
        <v>54</v>
      </c>
      <c r="F24" s="277">
        <v>107.38800000000001</v>
      </c>
      <c r="G24" s="277">
        <v>57.06</v>
      </c>
      <c r="H24" s="277">
        <v>62.748000000000005</v>
      </c>
      <c r="I24" s="277">
        <v>158.79599999999999</v>
      </c>
      <c r="J24" s="278">
        <f>fsales*J96</f>
        <v>0</v>
      </c>
      <c r="K24" s="1"/>
      <c r="L24" s="1"/>
      <c r="M24" s="1"/>
      <c r="N24" s="1"/>
      <c r="O24" s="1"/>
      <c r="P24" s="1"/>
      <c r="Q24" s="1"/>
      <c r="R24" s="1"/>
    </row>
    <row r="25" spans="1:18" ht="13.5" customHeight="1">
      <c r="A25" s="1"/>
      <c r="B25" s="1"/>
      <c r="C25" s="1"/>
      <c r="D25" s="275" t="s">
        <v>170</v>
      </c>
      <c r="E25" s="55">
        <f t="shared" ref="E25:J25" si="2">SUM(E18:E24)</f>
        <v>38474.028000000006</v>
      </c>
      <c r="F25" s="55">
        <f t="shared" si="2"/>
        <v>40847.615999999995</v>
      </c>
      <c r="G25" s="55">
        <f t="shared" si="2"/>
        <v>40984.091999999997</v>
      </c>
      <c r="H25" s="55">
        <f t="shared" si="2"/>
        <v>51918.840000000004</v>
      </c>
      <c r="I25" s="55">
        <f t="shared" si="2"/>
        <v>60066.863999999994</v>
      </c>
      <c r="J25" s="55">
        <f t="shared" si="2"/>
        <v>72357.431812452647</v>
      </c>
      <c r="K25" s="1"/>
      <c r="L25" s="1"/>
      <c r="M25" s="1"/>
      <c r="N25" s="1"/>
      <c r="O25" s="1"/>
      <c r="P25" s="1"/>
      <c r="Q25" s="1"/>
      <c r="R25" s="1"/>
    </row>
    <row r="26" spans="1:18" ht="13.5" customHeight="1">
      <c r="A26" s="64"/>
      <c r="B26" s="64"/>
      <c r="C26" s="64"/>
      <c r="D26" s="275" t="s">
        <v>171</v>
      </c>
      <c r="E26" s="280">
        <f t="shared" ref="E26:J26" si="3">E25+E15</f>
        <v>67912.271999999997</v>
      </c>
      <c r="F26" s="280">
        <f t="shared" si="3"/>
        <v>71706.923999999999</v>
      </c>
      <c r="G26" s="280">
        <f t="shared" si="3"/>
        <v>75244.464000000007</v>
      </c>
      <c r="H26" s="280">
        <f t="shared" si="3"/>
        <v>81532.893599999996</v>
      </c>
      <c r="I26" s="280">
        <f t="shared" si="3"/>
        <v>99385.487999999983</v>
      </c>
      <c r="J26" s="280">
        <f t="shared" si="3"/>
        <v>119257.10571066471</v>
      </c>
      <c r="K26" s="64"/>
      <c r="L26" s="64"/>
      <c r="M26" s="64"/>
      <c r="N26" s="64"/>
      <c r="O26" s="64"/>
      <c r="P26" s="64"/>
      <c r="Q26" s="64"/>
      <c r="R26" s="64"/>
    </row>
    <row r="27" spans="1:18" ht="13.5" customHeight="1">
      <c r="A27" s="1"/>
      <c r="B27" s="1"/>
      <c r="C27" s="1"/>
      <c r="D27" s="275"/>
      <c r="E27" s="52"/>
      <c r="F27" s="52"/>
      <c r="G27" s="52"/>
      <c r="H27" s="52"/>
      <c r="I27" s="50"/>
      <c r="J27" s="278"/>
      <c r="K27" s="1"/>
      <c r="L27" s="1"/>
      <c r="M27" s="1"/>
      <c r="N27" s="1"/>
      <c r="O27" s="1"/>
      <c r="P27" s="1"/>
      <c r="Q27" s="1"/>
      <c r="R27" s="1"/>
    </row>
    <row r="28" spans="1:18" ht="13.5" customHeight="1">
      <c r="A28" s="1"/>
      <c r="B28" s="1"/>
      <c r="C28" s="1"/>
      <c r="D28" s="275" t="s">
        <v>172</v>
      </c>
      <c r="E28" s="52"/>
      <c r="F28" s="52"/>
      <c r="G28" s="52"/>
      <c r="H28" s="52"/>
      <c r="I28" s="50"/>
      <c r="J28" s="278"/>
      <c r="K28" s="1"/>
      <c r="L28" s="281" t="s">
        <v>173</v>
      </c>
      <c r="M28" s="281"/>
      <c r="N28" s="1"/>
      <c r="O28" s="1"/>
      <c r="P28" s="1"/>
      <c r="Q28" s="1"/>
      <c r="R28" s="1"/>
    </row>
    <row r="29" spans="1:18" ht="12.75" customHeight="1">
      <c r="A29" s="1"/>
      <c r="B29" s="1"/>
      <c r="C29" s="1"/>
      <c r="D29" s="275" t="s">
        <v>174</v>
      </c>
      <c r="E29" s="52"/>
      <c r="F29" s="52"/>
      <c r="G29" s="52"/>
      <c r="H29" s="52"/>
      <c r="I29" s="50"/>
      <c r="J29" s="278"/>
      <c r="K29" s="1"/>
      <c r="L29" s="1" t="s">
        <v>175</v>
      </c>
      <c r="M29" s="1"/>
      <c r="N29" s="1"/>
      <c r="O29" s="1"/>
      <c r="P29" s="1"/>
      <c r="Q29" s="1"/>
      <c r="R29" s="1"/>
    </row>
    <row r="30" spans="1:18" ht="13.5" customHeight="1">
      <c r="A30" s="1"/>
      <c r="B30" s="1"/>
      <c r="C30" s="1"/>
      <c r="D30" s="200" t="s">
        <v>176</v>
      </c>
      <c r="E30" s="277">
        <v>983.52</v>
      </c>
      <c r="F30" s="277">
        <v>1082.376</v>
      </c>
      <c r="G30" s="277">
        <v>1236.8519999999999</v>
      </c>
      <c r="H30" s="277">
        <v>1447.4160000000002</v>
      </c>
      <c r="I30" s="277">
        <v>1479.42</v>
      </c>
      <c r="J30" s="278">
        <f>fsales/365*J92</f>
        <v>1755.0612704005976</v>
      </c>
      <c r="K30" s="1"/>
      <c r="L30" s="1"/>
      <c r="M30" s="1"/>
      <c r="N30" s="1"/>
      <c r="O30" s="1"/>
      <c r="P30" s="1"/>
      <c r="Q30" s="1"/>
      <c r="R30" s="1"/>
    </row>
    <row r="31" spans="1:18" s="551" customFormat="1" ht="13.5" customHeight="1">
      <c r="A31" s="1"/>
      <c r="B31" s="1"/>
      <c r="C31" s="1"/>
      <c r="D31" s="556" t="s">
        <v>348</v>
      </c>
      <c r="E31" s="557">
        <v>6.84</v>
      </c>
      <c r="F31" s="557">
        <v>1.5119999999999998</v>
      </c>
      <c r="G31" s="557">
        <v>7.056</v>
      </c>
      <c r="H31" s="557">
        <v>35.423999999999999</v>
      </c>
      <c r="I31" s="557">
        <v>3.42</v>
      </c>
      <c r="J31" s="558">
        <v>28.8</v>
      </c>
      <c r="K31" s="1"/>
      <c r="L31" s="1"/>
      <c r="M31" s="1"/>
      <c r="N31" s="1"/>
      <c r="O31" s="1"/>
      <c r="P31" s="1"/>
      <c r="Q31" s="1"/>
      <c r="R31" s="1"/>
    </row>
    <row r="32" spans="1:18" ht="13.5" customHeight="1">
      <c r="A32" s="1"/>
      <c r="B32" s="1"/>
      <c r="C32" s="1"/>
      <c r="D32" s="200" t="s">
        <v>177</v>
      </c>
      <c r="E32" s="277">
        <v>1316.9160000000002</v>
      </c>
      <c r="F32" s="277">
        <v>2361.1679999999997</v>
      </c>
      <c r="G32" s="277">
        <v>2223.3960000000002</v>
      </c>
      <c r="H32" s="277">
        <v>2029.4279999999999</v>
      </c>
      <c r="I32" s="277">
        <v>3156.5880000000002</v>
      </c>
      <c r="J32" s="278">
        <f>L32*fsales</f>
        <v>3744.7143782098942</v>
      </c>
      <c r="K32" s="1"/>
      <c r="L32" s="279">
        <f>I32/lsales</f>
        <v>6.5471719245846563E-2</v>
      </c>
      <c r="M32" s="1"/>
      <c r="N32" s="1"/>
      <c r="O32" s="1"/>
      <c r="P32" s="1"/>
      <c r="Q32" s="1"/>
      <c r="R32" s="1"/>
    </row>
    <row r="33" spans="1:18" ht="27.6">
      <c r="A33" s="64"/>
      <c r="B33" s="64"/>
      <c r="C33" s="64"/>
      <c r="D33" s="562" t="s">
        <v>344</v>
      </c>
      <c r="E33" s="277">
        <v>1316.52</v>
      </c>
      <c r="F33" s="277">
        <v>1356.1200000000001</v>
      </c>
      <c r="G33" s="277">
        <v>1384.2719999999999</v>
      </c>
      <c r="H33" s="277">
        <v>1437.1559999999999</v>
      </c>
      <c r="I33" s="277">
        <v>2007.0719999999999</v>
      </c>
      <c r="J33" s="278">
        <f>AVERAGE(I33/lrev,H33/IS!$F$8,BS!G33/IS!$E$8,BS!F33/IS!$D$8,BS!E33/IS!$C$8)*fsales</f>
        <v>2211.5980062143526</v>
      </c>
      <c r="K33" s="1"/>
      <c r="L33" s="279"/>
      <c r="M33" s="64"/>
      <c r="N33" s="64"/>
      <c r="O33" s="64"/>
      <c r="P33" s="64"/>
      <c r="Q33" s="64"/>
      <c r="R33" s="64"/>
    </row>
    <row r="34" spans="1:18" ht="13.5" customHeight="1">
      <c r="A34" s="1"/>
      <c r="B34" s="1"/>
      <c r="C34" s="1"/>
      <c r="D34" s="200" t="s">
        <v>347</v>
      </c>
      <c r="E34" s="277">
        <v>2273.5440000000003</v>
      </c>
      <c r="F34" s="277">
        <v>2006.0639999999999</v>
      </c>
      <c r="G34" s="277">
        <v>1552.788</v>
      </c>
      <c r="H34" s="277">
        <v>5069.1959999999999</v>
      </c>
      <c r="I34" s="277">
        <v>5680.9800000000005</v>
      </c>
      <c r="J34" s="278">
        <f>L34*fsales</f>
        <v>6739.4438198215439</v>
      </c>
      <c r="K34" s="1"/>
      <c r="L34" s="279">
        <f>I34/lsales</f>
        <v>0.1178308754900131</v>
      </c>
      <c r="M34" s="1"/>
      <c r="N34" s="1"/>
      <c r="O34" s="1"/>
      <c r="P34" s="1"/>
      <c r="Q34" s="1"/>
      <c r="R34" s="1"/>
    </row>
    <row r="35" spans="1:18" ht="13.5" customHeight="1">
      <c r="A35" s="1"/>
      <c r="B35" s="1"/>
      <c r="C35" s="1"/>
      <c r="D35" s="200" t="s">
        <v>346</v>
      </c>
      <c r="E35" s="277">
        <v>649.36800000000005</v>
      </c>
      <c r="F35" s="277">
        <v>502.63200000000001</v>
      </c>
      <c r="G35" s="277">
        <v>0</v>
      </c>
      <c r="H35" s="277">
        <v>0</v>
      </c>
      <c r="I35" s="277">
        <v>0</v>
      </c>
      <c r="J35" s="278">
        <f>L35*fsales</f>
        <v>0</v>
      </c>
      <c r="K35" s="1"/>
      <c r="L35" s="279">
        <f>I35/lsales</f>
        <v>0</v>
      </c>
      <c r="M35" s="1"/>
      <c r="N35" s="1"/>
      <c r="O35" s="1"/>
      <c r="P35" s="1"/>
      <c r="Q35" s="1"/>
      <c r="R35" s="1"/>
    </row>
    <row r="36" spans="1:18" ht="13.5" customHeight="1">
      <c r="A36" s="1"/>
      <c r="B36" s="1"/>
      <c r="C36" s="1"/>
      <c r="D36" s="200" t="s">
        <v>345</v>
      </c>
      <c r="E36" s="277">
        <v>1371.96</v>
      </c>
      <c r="F36" s="277">
        <v>2102.4360000000001</v>
      </c>
      <c r="G36" s="277">
        <v>1256.3999999999999</v>
      </c>
      <c r="H36" s="277">
        <v>1144.8</v>
      </c>
      <c r="I36" s="277">
        <v>93.600000000000009</v>
      </c>
      <c r="J36" s="591">
        <v>0</v>
      </c>
      <c r="K36" s="1"/>
      <c r="L36" s="279"/>
      <c r="M36" s="1"/>
      <c r="N36" s="1"/>
      <c r="O36" s="1"/>
      <c r="P36" s="1"/>
      <c r="Q36" s="1"/>
      <c r="R36" s="1"/>
    </row>
    <row r="37" spans="1:18" ht="13.5" customHeight="1">
      <c r="A37" s="1"/>
      <c r="B37" s="1"/>
      <c r="C37" s="1"/>
      <c r="D37" s="200" t="s">
        <v>178</v>
      </c>
      <c r="E37" s="277">
        <v>2086.4879999999998</v>
      </c>
      <c r="F37" s="277">
        <v>2295.6120000000001</v>
      </c>
      <c r="G37" s="277">
        <v>3195.18</v>
      </c>
      <c r="H37" s="277">
        <v>4266.7920000000004</v>
      </c>
      <c r="I37" s="277">
        <v>3188.1239999999998</v>
      </c>
      <c r="J37" s="591">
        <v>3960</v>
      </c>
      <c r="K37" s="567"/>
      <c r="L37" s="279"/>
      <c r="M37" s="1"/>
      <c r="N37" s="1"/>
      <c r="O37" s="1"/>
      <c r="P37" s="1"/>
      <c r="Q37" s="1"/>
      <c r="R37" s="1"/>
    </row>
    <row r="38" spans="1:18" ht="13.5" customHeight="1">
      <c r="A38" s="1"/>
      <c r="B38" s="1"/>
      <c r="C38" s="1"/>
      <c r="D38" s="200" t="s">
        <v>179</v>
      </c>
      <c r="E38" s="277">
        <v>1451.0159999999998</v>
      </c>
      <c r="F38" s="277">
        <v>1205.2439999999999</v>
      </c>
      <c r="G38" s="277">
        <v>1403.5320000000002</v>
      </c>
      <c r="H38" s="277">
        <v>1168.7760000000001</v>
      </c>
      <c r="I38" s="277">
        <v>1940.7239999999999</v>
      </c>
      <c r="J38" s="278">
        <v>1980</v>
      </c>
      <c r="K38" s="1"/>
      <c r="L38" s="279"/>
      <c r="M38" s="1"/>
      <c r="N38" s="1"/>
      <c r="O38" s="1"/>
      <c r="P38" s="1"/>
      <c r="Q38" s="1"/>
      <c r="R38" s="1"/>
    </row>
    <row r="39" spans="1:18" s="551" customFormat="1" ht="13.5" customHeight="1">
      <c r="A39" s="1"/>
      <c r="B39" s="1"/>
      <c r="C39" s="1"/>
      <c r="D39" s="556" t="s">
        <v>356</v>
      </c>
      <c r="E39" s="557">
        <v>0</v>
      </c>
      <c r="F39" s="557">
        <v>0</v>
      </c>
      <c r="G39" s="557">
        <v>0</v>
      </c>
      <c r="H39" s="277">
        <v>4667.4719999999998</v>
      </c>
      <c r="I39" s="277">
        <v>4667.4719999999998</v>
      </c>
      <c r="J39" s="559">
        <v>5148</v>
      </c>
      <c r="K39" s="1"/>
      <c r="L39" s="279"/>
      <c r="M39" s="1"/>
      <c r="N39" s="1"/>
      <c r="O39" s="1"/>
      <c r="P39" s="1"/>
      <c r="Q39" s="1"/>
      <c r="R39" s="1"/>
    </row>
    <row r="40" spans="1:18" ht="13.5" customHeight="1">
      <c r="A40" s="64"/>
      <c r="B40" s="64"/>
      <c r="C40" s="64"/>
      <c r="D40" s="275" t="s">
        <v>180</v>
      </c>
      <c r="E40" s="280">
        <f t="shared" ref="E40:G40" si="4">SUM(E30:E39)</f>
        <v>11456.172</v>
      </c>
      <c r="F40" s="280">
        <f t="shared" si="4"/>
        <v>12913.163999999999</v>
      </c>
      <c r="G40" s="280">
        <f t="shared" si="4"/>
        <v>12259.475999999999</v>
      </c>
      <c r="H40" s="280">
        <f>SUM(H30:H39)</f>
        <v>21266.46</v>
      </c>
      <c r="I40" s="280">
        <f>SUM(I30:I39)</f>
        <v>22217.4</v>
      </c>
      <c r="J40" s="280">
        <f>SUM(J30:J39)</f>
        <v>25567.617474646388</v>
      </c>
      <c r="K40" s="64"/>
      <c r="L40" s="64"/>
      <c r="M40" s="64"/>
      <c r="N40" s="64"/>
      <c r="O40" s="64"/>
      <c r="P40" s="64"/>
      <c r="Q40" s="64"/>
      <c r="R40" s="64"/>
    </row>
    <row r="41" spans="1:18" ht="13.5" customHeight="1">
      <c r="A41" s="64"/>
      <c r="B41" s="64"/>
      <c r="C41" s="64"/>
      <c r="D41" s="275"/>
      <c r="E41" s="280"/>
      <c r="F41" s="280"/>
      <c r="G41" s="280"/>
      <c r="H41" s="280"/>
      <c r="I41" s="280"/>
      <c r="J41" s="278"/>
      <c r="K41" s="64"/>
      <c r="L41" s="64"/>
      <c r="M41" s="64"/>
      <c r="N41" s="64"/>
      <c r="O41" s="64"/>
      <c r="P41" s="64"/>
      <c r="Q41" s="64"/>
      <c r="R41" s="64"/>
    </row>
    <row r="42" spans="1:18" ht="13.5" customHeight="1">
      <c r="A42" s="1"/>
      <c r="B42" s="1"/>
      <c r="C42" s="1"/>
      <c r="D42" s="275" t="s">
        <v>181</v>
      </c>
      <c r="E42" s="50"/>
      <c r="F42" s="50"/>
      <c r="G42" s="50"/>
      <c r="H42" s="52"/>
      <c r="I42" s="50"/>
      <c r="J42" s="278"/>
      <c r="K42" s="1"/>
      <c r="L42" s="1"/>
      <c r="M42" s="1"/>
      <c r="N42" s="1"/>
      <c r="O42" s="1"/>
      <c r="P42" s="1"/>
      <c r="Q42" s="1"/>
      <c r="R42" s="1"/>
    </row>
    <row r="43" spans="1:18" ht="13.5" customHeight="1">
      <c r="A43" s="1"/>
      <c r="B43" s="1"/>
      <c r="C43" s="1"/>
      <c r="D43" s="200" t="s">
        <v>182</v>
      </c>
      <c r="E43" s="277">
        <v>0.79199999999999993</v>
      </c>
      <c r="F43" s="277">
        <v>0</v>
      </c>
      <c r="G43" s="277">
        <v>0</v>
      </c>
      <c r="H43" s="277">
        <v>0</v>
      </c>
      <c r="I43" s="277">
        <v>70.811999999999998</v>
      </c>
      <c r="J43" s="278">
        <f>AVERAGE(I43/lrev,H43/IS!$F$8,BS!G43/IS!$E$8,BS!F43/IS!$D$8,BS!E43/IS!$C$8)*fsales</f>
        <v>17.066581147787144</v>
      </c>
      <c r="K43" s="1"/>
      <c r="L43" s="1"/>
      <c r="M43" s="1"/>
      <c r="N43" s="1"/>
      <c r="O43" s="1"/>
      <c r="P43" s="1"/>
      <c r="Q43" s="1"/>
      <c r="R43" s="1"/>
    </row>
    <row r="44" spans="1:18" ht="13.5" customHeight="1">
      <c r="A44" s="1"/>
      <c r="B44" s="1"/>
      <c r="C44" s="1"/>
      <c r="D44" s="200" t="s">
        <v>349</v>
      </c>
      <c r="E44" s="277">
        <v>5511.384</v>
      </c>
      <c r="F44" s="277">
        <v>3304.7999999999997</v>
      </c>
      <c r="G44" s="277">
        <v>2048.4</v>
      </c>
      <c r="H44" s="277">
        <v>903.6</v>
      </c>
      <c r="I44" s="277">
        <v>9147.7799999999988</v>
      </c>
      <c r="J44" s="278">
        <f>L44*fsales</f>
        <v>10852.168003775249</v>
      </c>
      <c r="K44" s="1"/>
      <c r="L44" s="279">
        <f>I44/lsales</f>
        <v>0.18973679298114618</v>
      </c>
      <c r="M44" s="1"/>
      <c r="N44" s="1"/>
      <c r="O44" s="1"/>
      <c r="P44" s="1"/>
      <c r="Q44" s="1"/>
      <c r="R44" s="1"/>
    </row>
    <row r="45" spans="1:18" s="551" customFormat="1" ht="13.5" customHeight="1">
      <c r="A45" s="1"/>
      <c r="B45" s="1"/>
      <c r="C45" s="1"/>
      <c r="D45" s="556" t="s">
        <v>351</v>
      </c>
      <c r="E45" s="557">
        <v>528.12</v>
      </c>
      <c r="F45" s="557">
        <v>273.13200000000001</v>
      </c>
      <c r="G45" s="557">
        <v>120.70800000000001</v>
      </c>
      <c r="H45" s="557">
        <v>6.3359999999999994</v>
      </c>
      <c r="I45" s="557">
        <v>9.5760000000000005</v>
      </c>
      <c r="J45" s="590">
        <v>9</v>
      </c>
      <c r="K45" s="1"/>
      <c r="L45" s="279"/>
      <c r="M45" s="1"/>
      <c r="N45" s="1"/>
      <c r="O45" s="1"/>
      <c r="P45" s="1"/>
      <c r="Q45" s="1"/>
      <c r="R45" s="1"/>
    </row>
    <row r="46" spans="1:18" s="551" customFormat="1" ht="13.5" customHeight="1">
      <c r="A46" s="1"/>
      <c r="B46" s="1"/>
      <c r="C46" s="1"/>
      <c r="D46" s="556" t="s">
        <v>357</v>
      </c>
      <c r="E46" s="557">
        <v>0</v>
      </c>
      <c r="F46" s="557">
        <v>0</v>
      </c>
      <c r="G46" s="557">
        <v>0</v>
      </c>
      <c r="H46" s="557">
        <v>541.51199999999994</v>
      </c>
      <c r="I46" s="557">
        <v>740.16</v>
      </c>
      <c r="J46" s="590">
        <v>916.92</v>
      </c>
      <c r="K46" s="1"/>
      <c r="L46" s="279"/>
      <c r="M46" s="1"/>
      <c r="N46" s="1"/>
      <c r="O46" s="1"/>
      <c r="P46" s="1"/>
      <c r="Q46" s="1"/>
      <c r="R46" s="1"/>
    </row>
    <row r="47" spans="1:18" ht="13.5" customHeight="1">
      <c r="A47" s="1"/>
      <c r="B47" s="1"/>
      <c r="C47" s="1"/>
      <c r="D47" s="200" t="s">
        <v>183</v>
      </c>
      <c r="E47" s="277">
        <v>60.731999999999999</v>
      </c>
      <c r="F47" s="277">
        <v>66.816000000000003</v>
      </c>
      <c r="G47" s="277">
        <v>70.236000000000004</v>
      </c>
      <c r="H47" s="277">
        <v>76.608000000000004</v>
      </c>
      <c r="I47" s="277">
        <v>86.22</v>
      </c>
      <c r="J47" s="278">
        <f>AVERAGE(I47/lrev,H47/IS!$F$8,BS!G47/IS!$E$8,BS!F47/IS!$D$8,BS!E47/IS!$C$8)*fsales</f>
        <v>106.92276329348509</v>
      </c>
      <c r="K47" s="1"/>
      <c r="L47" s="1"/>
      <c r="M47" s="1"/>
      <c r="N47" s="1"/>
      <c r="O47" s="1"/>
      <c r="P47" s="1"/>
      <c r="Q47" s="1"/>
      <c r="R47" s="1"/>
    </row>
    <row r="48" spans="1:18" ht="13.5" customHeight="1">
      <c r="A48" s="1"/>
      <c r="B48" s="1"/>
      <c r="C48" s="1"/>
      <c r="D48" s="200" t="s">
        <v>184</v>
      </c>
      <c r="E48" s="277">
        <v>5.1119999999999992</v>
      </c>
      <c r="F48" s="277">
        <v>10.872</v>
      </c>
      <c r="G48" s="277">
        <v>8.3879999999999999</v>
      </c>
      <c r="H48" s="277">
        <v>12.383999999999999</v>
      </c>
      <c r="I48" s="277">
        <v>62.28</v>
      </c>
      <c r="J48" s="278">
        <f>L48*fsales</f>
        <v>73.883830095949236</v>
      </c>
      <c r="K48" s="1"/>
      <c r="L48" s="279">
        <f>I48/lsales</f>
        <v>1.2917677804741461E-3</v>
      </c>
      <c r="M48" s="1"/>
      <c r="N48" s="1"/>
      <c r="O48" s="1"/>
      <c r="P48" s="1"/>
      <c r="Q48" s="1"/>
      <c r="R48" s="1"/>
    </row>
    <row r="49" spans="1:18" ht="13.5" customHeight="1">
      <c r="A49" s="64"/>
      <c r="B49" s="64"/>
      <c r="C49" s="64"/>
      <c r="D49" s="200" t="s">
        <v>350</v>
      </c>
      <c r="E49" s="277">
        <v>307.83600000000001</v>
      </c>
      <c r="F49" s="277">
        <v>318.63600000000002</v>
      </c>
      <c r="G49" s="277">
        <v>347.43599999999998</v>
      </c>
      <c r="H49" s="277">
        <v>330.55200000000002</v>
      </c>
      <c r="I49" s="277">
        <v>428.904</v>
      </c>
      <c r="J49" s="278">
        <f>L49*fsales+0.22</f>
        <v>509.03615708851976</v>
      </c>
      <c r="K49" s="64"/>
      <c r="L49" s="279">
        <f>I49/lsales</f>
        <v>8.8960238939705064E-3</v>
      </c>
      <c r="M49" s="64"/>
      <c r="N49" s="64"/>
      <c r="O49" s="64"/>
      <c r="P49" s="64"/>
      <c r="Q49" s="64"/>
      <c r="R49" s="64"/>
    </row>
    <row r="50" spans="1:18" ht="13.5" customHeight="1">
      <c r="A50" s="64"/>
      <c r="B50" s="64"/>
      <c r="C50" s="64"/>
      <c r="D50" s="275" t="s">
        <v>185</v>
      </c>
      <c r="E50" s="280">
        <f t="shared" ref="E50:J50" si="5">SUM(E43:E49)</f>
        <v>6413.9760000000006</v>
      </c>
      <c r="F50" s="280">
        <f t="shared" si="5"/>
        <v>3974.2559999999994</v>
      </c>
      <c r="G50" s="280">
        <f t="shared" si="5"/>
        <v>2595.1680000000001</v>
      </c>
      <c r="H50" s="280">
        <f t="shared" si="5"/>
        <v>1870.9919999999997</v>
      </c>
      <c r="I50" s="280">
        <f t="shared" si="5"/>
        <v>10545.731999999998</v>
      </c>
      <c r="J50" s="280">
        <f t="shared" si="5"/>
        <v>12484.997335400989</v>
      </c>
      <c r="K50" s="64"/>
      <c r="L50" s="64"/>
      <c r="M50" s="64"/>
      <c r="N50" s="64"/>
      <c r="O50" s="64"/>
      <c r="P50" s="64"/>
      <c r="Q50" s="64"/>
      <c r="R50" s="64"/>
    </row>
    <row r="51" spans="1:18" ht="13.5" customHeight="1">
      <c r="A51" s="64"/>
      <c r="B51" s="64"/>
      <c r="C51" s="64"/>
      <c r="D51" s="275" t="s">
        <v>186</v>
      </c>
      <c r="E51" s="280">
        <f t="shared" ref="E51:J51" si="6">E50+E40</f>
        <v>17870.148000000001</v>
      </c>
      <c r="F51" s="280">
        <f t="shared" si="6"/>
        <v>16887.419999999998</v>
      </c>
      <c r="G51" s="280">
        <f t="shared" si="6"/>
        <v>14854.643999999998</v>
      </c>
      <c r="H51" s="280">
        <f t="shared" si="6"/>
        <v>23137.451999999997</v>
      </c>
      <c r="I51" s="280">
        <f t="shared" si="6"/>
        <v>32763.131999999998</v>
      </c>
      <c r="J51" s="280">
        <f t="shared" si="6"/>
        <v>38052.61481004738</v>
      </c>
      <c r="K51" s="64"/>
      <c r="L51" s="64"/>
      <c r="M51" s="64"/>
      <c r="N51" s="64"/>
      <c r="O51" s="64"/>
      <c r="P51" s="64"/>
      <c r="Q51" s="64"/>
      <c r="R51" s="64"/>
    </row>
    <row r="52" spans="1:18" ht="13.5" customHeight="1">
      <c r="A52" s="64"/>
      <c r="B52" s="64"/>
      <c r="C52" s="64"/>
      <c r="D52" s="275"/>
      <c r="E52" s="280"/>
      <c r="F52" s="280"/>
      <c r="G52" s="280"/>
      <c r="H52" s="280"/>
      <c r="I52" s="280"/>
      <c r="J52" s="278"/>
      <c r="K52" s="64"/>
      <c r="L52" s="64"/>
      <c r="M52" s="64"/>
      <c r="N52" s="64"/>
      <c r="O52" s="64"/>
      <c r="P52" s="64"/>
      <c r="Q52" s="64"/>
      <c r="R52" s="64"/>
    </row>
    <row r="53" spans="1:18" ht="13.5" customHeight="1">
      <c r="A53" s="1"/>
      <c r="B53" s="1"/>
      <c r="C53" s="1"/>
      <c r="D53" s="275" t="s">
        <v>187</v>
      </c>
      <c r="E53" s="50"/>
      <c r="F53" s="50"/>
      <c r="G53" s="50"/>
      <c r="H53" s="52"/>
      <c r="I53" s="50"/>
      <c r="J53" s="278"/>
      <c r="K53" s="1"/>
      <c r="L53" s="1"/>
      <c r="M53" s="1"/>
      <c r="N53" s="1"/>
      <c r="O53" s="1"/>
      <c r="P53" s="1"/>
      <c r="Q53" s="1"/>
      <c r="R53" s="1"/>
    </row>
    <row r="54" spans="1:18" ht="13.5" customHeight="1">
      <c r="A54" s="1"/>
      <c r="B54" s="1"/>
      <c r="C54" s="1"/>
      <c r="D54" s="200" t="s">
        <v>188</v>
      </c>
      <c r="E54" s="277">
        <v>9334.9439999999995</v>
      </c>
      <c r="F54" s="277">
        <v>9334.9439999999995</v>
      </c>
      <c r="G54" s="277">
        <v>9334.9439999999995</v>
      </c>
      <c r="H54" s="277">
        <v>9334.9439999999995</v>
      </c>
      <c r="I54" s="277">
        <v>9334.9439999999995</v>
      </c>
      <c r="J54" s="278">
        <f>I54</f>
        <v>9334.9439999999995</v>
      </c>
      <c r="K54" s="1"/>
      <c r="L54" s="1"/>
      <c r="M54" s="1"/>
      <c r="N54" s="1"/>
      <c r="O54" s="1"/>
      <c r="P54" s="1"/>
      <c r="Q54" s="1"/>
      <c r="R54" s="1"/>
    </row>
    <row r="55" spans="1:18" ht="13.5" customHeight="1">
      <c r="A55" s="1"/>
      <c r="B55" s="1"/>
      <c r="C55" s="1"/>
      <c r="D55" s="200" t="s">
        <v>352</v>
      </c>
      <c r="E55" s="277">
        <v>2025.7919999999999</v>
      </c>
      <c r="F55" s="277">
        <v>2027.1239999999998</v>
      </c>
      <c r="G55" s="277">
        <v>2027.3760000000002</v>
      </c>
      <c r="H55" s="277">
        <v>2028.2400000000002</v>
      </c>
      <c r="I55" s="277">
        <v>2028.492</v>
      </c>
      <c r="J55" s="278">
        <f>L55*fsales</f>
        <v>2406.4347828996833</v>
      </c>
      <c r="K55" s="1"/>
      <c r="L55" s="279">
        <f>I55/lsales</f>
        <v>4.207354862796342E-2</v>
      </c>
      <c r="M55" s="1"/>
      <c r="N55" s="1"/>
      <c r="O55" s="1"/>
      <c r="P55" s="1"/>
      <c r="Q55" s="1"/>
      <c r="R55" s="1"/>
    </row>
    <row r="56" spans="1:18" ht="13.5" customHeight="1">
      <c r="A56" s="1"/>
      <c r="B56" s="1"/>
      <c r="C56" s="1"/>
      <c r="D56" s="200" t="s">
        <v>189</v>
      </c>
      <c r="E56" s="277">
        <v>38592.324000000001</v>
      </c>
      <c r="F56" s="277">
        <v>44401.212</v>
      </c>
      <c r="G56" s="277">
        <v>49559.256000000001</v>
      </c>
      <c r="H56" s="277">
        <v>48000.06</v>
      </c>
      <c r="I56" s="277">
        <v>57192.659999999996</v>
      </c>
      <c r="J56" s="591">
        <f>I56+Forecast_Net_Income-Forecast_Total_Div-5438.23</f>
        <v>71757.276645585094</v>
      </c>
      <c r="K56" s="1"/>
      <c r="L56" s="1"/>
      <c r="M56" s="1"/>
      <c r="N56" s="1"/>
      <c r="O56" s="1"/>
      <c r="P56" s="1"/>
      <c r="Q56" s="1"/>
      <c r="R56" s="1"/>
    </row>
    <row r="57" spans="1:18" ht="13.5" customHeight="1">
      <c r="A57" s="1"/>
      <c r="B57" s="1"/>
      <c r="C57" s="1"/>
      <c r="D57" s="200" t="s">
        <v>353</v>
      </c>
      <c r="E57" s="277">
        <v>59.903999999999996</v>
      </c>
      <c r="F57" s="277">
        <v>-969.048</v>
      </c>
      <c r="G57" s="277">
        <v>-556.19999999999993</v>
      </c>
      <c r="H57" s="277">
        <v>-992.44800000000009</v>
      </c>
      <c r="I57" s="277">
        <v>-1968.48</v>
      </c>
      <c r="J57" s="278">
        <f>L57*fsales</f>
        <v>-2335.2415200268815</v>
      </c>
      <c r="K57" s="1"/>
      <c r="L57" s="279">
        <f>I57/lsales</f>
        <v>-4.0828822101922728E-2</v>
      </c>
      <c r="M57" s="1"/>
      <c r="N57" s="1"/>
      <c r="O57" s="1"/>
      <c r="P57" s="1"/>
      <c r="Q57" s="1"/>
      <c r="R57" s="1"/>
    </row>
    <row r="58" spans="1:18" ht="13.5" customHeight="1">
      <c r="A58" s="64"/>
      <c r="B58" s="64"/>
      <c r="C58" s="64"/>
      <c r="D58" s="200" t="s">
        <v>354</v>
      </c>
      <c r="E58" s="277">
        <v>29.160000000000004</v>
      </c>
      <c r="F58" s="277">
        <v>25.271999999999998</v>
      </c>
      <c r="G58" s="277">
        <v>24.444000000000003</v>
      </c>
      <c r="H58" s="277">
        <v>24.645599999999998</v>
      </c>
      <c r="I58" s="277">
        <v>34.74</v>
      </c>
      <c r="J58" s="278">
        <f>AVERAGE(I58/lrev,H58/IS!$F$8,BS!G58/IS!$E$8,BS!F58/IS!$D$8,BS!E58/IS!$C$8)*fsales</f>
        <v>41.081958735573529</v>
      </c>
      <c r="K58" s="64"/>
      <c r="L58" s="279"/>
      <c r="M58" s="64"/>
      <c r="N58" s="64"/>
      <c r="O58" s="64"/>
      <c r="P58" s="64"/>
      <c r="Q58" s="64"/>
      <c r="R58" s="64"/>
    </row>
    <row r="59" spans="1:18" ht="13.5" customHeight="1">
      <c r="A59" s="64"/>
      <c r="B59" s="64"/>
      <c r="C59" s="64"/>
      <c r="D59" s="275" t="s">
        <v>190</v>
      </c>
      <c r="E59" s="280">
        <f t="shared" ref="E59:J59" si="7">SUM(E54:E58)</f>
        <v>50042.124000000003</v>
      </c>
      <c r="F59" s="280">
        <f t="shared" si="7"/>
        <v>54819.503999999994</v>
      </c>
      <c r="G59" s="280">
        <f t="shared" si="7"/>
        <v>60389.820000000007</v>
      </c>
      <c r="H59" s="280">
        <f t="shared" si="7"/>
        <v>58395.441600000006</v>
      </c>
      <c r="I59" s="280">
        <f t="shared" si="7"/>
        <v>66622.356</v>
      </c>
      <c r="J59" s="280">
        <f t="shared" si="7"/>
        <v>81204.495867193473</v>
      </c>
      <c r="K59" s="64"/>
      <c r="L59" s="64"/>
      <c r="M59" s="64"/>
      <c r="N59" s="64"/>
      <c r="O59" s="64"/>
      <c r="P59" s="64"/>
      <c r="Q59" s="64"/>
      <c r="R59" s="64"/>
    </row>
    <row r="60" spans="1:18" ht="13.5" customHeight="1">
      <c r="A60" s="64"/>
      <c r="B60" s="64"/>
      <c r="C60" s="64"/>
      <c r="D60" s="275"/>
      <c r="E60" s="55"/>
      <c r="F60" s="55"/>
      <c r="G60" s="55"/>
      <c r="H60" s="280"/>
      <c r="I60" s="55"/>
      <c r="J60" s="282"/>
      <c r="K60" s="64"/>
      <c r="L60" s="64"/>
      <c r="M60" s="64"/>
      <c r="N60" s="64"/>
      <c r="O60" s="64"/>
      <c r="P60" s="64"/>
      <c r="Q60" s="64"/>
      <c r="R60" s="64"/>
    </row>
    <row r="61" spans="1:18" ht="13.5" customHeight="1">
      <c r="A61" s="64"/>
      <c r="B61" s="64"/>
      <c r="C61" s="64"/>
      <c r="D61" s="275" t="s">
        <v>191</v>
      </c>
      <c r="E61" s="280">
        <f t="shared" ref="E61:J61" si="8">E59+E51</f>
        <v>67912.271999999997</v>
      </c>
      <c r="F61" s="280">
        <f t="shared" si="8"/>
        <v>71706.923999999999</v>
      </c>
      <c r="G61" s="280">
        <f t="shared" si="8"/>
        <v>75244.464000000007</v>
      </c>
      <c r="H61" s="280">
        <f t="shared" si="8"/>
        <v>81532.89360000001</v>
      </c>
      <c r="I61" s="280">
        <f t="shared" si="8"/>
        <v>99385.487999999998</v>
      </c>
      <c r="J61" s="280">
        <f t="shared" si="8"/>
        <v>119257.11067724085</v>
      </c>
      <c r="K61" s="64"/>
      <c r="L61" s="64"/>
      <c r="M61" s="64"/>
      <c r="N61" s="64"/>
      <c r="O61" s="64"/>
      <c r="P61" s="64"/>
      <c r="Q61" s="64"/>
      <c r="R61" s="64"/>
    </row>
    <row r="62" spans="1:18" ht="13.5" customHeight="1">
      <c r="A62" s="1"/>
      <c r="B62" s="1"/>
      <c r="C62" s="1"/>
      <c r="D62" s="283"/>
      <c r="E62" s="284"/>
      <c r="F62" s="284"/>
      <c r="G62" s="284"/>
      <c r="H62" s="284"/>
      <c r="I62" s="62"/>
      <c r="J62" s="276"/>
      <c r="K62" s="1"/>
      <c r="L62" s="1"/>
      <c r="M62" s="1"/>
      <c r="N62" s="1"/>
      <c r="O62" s="1"/>
      <c r="P62" s="1"/>
      <c r="Q62" s="1"/>
      <c r="R62" s="1"/>
    </row>
    <row r="63" spans="1:18" ht="13.5" customHeight="1">
      <c r="A63" s="1"/>
      <c r="B63" s="1"/>
      <c r="C63" s="1"/>
      <c r="D63" s="285"/>
      <c r="E63" s="563">
        <f t="shared" ref="E63:J63" si="9">E26-E61</f>
        <v>0</v>
      </c>
      <c r="F63" s="563">
        <f t="shared" si="9"/>
        <v>0</v>
      </c>
      <c r="G63" s="563">
        <f t="shared" si="9"/>
        <v>0</v>
      </c>
      <c r="H63" s="563">
        <f t="shared" si="9"/>
        <v>0</v>
      </c>
      <c r="I63" s="563">
        <f t="shared" si="9"/>
        <v>0</v>
      </c>
      <c r="J63" s="563">
        <f t="shared" si="9"/>
        <v>-4.9665761471260339E-3</v>
      </c>
      <c r="K63" s="50"/>
      <c r="L63" s="1"/>
      <c r="M63" s="1"/>
      <c r="N63" s="1"/>
      <c r="O63" s="1"/>
      <c r="P63" s="1"/>
      <c r="Q63" s="1"/>
      <c r="R63" s="1"/>
    </row>
    <row r="64" spans="1:18" ht="13.5" hidden="1" customHeight="1" outlineLevel="1">
      <c r="A64" s="1"/>
      <c r="B64" s="1"/>
      <c r="C64" s="1"/>
      <c r="D64" s="657" t="s">
        <v>192</v>
      </c>
      <c r="E64" s="620"/>
      <c r="F64" s="284"/>
      <c r="G64" s="284"/>
      <c r="H64" s="284"/>
      <c r="I64" s="62"/>
      <c r="J64" s="1"/>
      <c r="K64" s="658" t="s">
        <v>193</v>
      </c>
      <c r="L64" s="1"/>
      <c r="M64" s="1"/>
      <c r="N64" s="1"/>
      <c r="O64" s="1"/>
      <c r="P64" s="1"/>
      <c r="Q64" s="1"/>
      <c r="R64" s="1"/>
    </row>
    <row r="65" spans="1:18" ht="13.5" hidden="1" customHeight="1" outlineLevel="1">
      <c r="A65" s="1"/>
      <c r="B65" s="1"/>
      <c r="C65" s="1"/>
      <c r="D65" s="287"/>
      <c r="E65" s="284"/>
      <c r="F65" s="45"/>
      <c r="G65" s="45"/>
      <c r="H65" s="45"/>
      <c r="I65" s="45"/>
      <c r="J65" s="288"/>
      <c r="K65" s="659"/>
      <c r="L65" s="1"/>
      <c r="M65" s="1"/>
      <c r="N65" s="1"/>
      <c r="O65" s="1"/>
      <c r="P65" s="1"/>
      <c r="Q65" s="1"/>
      <c r="R65" s="1"/>
    </row>
    <row r="66" spans="1:18" ht="13.5" hidden="1" customHeight="1" outlineLevel="1">
      <c r="A66" s="1"/>
      <c r="B66" s="1"/>
      <c r="C66" s="1"/>
      <c r="D66" s="287" t="s">
        <v>194</v>
      </c>
      <c r="E66" s="289"/>
      <c r="F66" s="46">
        <f t="shared" ref="F66:J66" si="10">(F59-E59)/E59</f>
        <v>9.5467170817929103E-2</v>
      </c>
      <c r="G66" s="46">
        <f t="shared" si="10"/>
        <v>0.10161193724043935</v>
      </c>
      <c r="H66" s="46">
        <f t="shared" si="10"/>
        <v>-3.3025076080703687E-2</v>
      </c>
      <c r="I66" s="46">
        <f t="shared" si="10"/>
        <v>0.14088281849725739</v>
      </c>
      <c r="J66" s="46">
        <f t="shared" si="10"/>
        <v>0.21887757717834946</v>
      </c>
      <c r="K66" s="290">
        <f>AVERAGE(F66:I66)</f>
        <v>7.6234212618730535E-2</v>
      </c>
      <c r="L66" s="1"/>
      <c r="M66" s="1"/>
      <c r="N66" s="1"/>
      <c r="O66" s="1"/>
      <c r="P66" s="1"/>
      <c r="Q66" s="1"/>
      <c r="R66" s="1"/>
    </row>
    <row r="67" spans="1:18" ht="13.5" hidden="1" customHeight="1" outlineLevel="1">
      <c r="A67" s="1"/>
      <c r="B67" s="1"/>
      <c r="C67" s="1"/>
      <c r="D67" s="287"/>
      <c r="E67" s="289"/>
      <c r="F67" s="46"/>
      <c r="G67" s="46"/>
      <c r="H67" s="46"/>
      <c r="I67" s="46"/>
      <c r="J67" s="267"/>
      <c r="K67" s="291"/>
      <c r="L67" s="1"/>
      <c r="M67" s="1"/>
      <c r="N67" s="1"/>
      <c r="O67" s="1"/>
      <c r="P67" s="1"/>
      <c r="Q67" s="1"/>
      <c r="R67" s="1"/>
    </row>
    <row r="68" spans="1:18" ht="13.5" hidden="1" customHeight="1" outlineLevel="1">
      <c r="A68" s="1"/>
      <c r="B68" s="1"/>
      <c r="C68" s="1"/>
      <c r="D68" s="287" t="s">
        <v>195</v>
      </c>
      <c r="E68" s="292">
        <f>(E59/IS!C27)</f>
        <v>53.607351685551855</v>
      </c>
      <c r="F68" s="292">
        <f>(F59/IS!D27)</f>
        <v>58.725093886013234</v>
      </c>
      <c r="G68" s="292">
        <f>(G59/IS!E27)</f>
        <v>64.692264440397722</v>
      </c>
      <c r="H68" s="292">
        <f>(H59/IS!F27)</f>
        <v>62.555797485420577</v>
      </c>
      <c r="I68" s="292">
        <f>(I59/IS!G27)</f>
        <v>71.368834548510279</v>
      </c>
      <c r="J68" s="292">
        <f>(J59/IS!H27)</f>
        <v>86.989872140530693</v>
      </c>
      <c r="K68" s="293">
        <f>AVERAGE(F68:I68)</f>
        <v>64.335497590085453</v>
      </c>
      <c r="L68" s="1"/>
      <c r="M68" s="1"/>
      <c r="N68" s="1"/>
      <c r="O68" s="1"/>
      <c r="P68" s="1"/>
      <c r="Q68" s="1"/>
      <c r="R68" s="1"/>
    </row>
    <row r="69" spans="1:18" ht="13.5" hidden="1" customHeight="1" outlineLevel="1">
      <c r="A69" s="1"/>
      <c r="B69" s="1"/>
      <c r="C69" s="1"/>
      <c r="D69" s="287"/>
      <c r="E69" s="294"/>
      <c r="F69" s="294"/>
      <c r="G69" s="294"/>
      <c r="H69" s="294"/>
      <c r="I69" s="294"/>
      <c r="J69" s="267"/>
      <c r="K69" s="295"/>
      <c r="L69" s="1"/>
      <c r="M69" s="1"/>
      <c r="N69" s="1"/>
      <c r="O69" s="1"/>
      <c r="P69" s="1"/>
      <c r="Q69" s="1"/>
      <c r="R69" s="1"/>
    </row>
    <row r="70" spans="1:18" ht="13.5" hidden="1" customHeight="1" outlineLevel="1">
      <c r="A70" s="1"/>
      <c r="B70" s="1"/>
      <c r="C70" s="1"/>
      <c r="D70" s="287"/>
      <c r="E70" s="289"/>
      <c r="F70" s="289"/>
      <c r="G70" s="289"/>
      <c r="H70" s="289"/>
      <c r="I70" s="296"/>
      <c r="J70" s="288"/>
      <c r="K70" s="295"/>
      <c r="L70" s="1"/>
      <c r="M70" s="1"/>
      <c r="N70" s="1"/>
      <c r="O70" s="1"/>
      <c r="P70" s="1"/>
      <c r="Q70" s="1"/>
      <c r="R70" s="1"/>
    </row>
    <row r="71" spans="1:18" ht="13.5" hidden="1" customHeight="1" outlineLevel="1">
      <c r="A71" s="1"/>
      <c r="B71" s="1"/>
      <c r="C71" s="1"/>
      <c r="D71" s="287" t="s">
        <v>196</v>
      </c>
      <c r="E71" s="297" t="e">
        <f t="shared" ref="E71:J71" si="11">#REF!/E$59</f>
        <v>#REF!</v>
      </c>
      <c r="F71" s="297" t="e">
        <f t="shared" si="11"/>
        <v>#REF!</v>
      </c>
      <c r="G71" s="297" t="e">
        <f t="shared" si="11"/>
        <v>#REF!</v>
      </c>
      <c r="H71" s="297" t="e">
        <f t="shared" si="11"/>
        <v>#REF!</v>
      </c>
      <c r="I71" s="297" t="e">
        <f t="shared" si="11"/>
        <v>#REF!</v>
      </c>
      <c r="J71" s="297" t="e">
        <f t="shared" si="11"/>
        <v>#REF!</v>
      </c>
      <c r="K71" s="290" t="e">
        <f t="shared" ref="K71:K72" si="12">AVERAGE(F71:I71)</f>
        <v>#REF!</v>
      </c>
      <c r="L71" s="1"/>
      <c r="M71" s="1"/>
      <c r="N71" s="1"/>
      <c r="O71" s="1"/>
      <c r="P71" s="1"/>
      <c r="Q71" s="1"/>
      <c r="R71" s="1"/>
    </row>
    <row r="72" spans="1:18" ht="13.5" hidden="1" customHeight="1" outlineLevel="1">
      <c r="A72" s="1"/>
      <c r="B72" s="1"/>
      <c r="C72" s="1"/>
      <c r="D72" s="287" t="s">
        <v>197</v>
      </c>
      <c r="E72" s="297" t="e">
        <f t="shared" ref="E72:J72" si="13">#REF!/E$59</f>
        <v>#REF!</v>
      </c>
      <c r="F72" s="297" t="e">
        <f t="shared" si="13"/>
        <v>#REF!</v>
      </c>
      <c r="G72" s="297" t="e">
        <f t="shared" si="13"/>
        <v>#REF!</v>
      </c>
      <c r="H72" s="297" t="e">
        <f t="shared" si="13"/>
        <v>#REF!</v>
      </c>
      <c r="I72" s="297" t="e">
        <f t="shared" si="13"/>
        <v>#REF!</v>
      </c>
      <c r="J72" s="297" t="e">
        <f t="shared" si="13"/>
        <v>#REF!</v>
      </c>
      <c r="K72" s="290" t="e">
        <f t="shared" si="12"/>
        <v>#REF!</v>
      </c>
      <c r="L72" s="1"/>
      <c r="M72" s="1"/>
      <c r="N72" s="1"/>
      <c r="O72" s="1"/>
      <c r="P72" s="1"/>
      <c r="Q72" s="1"/>
      <c r="R72" s="1"/>
    </row>
    <row r="73" spans="1:18" ht="13.5" hidden="1" customHeight="1" outlineLevel="1">
      <c r="A73" s="1"/>
      <c r="B73" s="1"/>
      <c r="C73" s="1"/>
      <c r="D73" s="287"/>
      <c r="E73" s="298"/>
      <c r="F73" s="298"/>
      <c r="G73" s="298"/>
      <c r="H73" s="298"/>
      <c r="I73" s="298"/>
      <c r="J73" s="298"/>
      <c r="K73" s="295"/>
      <c r="L73" s="1"/>
      <c r="M73" s="1"/>
      <c r="N73" s="1"/>
      <c r="O73" s="1"/>
      <c r="P73" s="1"/>
      <c r="Q73" s="1"/>
      <c r="R73" s="1"/>
    </row>
    <row r="74" spans="1:18" ht="12" hidden="1" customHeight="1" outlineLevel="1">
      <c r="A74" s="1"/>
      <c r="B74" s="1"/>
      <c r="C74" s="1"/>
      <c r="D74" s="287" t="s">
        <v>198</v>
      </c>
      <c r="E74" s="292" t="e">
        <f>(E59-#REF!-#REF!)/IS!C27</f>
        <v>#REF!</v>
      </c>
      <c r="F74" s="292" t="e">
        <f>(F59-#REF!-#REF!)/IS!D27</f>
        <v>#REF!</v>
      </c>
      <c r="G74" s="292" t="e">
        <f>(G59-#REF!-#REF!)/IS!E27</f>
        <v>#REF!</v>
      </c>
      <c r="H74" s="292" t="e">
        <f>(H59-#REF!-#REF!)/IS!F27</f>
        <v>#REF!</v>
      </c>
      <c r="I74" s="292" t="e">
        <f>(I59-#REF!-#REF!)/IS!G27</f>
        <v>#REF!</v>
      </c>
      <c r="J74" s="292" t="e">
        <f>(J59-#REF!-#REF!)/IS!H27</f>
        <v>#REF!</v>
      </c>
      <c r="K74" s="293" t="e">
        <f>AVERAGE(F74:I74)</f>
        <v>#REF!</v>
      </c>
      <c r="L74" s="1"/>
      <c r="M74" s="1"/>
      <c r="N74" s="1"/>
      <c r="O74" s="1"/>
      <c r="P74" s="1"/>
      <c r="Q74" s="1"/>
      <c r="R74" s="1"/>
    </row>
    <row r="75" spans="1:18" ht="13.5" hidden="1" customHeight="1" outlineLevel="1">
      <c r="A75" s="1"/>
      <c r="B75" s="1"/>
      <c r="C75" s="1"/>
      <c r="D75" s="299"/>
      <c r="E75" s="300"/>
      <c r="F75" s="301"/>
      <c r="G75" s="300"/>
      <c r="H75" s="300"/>
      <c r="I75" s="300"/>
      <c r="J75" s="237"/>
      <c r="K75" s="38"/>
      <c r="L75" s="1"/>
      <c r="M75" s="1"/>
      <c r="N75" s="1"/>
      <c r="O75" s="1"/>
      <c r="P75" s="1"/>
      <c r="Q75" s="1"/>
      <c r="R75" s="1"/>
    </row>
    <row r="76" spans="1:18" ht="13.5" customHeight="1" collapsed="1">
      <c r="A76" s="1"/>
      <c r="B76" s="1"/>
      <c r="C76" s="1"/>
      <c r="D76" s="660" t="s">
        <v>199</v>
      </c>
      <c r="E76" s="661"/>
      <c r="F76" s="302"/>
      <c r="G76" s="303"/>
      <c r="H76" s="303"/>
      <c r="I76" s="303"/>
      <c r="J76" s="304"/>
      <c r="K76" s="658" t="s">
        <v>193</v>
      </c>
      <c r="L76" s="1"/>
      <c r="M76" s="1"/>
      <c r="N76" s="1"/>
      <c r="O76" s="1"/>
      <c r="P76" s="1"/>
      <c r="Q76" s="1"/>
      <c r="R76" s="1"/>
    </row>
    <row r="77" spans="1:18" ht="13.5" customHeight="1">
      <c r="A77" s="1"/>
      <c r="B77" s="1"/>
      <c r="C77" s="1"/>
      <c r="D77" s="305" t="s">
        <v>200</v>
      </c>
      <c r="E77" s="306"/>
      <c r="F77" s="307"/>
      <c r="G77" s="306"/>
      <c r="H77" s="306"/>
      <c r="I77" s="306"/>
      <c r="J77" s="308"/>
      <c r="K77" s="659"/>
      <c r="L77" s="1"/>
      <c r="M77" s="1"/>
      <c r="N77" s="1"/>
      <c r="O77" s="1"/>
      <c r="P77" s="1"/>
      <c r="Q77" s="1"/>
      <c r="R77" s="1"/>
    </row>
    <row r="78" spans="1:18" ht="13.5" customHeight="1">
      <c r="A78" s="1"/>
      <c r="B78" s="1"/>
      <c r="C78" s="1"/>
      <c r="D78" s="287" t="s">
        <v>201</v>
      </c>
      <c r="E78" s="284"/>
      <c r="F78" s="284"/>
      <c r="G78" s="284"/>
      <c r="H78" s="284"/>
      <c r="I78" s="284"/>
      <c r="J78" s="1"/>
      <c r="K78" s="309"/>
      <c r="L78" s="1"/>
      <c r="M78" s="1"/>
      <c r="N78" s="1"/>
      <c r="O78" s="1"/>
      <c r="P78" s="1"/>
      <c r="Q78" s="1"/>
      <c r="R78" s="1"/>
    </row>
    <row r="79" spans="1:18" ht="13.5" customHeight="1">
      <c r="A79" s="1"/>
      <c r="B79" s="1"/>
      <c r="C79" s="1"/>
      <c r="D79" s="310"/>
      <c r="E79" s="311"/>
      <c r="F79" s="311"/>
      <c r="G79" s="311"/>
      <c r="H79" s="311"/>
      <c r="I79" s="284"/>
      <c r="J79" s="1"/>
      <c r="K79" s="309"/>
      <c r="L79" s="1"/>
      <c r="M79" s="1"/>
      <c r="N79" s="1"/>
      <c r="O79" s="1"/>
      <c r="P79" s="1"/>
      <c r="Q79" s="1"/>
      <c r="R79" s="1"/>
    </row>
    <row r="80" spans="1:18" ht="13.5" customHeight="1">
      <c r="A80" s="1"/>
      <c r="B80" s="1"/>
      <c r="C80" s="1"/>
      <c r="D80" s="193" t="s">
        <v>202</v>
      </c>
      <c r="E80" s="50">
        <f>(E15-E10-E13)-(E40-E37-E36)</f>
        <v>-1315.3320000000022</v>
      </c>
      <c r="F80" s="50">
        <f t="shared" ref="F80:J80" si="14">(F15-F10-F13)-(F40-F37-F36)</f>
        <v>-1032.6599999999962</v>
      </c>
      <c r="G80" s="50">
        <f t="shared" si="14"/>
        <v>756.46800000000439</v>
      </c>
      <c r="H80" s="50">
        <f t="shared" si="14"/>
        <v>-7642.4040000000041</v>
      </c>
      <c r="I80" s="50">
        <f t="shared" si="14"/>
        <v>-8494.5240000000085</v>
      </c>
      <c r="J80" s="50">
        <f t="shared" si="14"/>
        <v>-9470.7383611016012</v>
      </c>
      <c r="K80" s="293">
        <f>AVERAGE(F80:I80)</f>
        <v>-4103.2800000000007</v>
      </c>
      <c r="L80" s="1"/>
      <c r="M80" s="1"/>
      <c r="N80" s="1"/>
      <c r="O80" s="1"/>
      <c r="P80" s="1"/>
      <c r="Q80" s="1"/>
      <c r="R80" s="1"/>
    </row>
    <row r="81" spans="1:18" ht="13.5" customHeight="1">
      <c r="A81" s="1"/>
      <c r="B81" s="1"/>
      <c r="C81" s="1"/>
      <c r="D81" s="193"/>
      <c r="E81" s="1"/>
      <c r="F81" s="1"/>
      <c r="G81" s="1"/>
      <c r="H81" s="1"/>
      <c r="I81" s="1"/>
      <c r="J81" s="312"/>
      <c r="K81" s="309"/>
      <c r="L81" s="1"/>
      <c r="M81" s="1"/>
      <c r="N81" s="1"/>
      <c r="O81" s="1"/>
      <c r="P81" s="1"/>
      <c r="Q81" s="1"/>
      <c r="R81" s="1"/>
    </row>
    <row r="82" spans="1:18" ht="13.5" customHeight="1">
      <c r="A82" s="1"/>
      <c r="B82" s="1"/>
      <c r="C82" s="1"/>
      <c r="D82" s="193" t="s">
        <v>203</v>
      </c>
      <c r="E82" s="1"/>
      <c r="F82" s="50">
        <f t="shared" ref="F82:J82" si="15">F80-E80</f>
        <v>282.67200000000594</v>
      </c>
      <c r="G82" s="50">
        <f t="shared" si="15"/>
        <v>1789.1280000000006</v>
      </c>
      <c r="H82" s="50">
        <f t="shared" si="15"/>
        <v>-8398.8720000000085</v>
      </c>
      <c r="I82" s="50">
        <f t="shared" si="15"/>
        <v>-852.12000000000444</v>
      </c>
      <c r="J82" s="50">
        <f t="shared" si="15"/>
        <v>-976.21436110159266</v>
      </c>
      <c r="K82" s="293">
        <f>AVERAGE(F82:I82)</f>
        <v>-1794.7980000000016</v>
      </c>
      <c r="L82" s="1"/>
      <c r="M82" s="1"/>
      <c r="N82" s="1"/>
      <c r="O82" s="1"/>
      <c r="P82" s="1"/>
      <c r="Q82" s="1"/>
      <c r="R82" s="1"/>
    </row>
    <row r="83" spans="1:18" ht="13.5" customHeight="1">
      <c r="A83" s="1"/>
      <c r="B83" s="1"/>
      <c r="C83" s="1"/>
      <c r="D83" s="193"/>
      <c r="E83" s="1"/>
      <c r="F83" s="313"/>
      <c r="G83" s="313"/>
      <c r="H83" s="313"/>
      <c r="I83" s="1"/>
      <c r="J83" s="1"/>
      <c r="K83" s="309"/>
      <c r="L83" s="1"/>
      <c r="M83" s="1"/>
      <c r="N83" s="1"/>
      <c r="O83" s="1"/>
      <c r="P83" s="1"/>
      <c r="Q83" s="1"/>
      <c r="R83" s="1"/>
    </row>
    <row r="84" spans="1:18" ht="13.5" customHeight="1">
      <c r="A84" s="1"/>
      <c r="B84" s="1"/>
      <c r="C84" s="1"/>
      <c r="D84" s="193" t="s">
        <v>204</v>
      </c>
      <c r="E84" s="1"/>
      <c r="F84" s="314">
        <f>F82/IS!D8</f>
        <v>8.0331721310722363E-3</v>
      </c>
      <c r="G84" s="314">
        <f>G82/IS!E8</f>
        <v>4.818158109809953E-2</v>
      </c>
      <c r="H84" s="314">
        <f>H82/IS!F8</f>
        <v>-0.21804129010551523</v>
      </c>
      <c r="I84" s="314">
        <f>I82/IS!G8</f>
        <v>-1.7674071308568323E-2</v>
      </c>
      <c r="J84" s="314">
        <f>J82/IS!H8</f>
        <v>-1.70679058850839E-2</v>
      </c>
      <c r="K84" s="290">
        <f>AVERAGE(F84:I84)</f>
        <v>-4.4875152046227947E-2</v>
      </c>
      <c r="L84" s="1"/>
      <c r="M84" s="1"/>
      <c r="N84" s="1"/>
      <c r="O84" s="1"/>
      <c r="P84" s="1"/>
      <c r="Q84" s="1"/>
      <c r="R84" s="1"/>
    </row>
    <row r="85" spans="1:18" ht="13.5" customHeight="1">
      <c r="A85" s="1"/>
      <c r="B85" s="1"/>
      <c r="C85" s="1"/>
      <c r="D85" s="185"/>
      <c r="E85" s="237"/>
      <c r="F85" s="237"/>
      <c r="G85" s="237"/>
      <c r="H85" s="237"/>
      <c r="I85" s="237"/>
      <c r="J85" s="237"/>
      <c r="K85" s="38"/>
      <c r="L85" s="1"/>
      <c r="M85" s="1"/>
      <c r="N85" s="1"/>
      <c r="O85" s="1"/>
      <c r="P85" s="1"/>
      <c r="Q85" s="1"/>
      <c r="R85" s="1"/>
    </row>
    <row r="86" spans="1:18" ht="13.5" customHeight="1">
      <c r="A86" s="1"/>
      <c r="B86" s="1"/>
      <c r="C86" s="1"/>
      <c r="D86" s="1"/>
      <c r="E86" s="1"/>
      <c r="F86" s="1"/>
      <c r="G86" s="1"/>
      <c r="H86" s="1"/>
      <c r="I86" s="1"/>
      <c r="J86" s="1"/>
      <c r="K86" s="1"/>
      <c r="L86" s="1"/>
      <c r="M86" s="1"/>
      <c r="N86" s="1"/>
      <c r="O86" s="1"/>
      <c r="P86" s="1"/>
      <c r="Q86" s="1"/>
      <c r="R86" s="1"/>
    </row>
    <row r="87" spans="1:18" ht="13.5" customHeight="1">
      <c r="A87" s="1"/>
      <c r="B87" s="1"/>
      <c r="C87" s="1"/>
      <c r="D87" s="1"/>
      <c r="E87" s="1"/>
      <c r="F87" s="1"/>
      <c r="G87" s="1"/>
      <c r="H87" s="1"/>
      <c r="I87" s="1"/>
      <c r="J87" s="1"/>
      <c r="K87" s="1"/>
      <c r="L87" s="1"/>
      <c r="M87" s="1"/>
      <c r="N87" s="1"/>
      <c r="O87" s="1"/>
      <c r="P87" s="1"/>
      <c r="Q87" s="1"/>
      <c r="R87" s="1"/>
    </row>
    <row r="88" spans="1:18" ht="13.5" customHeight="1">
      <c r="A88" s="1"/>
      <c r="B88" s="1"/>
      <c r="C88" s="1"/>
      <c r="D88" s="315" t="s">
        <v>205</v>
      </c>
      <c r="E88" s="1"/>
      <c r="F88" s="1"/>
      <c r="G88" s="1"/>
      <c r="H88" s="1"/>
      <c r="I88" s="308" t="s">
        <v>206</v>
      </c>
      <c r="J88" s="308"/>
      <c r="K88" s="308"/>
      <c r="L88" s="1"/>
      <c r="M88" s="1"/>
      <c r="N88" s="1"/>
      <c r="O88" s="1"/>
      <c r="P88" s="1"/>
      <c r="Q88" s="1"/>
      <c r="R88" s="1"/>
    </row>
    <row r="89" spans="1:18" ht="13.5" customHeight="1">
      <c r="A89" s="1"/>
      <c r="B89" s="1"/>
      <c r="C89" s="1"/>
      <c r="D89" s="1"/>
      <c r="E89" s="1"/>
      <c r="F89" s="1"/>
      <c r="G89" s="1"/>
      <c r="H89" s="513" t="s">
        <v>207</v>
      </c>
      <c r="I89" s="525">
        <f>+IF(ISERROR(I11/lsales*365),0,I11/lsales*365)</f>
        <v>39.814911330968826</v>
      </c>
      <c r="J89" s="564">
        <f t="shared" ref="J89:J97" si="16">I89</f>
        <v>39.814911330968826</v>
      </c>
      <c r="K89" s="1"/>
      <c r="L89" s="1"/>
      <c r="M89" s="1"/>
      <c r="N89" s="1"/>
      <c r="O89" s="1"/>
      <c r="P89" s="1"/>
      <c r="Q89" s="1"/>
      <c r="R89" s="1"/>
    </row>
    <row r="90" spans="1:18" ht="13.5" customHeight="1">
      <c r="A90" s="1"/>
      <c r="B90" s="1"/>
      <c r="C90" s="1"/>
      <c r="D90" s="1"/>
      <c r="E90" s="1"/>
      <c r="F90" s="1"/>
      <c r="G90" s="1"/>
      <c r="H90" s="513" t="s">
        <v>208</v>
      </c>
      <c r="I90" s="525">
        <f>+IF(ISERROR(I12/lsales*365),0,I12/lsales*365)</f>
        <v>37.434269180511492</v>
      </c>
      <c r="J90" s="564">
        <f t="shared" si="16"/>
        <v>37.434269180511492</v>
      </c>
      <c r="K90" s="1"/>
      <c r="L90" s="1"/>
      <c r="M90" s="1"/>
      <c r="N90" s="1"/>
      <c r="O90" s="1"/>
      <c r="P90" s="1"/>
      <c r="Q90" s="1"/>
      <c r="R90" s="1"/>
    </row>
    <row r="91" spans="1:18" ht="13.5" customHeight="1">
      <c r="A91" s="1"/>
      <c r="B91" s="1"/>
      <c r="C91" s="1"/>
      <c r="D91" s="1"/>
      <c r="E91" s="1"/>
      <c r="F91" s="1"/>
      <c r="G91" s="1"/>
      <c r="H91" s="513" t="s">
        <v>209</v>
      </c>
      <c r="I91" s="535">
        <f>(I14+I13)/lsales</f>
        <v>0.11093671831248834</v>
      </c>
      <c r="J91" s="535">
        <f t="shared" si="16"/>
        <v>0.11093671831248834</v>
      </c>
      <c r="K91" s="1"/>
      <c r="L91" s="1"/>
      <c r="M91" s="1"/>
      <c r="N91" s="1"/>
      <c r="O91" s="1"/>
      <c r="P91" s="1"/>
      <c r="Q91" s="1"/>
      <c r="R91" s="1"/>
    </row>
    <row r="92" spans="1:18" ht="13.5" customHeight="1">
      <c r="A92" s="1"/>
      <c r="B92" s="1"/>
      <c r="C92" s="1"/>
      <c r="D92" s="1"/>
      <c r="E92" s="1"/>
      <c r="F92" s="1"/>
      <c r="G92" s="1"/>
      <c r="H92" s="513" t="s">
        <v>210</v>
      </c>
      <c r="I92" s="525">
        <f>+IF(ISERROR(I30/lsales*365),0,I30/lsales*365)</f>
        <v>11.200056001493374</v>
      </c>
      <c r="J92" s="535">
        <f t="shared" si="16"/>
        <v>11.200056001493374</v>
      </c>
      <c r="K92" s="1"/>
      <c r="L92" s="1"/>
      <c r="M92" s="1"/>
      <c r="N92" s="1"/>
      <c r="O92" s="1"/>
      <c r="P92" s="1"/>
      <c r="Q92" s="1"/>
      <c r="R92" s="1"/>
    </row>
    <row r="93" spans="1:18" ht="13.5" customHeight="1">
      <c r="A93" s="1"/>
      <c r="B93" s="1"/>
      <c r="C93" s="1"/>
      <c r="D93" s="1"/>
      <c r="E93" s="1"/>
      <c r="F93" s="1"/>
      <c r="G93" s="1"/>
      <c r="H93" s="513" t="s">
        <v>211</v>
      </c>
      <c r="I93" s="535">
        <f>(I32+I33)/lsales</f>
        <v>0.10710098935971628</v>
      </c>
      <c r="J93" s="535">
        <f t="shared" si="16"/>
        <v>0.10710098935971628</v>
      </c>
      <c r="K93" s="1"/>
      <c r="L93" s="1"/>
      <c r="M93" s="1"/>
      <c r="N93" s="1"/>
      <c r="O93" s="1"/>
      <c r="P93" s="1"/>
      <c r="Q93" s="1"/>
      <c r="R93" s="1"/>
    </row>
    <row r="94" spans="1:18" ht="13.5" customHeight="1">
      <c r="A94" s="1"/>
      <c r="B94" s="1"/>
      <c r="C94" s="1"/>
      <c r="D94" s="1"/>
      <c r="E94" s="1"/>
      <c r="F94" s="1"/>
      <c r="G94" s="1"/>
      <c r="H94" s="513" t="s">
        <v>212</v>
      </c>
      <c r="I94" s="535">
        <f>(I37)/lsales</f>
        <v>6.6125816688445027E-2</v>
      </c>
      <c r="J94" s="535">
        <f t="shared" si="16"/>
        <v>6.6125816688445027E-2</v>
      </c>
      <c r="K94" s="1"/>
      <c r="L94" s="1"/>
      <c r="M94" s="1"/>
      <c r="N94" s="1"/>
      <c r="O94" s="1"/>
      <c r="P94" s="1"/>
      <c r="Q94" s="1"/>
      <c r="R94" s="1"/>
    </row>
    <row r="95" spans="1:18" ht="13.5" customHeight="1">
      <c r="A95" s="1"/>
      <c r="B95" s="1"/>
      <c r="C95" s="1"/>
      <c r="D95" s="1"/>
      <c r="E95" s="1"/>
      <c r="F95" s="1"/>
      <c r="G95" s="1"/>
      <c r="H95" s="565" t="s">
        <v>213</v>
      </c>
      <c r="I95" s="535">
        <f>(I21)/lsales</f>
        <v>1.9240619749860001E-2</v>
      </c>
      <c r="J95" s="535">
        <f t="shared" si="16"/>
        <v>1.9240619749860001E-2</v>
      </c>
      <c r="K95" s="1"/>
      <c r="L95" s="1"/>
      <c r="M95" s="1"/>
      <c r="N95" s="1"/>
      <c r="O95" s="1"/>
      <c r="P95" s="1"/>
      <c r="Q95" s="1"/>
      <c r="R95" s="1"/>
    </row>
    <row r="96" spans="1:18" ht="13.5" customHeight="1">
      <c r="A96" s="1"/>
      <c r="B96" s="1"/>
      <c r="C96" s="1"/>
      <c r="D96" s="1"/>
      <c r="E96" s="1"/>
      <c r="F96" s="1"/>
      <c r="G96" s="1"/>
      <c r="H96" s="565"/>
      <c r="I96" s="535"/>
      <c r="J96" s="535"/>
      <c r="K96" s="1"/>
      <c r="L96" s="1"/>
      <c r="M96" s="1"/>
      <c r="N96" s="1"/>
      <c r="O96" s="1"/>
      <c r="P96" s="1"/>
      <c r="Q96" s="1"/>
      <c r="R96" s="1"/>
    </row>
    <row r="97" spans="1:18" ht="13.5" customHeight="1">
      <c r="A97" s="1"/>
      <c r="B97" s="1"/>
      <c r="C97" s="1"/>
      <c r="D97" s="1"/>
      <c r="E97" s="1"/>
      <c r="F97" s="1"/>
      <c r="G97" s="1"/>
      <c r="H97" s="565" t="s">
        <v>214</v>
      </c>
      <c r="I97" s="535">
        <f>(I23)/lsales</f>
        <v>1.9382490199738662E-2</v>
      </c>
      <c r="J97" s="535">
        <f t="shared" si="16"/>
        <v>1.9382490199738662E-2</v>
      </c>
      <c r="K97" s="1"/>
      <c r="L97" s="1"/>
      <c r="M97" s="1"/>
      <c r="N97" s="1"/>
      <c r="O97" s="1"/>
      <c r="P97" s="1"/>
      <c r="Q97" s="1"/>
      <c r="R97" s="1"/>
    </row>
    <row r="98" spans="1:18" ht="13.5" customHeight="1">
      <c r="A98" s="1"/>
      <c r="B98" s="1"/>
      <c r="C98" s="1"/>
      <c r="D98" s="1"/>
      <c r="E98" s="1"/>
      <c r="F98" s="1"/>
      <c r="G98" s="1"/>
      <c r="H98" s="489"/>
      <c r="I98" s="489"/>
      <c r="J98" s="489"/>
      <c r="K98" s="1"/>
      <c r="L98" s="1"/>
      <c r="M98" s="1"/>
      <c r="N98" s="1"/>
      <c r="O98" s="1"/>
      <c r="P98" s="1"/>
      <c r="Q98" s="1"/>
      <c r="R98" s="1"/>
    </row>
    <row r="99" spans="1:18" ht="13.5" customHeight="1">
      <c r="A99" s="1"/>
      <c r="B99" s="1"/>
      <c r="C99" s="1"/>
      <c r="D99" s="1"/>
      <c r="E99" s="1"/>
      <c r="F99" s="1"/>
      <c r="G99" s="1"/>
      <c r="H99" s="1"/>
      <c r="I99" s="1"/>
      <c r="J99" s="1"/>
      <c r="K99" s="1"/>
      <c r="L99" s="1"/>
      <c r="M99" s="1"/>
      <c r="N99" s="1"/>
      <c r="O99" s="1"/>
      <c r="P99" s="1"/>
      <c r="Q99" s="1"/>
      <c r="R99" s="1"/>
    </row>
    <row r="100" spans="1:18" ht="13.5" customHeight="1">
      <c r="A100" s="1"/>
      <c r="B100" s="1"/>
      <c r="C100" s="1"/>
      <c r="D100" s="1"/>
      <c r="E100" s="1"/>
      <c r="F100" s="1"/>
      <c r="G100" s="1"/>
      <c r="H100" s="1"/>
      <c r="I100" s="1"/>
      <c r="J100" s="1"/>
      <c r="K100" s="1"/>
      <c r="L100" s="1"/>
      <c r="M100" s="1"/>
      <c r="N100" s="1"/>
      <c r="O100" s="1"/>
      <c r="P100" s="1"/>
      <c r="Q100" s="1"/>
      <c r="R100" s="1"/>
    </row>
    <row r="101" spans="1:18" ht="13.5" customHeight="1">
      <c r="A101" s="1"/>
      <c r="B101" s="1"/>
      <c r="C101" s="1"/>
      <c r="D101" s="1"/>
      <c r="E101" s="1"/>
      <c r="F101" s="1"/>
      <c r="G101" s="1"/>
      <c r="H101" s="1"/>
      <c r="I101" s="1"/>
      <c r="J101" s="1"/>
      <c r="K101" s="1"/>
      <c r="L101" s="1"/>
      <c r="M101" s="1"/>
      <c r="N101" s="1"/>
      <c r="O101" s="1"/>
      <c r="P101" s="1"/>
      <c r="Q101" s="1"/>
      <c r="R101" s="1"/>
    </row>
    <row r="102" spans="1:18" ht="13.5" customHeight="1">
      <c r="A102" s="1"/>
      <c r="B102" s="1"/>
      <c r="C102" s="1"/>
      <c r="D102" s="1"/>
      <c r="E102" s="1"/>
      <c r="F102" s="1"/>
      <c r="G102" s="1"/>
      <c r="H102" s="1"/>
      <c r="I102" s="1"/>
      <c r="J102" s="1"/>
      <c r="K102" s="1"/>
      <c r="L102" s="1"/>
      <c r="M102" s="1"/>
      <c r="N102" s="1"/>
      <c r="O102" s="1"/>
      <c r="P102" s="1"/>
      <c r="Q102" s="1"/>
      <c r="R102" s="1"/>
    </row>
    <row r="103" spans="1:18" ht="13.5" customHeight="1">
      <c r="A103" s="1"/>
      <c r="B103" s="1"/>
      <c r="C103" s="1"/>
      <c r="D103" s="1"/>
      <c r="E103" s="1"/>
      <c r="F103" s="1"/>
      <c r="G103" s="1"/>
      <c r="H103" s="1"/>
      <c r="I103" s="1"/>
      <c r="J103" s="1"/>
      <c r="K103" s="1"/>
      <c r="L103" s="1"/>
      <c r="M103" s="1"/>
      <c r="N103" s="1"/>
      <c r="O103" s="1"/>
      <c r="P103" s="1"/>
      <c r="Q103" s="1"/>
      <c r="R103" s="1"/>
    </row>
    <row r="104" spans="1:18" ht="13.5" customHeight="1">
      <c r="A104" s="1"/>
      <c r="B104" s="1"/>
      <c r="C104" s="1"/>
      <c r="D104" s="1"/>
      <c r="E104" s="1"/>
      <c r="F104" s="1"/>
      <c r="G104" s="1"/>
      <c r="H104" s="1"/>
      <c r="I104" s="1"/>
      <c r="J104" s="1"/>
      <c r="K104" s="1"/>
      <c r="L104" s="1"/>
      <c r="M104" s="1"/>
      <c r="N104" s="1"/>
      <c r="O104" s="1"/>
      <c r="P104" s="1"/>
      <c r="Q104" s="1"/>
      <c r="R104" s="1"/>
    </row>
    <row r="105" spans="1:18" ht="13.5" customHeight="1">
      <c r="A105" s="1"/>
      <c r="B105" s="1"/>
      <c r="C105" s="1"/>
      <c r="D105" s="1"/>
      <c r="E105" s="1"/>
      <c r="F105" s="1"/>
      <c r="G105" s="1"/>
      <c r="H105" s="1"/>
      <c r="I105" s="1"/>
      <c r="J105" s="1"/>
      <c r="K105" s="1"/>
      <c r="L105" s="1"/>
      <c r="M105" s="1"/>
      <c r="N105" s="1"/>
      <c r="O105" s="1"/>
      <c r="P105" s="1"/>
      <c r="Q105" s="1"/>
      <c r="R105" s="1"/>
    </row>
    <row r="106" spans="1:18" ht="13.5" customHeight="1">
      <c r="A106" s="1"/>
      <c r="B106" s="1"/>
      <c r="C106" s="1"/>
      <c r="D106" s="1"/>
      <c r="E106" s="1"/>
      <c r="F106" s="1"/>
      <c r="G106" s="1"/>
      <c r="H106" s="1"/>
      <c r="I106" s="1"/>
      <c r="J106" s="1"/>
      <c r="K106" s="1"/>
      <c r="L106" s="1"/>
      <c r="M106" s="1"/>
      <c r="N106" s="1"/>
      <c r="O106" s="1"/>
      <c r="P106" s="1"/>
      <c r="Q106" s="1"/>
      <c r="R106" s="1"/>
    </row>
    <row r="107" spans="1:18" ht="13.5" customHeight="1">
      <c r="A107" s="1"/>
      <c r="B107" s="1"/>
      <c r="C107" s="1"/>
      <c r="D107" s="1"/>
      <c r="E107" s="1"/>
      <c r="F107" s="1"/>
      <c r="G107" s="1"/>
      <c r="H107" s="1"/>
      <c r="I107" s="1"/>
      <c r="J107" s="1"/>
      <c r="K107" s="1"/>
      <c r="L107" s="1"/>
      <c r="M107" s="1"/>
      <c r="N107" s="1"/>
      <c r="O107" s="1"/>
      <c r="P107" s="1"/>
      <c r="Q107" s="1"/>
      <c r="R107" s="1"/>
    </row>
    <row r="108" spans="1:18" ht="13.5" customHeight="1">
      <c r="A108" s="1"/>
      <c r="B108" s="1"/>
      <c r="C108" s="1"/>
      <c r="D108" s="1"/>
      <c r="E108" s="1"/>
      <c r="F108" s="1"/>
      <c r="G108" s="1"/>
      <c r="H108" s="1"/>
      <c r="I108" s="1"/>
      <c r="J108" s="1"/>
      <c r="K108" s="1"/>
      <c r="L108" s="1"/>
      <c r="M108" s="1"/>
      <c r="N108" s="1"/>
      <c r="O108" s="1"/>
      <c r="P108" s="1"/>
      <c r="Q108" s="1"/>
      <c r="R108" s="1"/>
    </row>
    <row r="109" spans="1:18" ht="13.5" customHeight="1">
      <c r="A109" s="1"/>
      <c r="B109" s="1"/>
      <c r="C109" s="1"/>
      <c r="D109" s="1"/>
      <c r="E109" s="1"/>
      <c r="F109" s="1"/>
      <c r="G109" s="1"/>
      <c r="H109" s="1"/>
      <c r="I109" s="1"/>
      <c r="J109" s="1"/>
      <c r="K109" s="1"/>
      <c r="L109" s="1"/>
      <c r="M109" s="1"/>
      <c r="N109" s="1"/>
      <c r="O109" s="1"/>
      <c r="P109" s="1"/>
      <c r="Q109" s="1"/>
      <c r="R109" s="1"/>
    </row>
    <row r="110" spans="1:18" ht="13.5" customHeight="1">
      <c r="A110" s="1"/>
      <c r="B110" s="1"/>
      <c r="C110" s="1"/>
      <c r="D110" s="1"/>
      <c r="E110" s="1"/>
      <c r="F110" s="1"/>
      <c r="G110" s="1"/>
      <c r="H110" s="1"/>
      <c r="I110" s="1"/>
      <c r="J110" s="1"/>
      <c r="K110" s="1"/>
      <c r="L110" s="1"/>
      <c r="M110" s="1"/>
      <c r="N110" s="1"/>
      <c r="O110" s="1"/>
      <c r="P110" s="1"/>
      <c r="Q110" s="1"/>
      <c r="R110" s="1"/>
    </row>
    <row r="111" spans="1:18" ht="13.5" customHeight="1">
      <c r="A111" s="1"/>
      <c r="B111" s="1"/>
      <c r="C111" s="1"/>
      <c r="D111" s="1"/>
      <c r="E111" s="1"/>
      <c r="F111" s="1"/>
      <c r="G111" s="1"/>
      <c r="H111" s="1"/>
      <c r="I111" s="1"/>
      <c r="J111" s="1"/>
      <c r="K111" s="1"/>
      <c r="L111" s="1"/>
      <c r="M111" s="1"/>
      <c r="N111" s="1"/>
      <c r="O111" s="1"/>
      <c r="P111" s="1"/>
      <c r="Q111" s="1"/>
      <c r="R111" s="1"/>
    </row>
    <row r="112" spans="1:18" ht="13.5" customHeight="1">
      <c r="A112" s="1"/>
      <c r="B112" s="1"/>
      <c r="C112" s="1"/>
      <c r="D112" s="1"/>
      <c r="E112" s="1"/>
      <c r="F112" s="1"/>
      <c r="G112" s="1"/>
      <c r="H112" s="1"/>
      <c r="I112" s="1"/>
      <c r="J112" s="1"/>
      <c r="K112" s="1"/>
      <c r="L112" s="1"/>
      <c r="M112" s="1"/>
      <c r="N112" s="1"/>
      <c r="O112" s="1"/>
      <c r="P112" s="1"/>
      <c r="Q112" s="1"/>
      <c r="R112" s="1"/>
    </row>
    <row r="113" spans="1:18" ht="13.5" customHeight="1">
      <c r="A113" s="1"/>
      <c r="B113" s="1"/>
      <c r="C113" s="1"/>
      <c r="D113" s="1"/>
      <c r="E113" s="1"/>
      <c r="F113" s="1"/>
      <c r="G113" s="1"/>
      <c r="H113" s="1"/>
      <c r="I113" s="1"/>
      <c r="J113" s="1"/>
      <c r="K113" s="1"/>
      <c r="L113" s="1"/>
      <c r="M113" s="1"/>
      <c r="N113" s="1"/>
      <c r="O113" s="1"/>
      <c r="P113" s="1"/>
      <c r="Q113" s="1"/>
      <c r="R113" s="1"/>
    </row>
    <row r="114" spans="1:18" ht="13.5" customHeight="1">
      <c r="A114" s="1"/>
      <c r="B114" s="1"/>
      <c r="C114" s="1"/>
      <c r="D114" s="1"/>
      <c r="E114" s="1"/>
      <c r="F114" s="1"/>
      <c r="G114" s="1"/>
      <c r="H114" s="1"/>
      <c r="I114" s="1"/>
      <c r="J114" s="1"/>
      <c r="K114" s="1"/>
      <c r="L114" s="1"/>
      <c r="M114" s="1"/>
      <c r="N114" s="1"/>
      <c r="O114" s="1"/>
      <c r="P114" s="1"/>
      <c r="Q114" s="1"/>
      <c r="R114" s="1"/>
    </row>
    <row r="115" spans="1:18" ht="13.5" customHeight="1">
      <c r="A115" s="1"/>
      <c r="B115" s="1"/>
      <c r="C115" s="1"/>
      <c r="D115" s="1"/>
      <c r="E115" s="1"/>
      <c r="F115" s="1"/>
      <c r="G115" s="1"/>
      <c r="H115" s="1"/>
      <c r="I115" s="1"/>
      <c r="J115" s="1"/>
      <c r="K115" s="1"/>
      <c r="L115" s="1"/>
      <c r="M115" s="1"/>
      <c r="N115" s="1"/>
      <c r="O115" s="1"/>
      <c r="P115" s="1"/>
      <c r="Q115" s="1"/>
      <c r="R115" s="1"/>
    </row>
    <row r="116" spans="1:18" ht="13.5" customHeight="1">
      <c r="A116" s="1"/>
      <c r="B116" s="1"/>
      <c r="C116" s="1"/>
      <c r="D116" s="1"/>
      <c r="E116" s="1"/>
      <c r="F116" s="1"/>
      <c r="G116" s="1"/>
      <c r="H116" s="1"/>
      <c r="I116" s="1"/>
      <c r="J116" s="1"/>
      <c r="K116" s="1"/>
      <c r="L116" s="1"/>
      <c r="M116" s="1"/>
      <c r="N116" s="1"/>
      <c r="O116" s="1"/>
      <c r="P116" s="1"/>
      <c r="Q116" s="1"/>
      <c r="R116" s="1"/>
    </row>
    <row r="117" spans="1:18" ht="13.5" customHeight="1">
      <c r="A117" s="1"/>
      <c r="B117" s="1"/>
      <c r="C117" s="1"/>
      <c r="D117" s="1"/>
      <c r="E117" s="1"/>
      <c r="F117" s="1"/>
      <c r="G117" s="1"/>
      <c r="H117" s="1"/>
      <c r="I117" s="1"/>
      <c r="J117" s="1"/>
      <c r="K117" s="1"/>
      <c r="L117" s="1"/>
      <c r="M117" s="1"/>
      <c r="N117" s="1"/>
      <c r="O117" s="1"/>
      <c r="P117" s="1"/>
      <c r="Q117" s="1"/>
      <c r="R117" s="1"/>
    </row>
    <row r="118" spans="1:18" ht="13.5" customHeight="1">
      <c r="A118" s="1"/>
      <c r="B118" s="1"/>
      <c r="C118" s="1"/>
      <c r="D118" s="1"/>
      <c r="E118" s="1"/>
      <c r="F118" s="1"/>
      <c r="G118" s="1"/>
      <c r="H118" s="1"/>
      <c r="I118" s="1"/>
      <c r="J118" s="1"/>
      <c r="K118" s="1"/>
      <c r="L118" s="1"/>
      <c r="M118" s="1"/>
      <c r="N118" s="1"/>
      <c r="O118" s="1"/>
      <c r="P118" s="1"/>
      <c r="Q118" s="1"/>
      <c r="R118" s="1"/>
    </row>
    <row r="119" spans="1:18" ht="13.5" customHeight="1">
      <c r="A119" s="1"/>
      <c r="B119" s="1"/>
      <c r="C119" s="1"/>
      <c r="D119" s="1"/>
      <c r="E119" s="1"/>
      <c r="F119" s="1"/>
      <c r="G119" s="1"/>
      <c r="H119" s="1"/>
      <c r="I119" s="1"/>
      <c r="J119" s="1"/>
      <c r="K119" s="1"/>
      <c r="L119" s="1"/>
      <c r="M119" s="1"/>
      <c r="N119" s="1"/>
      <c r="O119" s="1"/>
      <c r="P119" s="1"/>
      <c r="Q119" s="1"/>
      <c r="R119" s="1"/>
    </row>
    <row r="120" spans="1:18" ht="13.5" customHeight="1">
      <c r="A120" s="1"/>
      <c r="B120" s="1"/>
      <c r="C120" s="1"/>
      <c r="D120" s="1"/>
      <c r="E120" s="1"/>
      <c r="F120" s="1"/>
      <c r="G120" s="1"/>
      <c r="H120" s="1"/>
      <c r="I120" s="1"/>
      <c r="J120" s="1"/>
      <c r="K120" s="1"/>
      <c r="L120" s="1"/>
      <c r="M120" s="1"/>
      <c r="N120" s="1"/>
      <c r="O120" s="1"/>
      <c r="P120" s="1"/>
      <c r="Q120" s="1"/>
      <c r="R120" s="1"/>
    </row>
    <row r="121" spans="1:18" ht="13.5" customHeight="1">
      <c r="A121" s="1"/>
      <c r="B121" s="1"/>
      <c r="C121" s="1"/>
      <c r="D121" s="1"/>
      <c r="E121" s="1"/>
      <c r="F121" s="1"/>
      <c r="G121" s="1"/>
      <c r="H121" s="1"/>
      <c r="I121" s="1"/>
      <c r="J121" s="1"/>
      <c r="K121" s="1"/>
      <c r="L121" s="1"/>
      <c r="M121" s="1"/>
      <c r="N121" s="1"/>
      <c r="O121" s="1"/>
      <c r="P121" s="1"/>
      <c r="Q121" s="1"/>
      <c r="R121" s="1"/>
    </row>
    <row r="122" spans="1:18" ht="13.5" customHeight="1">
      <c r="A122" s="1"/>
      <c r="B122" s="1"/>
      <c r="C122" s="1"/>
      <c r="D122" s="1"/>
      <c r="E122" s="1"/>
      <c r="F122" s="1"/>
      <c r="G122" s="1"/>
      <c r="H122" s="1"/>
      <c r="I122" s="1"/>
      <c r="J122" s="1"/>
      <c r="K122" s="1"/>
      <c r="L122" s="1"/>
      <c r="M122" s="1"/>
      <c r="N122" s="1"/>
      <c r="O122" s="1"/>
      <c r="P122" s="1"/>
      <c r="Q122" s="1"/>
      <c r="R122" s="1"/>
    </row>
    <row r="123" spans="1:18" ht="13.5" customHeight="1">
      <c r="A123" s="1"/>
      <c r="B123" s="1"/>
      <c r="C123" s="1"/>
      <c r="D123" s="1"/>
      <c r="E123" s="1"/>
      <c r="F123" s="1"/>
      <c r="G123" s="1"/>
      <c r="H123" s="1"/>
      <c r="I123" s="1"/>
      <c r="J123" s="1"/>
      <c r="K123" s="1"/>
      <c r="L123" s="1"/>
      <c r="M123" s="1"/>
      <c r="N123" s="1"/>
      <c r="O123" s="1"/>
      <c r="P123" s="1"/>
      <c r="Q123" s="1"/>
      <c r="R123" s="1"/>
    </row>
    <row r="124" spans="1:18" ht="13.5" customHeight="1">
      <c r="A124" s="1"/>
      <c r="B124" s="1"/>
      <c r="C124" s="1"/>
      <c r="D124" s="1"/>
      <c r="E124" s="1"/>
      <c r="F124" s="1"/>
      <c r="G124" s="1"/>
      <c r="H124" s="1"/>
      <c r="I124" s="1"/>
      <c r="J124" s="1"/>
      <c r="K124" s="1"/>
      <c r="L124" s="1"/>
      <c r="M124" s="1"/>
      <c r="N124" s="1"/>
      <c r="O124" s="1"/>
      <c r="P124" s="1"/>
      <c r="Q124" s="1"/>
      <c r="R124" s="1"/>
    </row>
    <row r="125" spans="1:18" ht="13.5" customHeight="1">
      <c r="A125" s="1"/>
      <c r="B125" s="1"/>
      <c r="C125" s="1"/>
      <c r="D125" s="1"/>
      <c r="E125" s="1"/>
      <c r="F125" s="1"/>
      <c r="G125" s="1"/>
      <c r="H125" s="1"/>
      <c r="I125" s="1"/>
      <c r="J125" s="1"/>
      <c r="K125" s="1"/>
      <c r="L125" s="1"/>
      <c r="M125" s="1"/>
      <c r="N125" s="1"/>
      <c r="O125" s="1"/>
      <c r="P125" s="1"/>
      <c r="Q125" s="1"/>
      <c r="R125" s="1"/>
    </row>
    <row r="126" spans="1:18" ht="13.5" customHeight="1">
      <c r="A126" s="1"/>
      <c r="B126" s="1"/>
      <c r="C126" s="1"/>
      <c r="D126" s="1"/>
      <c r="E126" s="1"/>
      <c r="F126" s="1"/>
      <c r="G126" s="1"/>
      <c r="H126" s="1"/>
      <c r="I126" s="1"/>
      <c r="J126" s="1"/>
      <c r="K126" s="1"/>
      <c r="L126" s="1"/>
      <c r="M126" s="1"/>
      <c r="N126" s="1"/>
      <c r="O126" s="1"/>
      <c r="P126" s="1"/>
      <c r="Q126" s="1"/>
      <c r="R126" s="1"/>
    </row>
    <row r="127" spans="1:18" ht="13.5" customHeight="1">
      <c r="A127" s="1"/>
      <c r="B127" s="1"/>
      <c r="C127" s="1"/>
      <c r="D127" s="1"/>
      <c r="E127" s="1"/>
      <c r="F127" s="1"/>
      <c r="G127" s="1"/>
      <c r="H127" s="1"/>
      <c r="I127" s="1"/>
      <c r="J127" s="1"/>
      <c r="K127" s="1"/>
      <c r="L127" s="1"/>
      <c r="M127" s="1"/>
      <c r="N127" s="1"/>
      <c r="O127" s="1"/>
      <c r="P127" s="1"/>
      <c r="Q127" s="1"/>
      <c r="R127" s="1"/>
    </row>
    <row r="128" spans="1:18" ht="13.5" customHeight="1">
      <c r="A128" s="1"/>
      <c r="B128" s="1"/>
      <c r="C128" s="1"/>
      <c r="D128" s="1"/>
      <c r="E128" s="1"/>
      <c r="F128" s="1"/>
      <c r="G128" s="1"/>
      <c r="H128" s="1"/>
      <c r="I128" s="1"/>
      <c r="J128" s="1"/>
      <c r="K128" s="1"/>
      <c r="L128" s="1"/>
      <c r="M128" s="1"/>
      <c r="N128" s="1"/>
      <c r="O128" s="1"/>
      <c r="P128" s="1"/>
      <c r="Q128" s="1"/>
      <c r="R128" s="1"/>
    </row>
    <row r="129" spans="1:18" ht="13.5" customHeight="1">
      <c r="A129" s="1"/>
      <c r="B129" s="1"/>
      <c r="C129" s="1"/>
      <c r="D129" s="1"/>
      <c r="E129" s="1"/>
      <c r="F129" s="1"/>
      <c r="G129" s="1"/>
      <c r="H129" s="1"/>
      <c r="I129" s="1"/>
      <c r="J129" s="1"/>
      <c r="K129" s="1"/>
      <c r="L129" s="1"/>
      <c r="M129" s="1"/>
      <c r="N129" s="1"/>
      <c r="O129" s="1"/>
      <c r="P129" s="1"/>
      <c r="Q129" s="1"/>
      <c r="R129" s="1"/>
    </row>
    <row r="130" spans="1:18" ht="13.5" customHeight="1">
      <c r="A130" s="1"/>
      <c r="B130" s="1"/>
      <c r="C130" s="1"/>
      <c r="D130" s="1"/>
      <c r="E130" s="1"/>
      <c r="F130" s="1"/>
      <c r="G130" s="1"/>
      <c r="H130" s="1"/>
      <c r="I130" s="1"/>
      <c r="J130" s="1"/>
      <c r="K130" s="1"/>
      <c r="L130" s="1"/>
      <c r="M130" s="1"/>
      <c r="N130" s="1"/>
      <c r="O130" s="1"/>
      <c r="P130" s="1"/>
      <c r="Q130" s="1"/>
      <c r="R130" s="1"/>
    </row>
    <row r="131" spans="1:18" ht="13.5" customHeight="1">
      <c r="A131" s="1"/>
      <c r="B131" s="1"/>
      <c r="C131" s="1"/>
      <c r="D131" s="1"/>
      <c r="E131" s="1"/>
      <c r="F131" s="1"/>
      <c r="G131" s="1"/>
      <c r="H131" s="1"/>
      <c r="I131" s="1"/>
      <c r="J131" s="1"/>
      <c r="K131" s="1"/>
      <c r="L131" s="1"/>
      <c r="M131" s="1"/>
      <c r="N131" s="1"/>
      <c r="O131" s="1"/>
      <c r="P131" s="1"/>
      <c r="Q131" s="1"/>
      <c r="R131" s="1"/>
    </row>
    <row r="132" spans="1:18" ht="13.5" customHeight="1">
      <c r="A132" s="1"/>
      <c r="B132" s="1"/>
      <c r="C132" s="1"/>
      <c r="D132" s="1"/>
      <c r="E132" s="1"/>
      <c r="F132" s="1"/>
      <c r="G132" s="1"/>
      <c r="H132" s="1"/>
      <c r="I132" s="1"/>
      <c r="J132" s="1"/>
      <c r="K132" s="1"/>
      <c r="L132" s="1"/>
      <c r="M132" s="1"/>
      <c r="N132" s="1"/>
      <c r="O132" s="1"/>
      <c r="P132" s="1"/>
      <c r="Q132" s="1"/>
      <c r="R132" s="1"/>
    </row>
    <row r="133" spans="1:18" ht="13.5" customHeight="1">
      <c r="A133" s="1"/>
      <c r="B133" s="1"/>
      <c r="C133" s="1"/>
      <c r="D133" s="1"/>
      <c r="E133" s="1"/>
      <c r="F133" s="1"/>
      <c r="G133" s="1"/>
      <c r="H133" s="1"/>
      <c r="I133" s="1"/>
      <c r="J133" s="1"/>
      <c r="K133" s="1"/>
      <c r="L133" s="1"/>
      <c r="M133" s="1"/>
      <c r="N133" s="1"/>
      <c r="O133" s="1"/>
      <c r="P133" s="1"/>
      <c r="Q133" s="1"/>
      <c r="R133" s="1"/>
    </row>
    <row r="134" spans="1:18" ht="13.5" customHeight="1">
      <c r="A134" s="1"/>
      <c r="B134" s="1"/>
      <c r="C134" s="1"/>
      <c r="D134" s="1"/>
      <c r="E134" s="1"/>
      <c r="F134" s="1"/>
      <c r="G134" s="1"/>
      <c r="H134" s="1"/>
      <c r="I134" s="1"/>
      <c r="J134" s="1"/>
      <c r="K134" s="1"/>
      <c r="L134" s="1"/>
      <c r="M134" s="1"/>
      <c r="N134" s="1"/>
      <c r="O134" s="1"/>
      <c r="P134" s="1"/>
      <c r="Q134" s="1"/>
      <c r="R134" s="1"/>
    </row>
    <row r="135" spans="1:18" ht="13.5" customHeight="1">
      <c r="A135" s="1"/>
      <c r="B135" s="1"/>
      <c r="C135" s="1"/>
      <c r="D135" s="1"/>
      <c r="E135" s="1"/>
      <c r="F135" s="1"/>
      <c r="G135" s="1"/>
      <c r="H135" s="1"/>
      <c r="I135" s="1"/>
      <c r="J135" s="1"/>
      <c r="K135" s="1"/>
      <c r="L135" s="1"/>
      <c r="M135" s="1"/>
      <c r="N135" s="1"/>
      <c r="O135" s="1"/>
      <c r="P135" s="1"/>
      <c r="Q135" s="1"/>
      <c r="R135" s="1"/>
    </row>
    <row r="136" spans="1:18" ht="13.5" customHeight="1">
      <c r="A136" s="1"/>
      <c r="B136" s="1"/>
      <c r="C136" s="1"/>
      <c r="D136" s="1"/>
      <c r="E136" s="1"/>
      <c r="F136" s="1"/>
      <c r="G136" s="1"/>
      <c r="H136" s="1"/>
      <c r="I136" s="1"/>
      <c r="J136" s="1"/>
      <c r="K136" s="1"/>
      <c r="L136" s="1"/>
      <c r="M136" s="1"/>
      <c r="N136" s="1"/>
      <c r="O136" s="1"/>
      <c r="P136" s="1"/>
      <c r="Q136" s="1"/>
      <c r="R136" s="1"/>
    </row>
    <row r="137" spans="1:18" ht="13.5" customHeight="1">
      <c r="A137" s="1"/>
      <c r="B137" s="1"/>
      <c r="C137" s="1"/>
      <c r="D137" s="1"/>
      <c r="E137" s="1"/>
      <c r="F137" s="1"/>
      <c r="G137" s="1"/>
      <c r="H137" s="1"/>
      <c r="I137" s="1"/>
      <c r="J137" s="1"/>
      <c r="K137" s="1"/>
      <c r="L137" s="1"/>
      <c r="M137" s="1"/>
      <c r="N137" s="1"/>
      <c r="O137" s="1"/>
      <c r="P137" s="1"/>
      <c r="Q137" s="1"/>
      <c r="R137" s="1"/>
    </row>
    <row r="138" spans="1:18" ht="13.5" customHeight="1">
      <c r="A138" s="1"/>
      <c r="B138" s="1"/>
      <c r="C138" s="1"/>
      <c r="D138" s="1"/>
      <c r="E138" s="1"/>
      <c r="F138" s="1"/>
      <c r="G138" s="1"/>
      <c r="H138" s="1"/>
      <c r="I138" s="1"/>
      <c r="J138" s="1"/>
      <c r="K138" s="1"/>
      <c r="L138" s="1"/>
      <c r="M138" s="1"/>
      <c r="N138" s="1"/>
      <c r="O138" s="1"/>
      <c r="P138" s="1"/>
      <c r="Q138" s="1"/>
      <c r="R138" s="1"/>
    </row>
    <row r="139" spans="1:18" ht="13.5" customHeight="1">
      <c r="A139" s="1"/>
      <c r="B139" s="1"/>
      <c r="C139" s="1"/>
      <c r="D139" s="1"/>
      <c r="E139" s="1"/>
      <c r="F139" s="1"/>
      <c r="G139" s="1"/>
      <c r="H139" s="1"/>
      <c r="I139" s="1"/>
      <c r="J139" s="1"/>
      <c r="K139" s="1"/>
      <c r="L139" s="1"/>
      <c r="M139" s="1"/>
      <c r="N139" s="1"/>
      <c r="O139" s="1"/>
      <c r="P139" s="1"/>
      <c r="Q139" s="1"/>
      <c r="R139" s="1"/>
    </row>
    <row r="140" spans="1:18" ht="13.5" customHeight="1">
      <c r="A140" s="1"/>
      <c r="B140" s="1"/>
      <c r="C140" s="1"/>
      <c r="D140" s="1"/>
      <c r="E140" s="1"/>
      <c r="F140" s="1"/>
      <c r="G140" s="1"/>
      <c r="H140" s="1"/>
      <c r="I140" s="1"/>
      <c r="J140" s="1"/>
      <c r="K140" s="1"/>
      <c r="L140" s="1"/>
      <c r="M140" s="1"/>
      <c r="N140" s="1"/>
      <c r="O140" s="1"/>
      <c r="P140" s="1"/>
      <c r="Q140" s="1"/>
      <c r="R140" s="1"/>
    </row>
    <row r="141" spans="1:18" ht="13.5" customHeight="1">
      <c r="A141" s="1"/>
      <c r="B141" s="1"/>
      <c r="C141" s="1"/>
      <c r="D141" s="1"/>
      <c r="E141" s="1"/>
      <c r="F141" s="1"/>
      <c r="G141" s="1"/>
      <c r="H141" s="1"/>
      <c r="I141" s="1"/>
      <c r="J141" s="1"/>
      <c r="K141" s="1"/>
      <c r="L141" s="1"/>
      <c r="M141" s="1"/>
      <c r="N141" s="1"/>
      <c r="O141" s="1"/>
      <c r="P141" s="1"/>
      <c r="Q141" s="1"/>
      <c r="R141" s="1"/>
    </row>
    <row r="142" spans="1:18" ht="13.5" customHeight="1">
      <c r="A142" s="1"/>
      <c r="B142" s="1"/>
      <c r="C142" s="1"/>
      <c r="D142" s="1"/>
      <c r="E142" s="1"/>
      <c r="F142" s="1"/>
      <c r="G142" s="1"/>
      <c r="H142" s="1"/>
      <c r="I142" s="1"/>
      <c r="J142" s="1"/>
      <c r="K142" s="1"/>
      <c r="L142" s="1"/>
      <c r="M142" s="1"/>
      <c r="N142" s="1"/>
      <c r="O142" s="1"/>
      <c r="P142" s="1"/>
      <c r="Q142" s="1"/>
      <c r="R142" s="1"/>
    </row>
    <row r="143" spans="1:18" ht="13.5" customHeight="1">
      <c r="A143" s="1"/>
      <c r="B143" s="1"/>
      <c r="C143" s="1"/>
      <c r="D143" s="1"/>
      <c r="E143" s="1"/>
      <c r="F143" s="1"/>
      <c r="G143" s="1"/>
      <c r="H143" s="1"/>
      <c r="I143" s="1"/>
      <c r="J143" s="1"/>
      <c r="K143" s="1"/>
      <c r="L143" s="1"/>
      <c r="M143" s="1"/>
      <c r="N143" s="1"/>
      <c r="O143" s="1"/>
      <c r="P143" s="1"/>
      <c r="Q143" s="1"/>
      <c r="R143" s="1"/>
    </row>
    <row r="144" spans="1:18" ht="13.5" customHeight="1">
      <c r="A144" s="1"/>
      <c r="B144" s="1"/>
      <c r="C144" s="1"/>
      <c r="D144" s="1"/>
      <c r="E144" s="1"/>
      <c r="F144" s="1"/>
      <c r="G144" s="1"/>
      <c r="H144" s="1"/>
      <c r="I144" s="1"/>
      <c r="J144" s="1"/>
      <c r="K144" s="1"/>
      <c r="L144" s="1"/>
      <c r="M144" s="1"/>
      <c r="N144" s="1"/>
      <c r="O144" s="1"/>
      <c r="P144" s="1"/>
      <c r="Q144" s="1"/>
      <c r="R144" s="1"/>
    </row>
    <row r="145" spans="1:18" ht="13.5" customHeight="1">
      <c r="A145" s="1"/>
      <c r="B145" s="1"/>
      <c r="C145" s="1"/>
      <c r="D145" s="1"/>
      <c r="E145" s="1"/>
      <c r="F145" s="1"/>
      <c r="G145" s="1"/>
      <c r="H145" s="1"/>
      <c r="I145" s="1"/>
      <c r="J145" s="1"/>
      <c r="K145" s="1"/>
      <c r="L145" s="1"/>
      <c r="M145" s="1"/>
      <c r="N145" s="1"/>
      <c r="O145" s="1"/>
      <c r="P145" s="1"/>
      <c r="Q145" s="1"/>
      <c r="R145" s="1"/>
    </row>
    <row r="146" spans="1:18" ht="13.5" customHeight="1">
      <c r="A146" s="1"/>
      <c r="B146" s="1"/>
      <c r="C146" s="1"/>
      <c r="D146" s="1"/>
      <c r="E146" s="1"/>
      <c r="F146" s="1"/>
      <c r="G146" s="1"/>
      <c r="H146" s="1"/>
      <c r="I146" s="1"/>
      <c r="J146" s="1"/>
      <c r="K146" s="1"/>
      <c r="L146" s="1"/>
      <c r="M146" s="1"/>
      <c r="N146" s="1"/>
      <c r="O146" s="1"/>
      <c r="P146" s="1"/>
      <c r="Q146" s="1"/>
      <c r="R146" s="1"/>
    </row>
    <row r="147" spans="1:18" ht="13.5" customHeight="1">
      <c r="A147" s="1"/>
      <c r="B147" s="1"/>
      <c r="C147" s="1"/>
      <c r="D147" s="1"/>
      <c r="E147" s="1"/>
      <c r="F147" s="1"/>
      <c r="G147" s="1"/>
      <c r="H147" s="1"/>
      <c r="I147" s="1"/>
      <c r="J147" s="1"/>
      <c r="K147" s="1"/>
      <c r="L147" s="1"/>
      <c r="M147" s="1"/>
      <c r="N147" s="1"/>
      <c r="O147" s="1"/>
      <c r="P147" s="1"/>
      <c r="Q147" s="1"/>
      <c r="R147" s="1"/>
    </row>
    <row r="148" spans="1:18" ht="13.5" customHeight="1">
      <c r="A148" s="1"/>
      <c r="B148" s="1"/>
      <c r="C148" s="1"/>
      <c r="D148" s="1"/>
      <c r="E148" s="1"/>
      <c r="F148" s="1"/>
      <c r="G148" s="1"/>
      <c r="H148" s="1"/>
      <c r="I148" s="1"/>
      <c r="J148" s="1"/>
      <c r="K148" s="1"/>
      <c r="L148" s="1"/>
      <c r="M148" s="1"/>
      <c r="N148" s="1"/>
      <c r="O148" s="1"/>
      <c r="P148" s="1"/>
      <c r="Q148" s="1"/>
      <c r="R148" s="1"/>
    </row>
    <row r="149" spans="1:18" ht="13.5" customHeight="1">
      <c r="A149" s="1"/>
      <c r="B149" s="1"/>
      <c r="C149" s="1"/>
      <c r="D149" s="1"/>
      <c r="E149" s="1"/>
      <c r="F149" s="1"/>
      <c r="G149" s="1"/>
      <c r="H149" s="1"/>
      <c r="I149" s="1"/>
      <c r="J149" s="1"/>
      <c r="K149" s="1"/>
      <c r="L149" s="1"/>
      <c r="M149" s="1"/>
      <c r="N149" s="1"/>
      <c r="O149" s="1"/>
      <c r="P149" s="1"/>
      <c r="Q149" s="1"/>
      <c r="R149" s="1"/>
    </row>
    <row r="150" spans="1:18" ht="13.5" customHeight="1">
      <c r="A150" s="1"/>
      <c r="B150" s="1"/>
      <c r="C150" s="1"/>
      <c r="D150" s="1"/>
      <c r="E150" s="1"/>
      <c r="F150" s="1"/>
      <c r="G150" s="1"/>
      <c r="H150" s="1"/>
      <c r="I150" s="1"/>
      <c r="J150" s="1"/>
      <c r="K150" s="1"/>
      <c r="L150" s="1"/>
      <c r="M150" s="1"/>
      <c r="N150" s="1"/>
      <c r="O150" s="1"/>
      <c r="P150" s="1"/>
      <c r="Q150" s="1"/>
      <c r="R150" s="1"/>
    </row>
    <row r="151" spans="1:18" ht="13.5" customHeight="1">
      <c r="A151" s="1"/>
      <c r="B151" s="1"/>
      <c r="C151" s="1"/>
      <c r="D151" s="1"/>
      <c r="E151" s="1"/>
      <c r="F151" s="1"/>
      <c r="G151" s="1"/>
      <c r="H151" s="1"/>
      <c r="I151" s="1"/>
      <c r="J151" s="1"/>
      <c r="K151" s="1"/>
      <c r="L151" s="1"/>
      <c r="M151" s="1"/>
      <c r="N151" s="1"/>
      <c r="O151" s="1"/>
      <c r="P151" s="1"/>
      <c r="Q151" s="1"/>
      <c r="R151" s="1"/>
    </row>
    <row r="152" spans="1:18" ht="13.5" customHeight="1">
      <c r="A152" s="1"/>
      <c r="B152" s="1"/>
      <c r="C152" s="1"/>
      <c r="D152" s="1"/>
      <c r="E152" s="1"/>
      <c r="F152" s="1"/>
      <c r="G152" s="1"/>
      <c r="H152" s="1"/>
      <c r="I152" s="1"/>
      <c r="J152" s="1"/>
      <c r="K152" s="1"/>
      <c r="L152" s="1"/>
      <c r="M152" s="1"/>
      <c r="N152" s="1"/>
      <c r="O152" s="1"/>
      <c r="P152" s="1"/>
      <c r="Q152" s="1"/>
      <c r="R152" s="1"/>
    </row>
    <row r="153" spans="1:18" ht="13.5" customHeight="1">
      <c r="A153" s="1"/>
      <c r="B153" s="1"/>
      <c r="C153" s="1"/>
      <c r="D153" s="1"/>
      <c r="E153" s="1"/>
      <c r="F153" s="1"/>
      <c r="G153" s="1"/>
      <c r="H153" s="1"/>
      <c r="I153" s="1"/>
      <c r="J153" s="1"/>
      <c r="K153" s="1"/>
      <c r="L153" s="1"/>
      <c r="M153" s="1"/>
      <c r="N153" s="1"/>
      <c r="O153" s="1"/>
      <c r="P153" s="1"/>
      <c r="Q153" s="1"/>
      <c r="R153" s="1"/>
    </row>
    <row r="154" spans="1:18" ht="13.5" customHeight="1">
      <c r="A154" s="1"/>
      <c r="B154" s="1"/>
      <c r="C154" s="1"/>
      <c r="D154" s="1"/>
      <c r="E154" s="1"/>
      <c r="F154" s="1"/>
      <c r="G154" s="1"/>
      <c r="H154" s="1"/>
      <c r="I154" s="1"/>
      <c r="J154" s="1"/>
      <c r="K154" s="1"/>
      <c r="L154" s="1"/>
      <c r="M154" s="1"/>
      <c r="N154" s="1"/>
      <c r="O154" s="1"/>
      <c r="P154" s="1"/>
      <c r="Q154" s="1"/>
      <c r="R154" s="1"/>
    </row>
    <row r="155" spans="1:18" ht="13.5" customHeight="1">
      <c r="A155" s="1"/>
      <c r="B155" s="1"/>
      <c r="C155" s="1"/>
      <c r="D155" s="1"/>
      <c r="E155" s="1"/>
      <c r="F155" s="1"/>
      <c r="G155" s="1"/>
      <c r="H155" s="1"/>
      <c r="I155" s="1"/>
      <c r="J155" s="1"/>
      <c r="K155" s="1"/>
      <c r="L155" s="1"/>
      <c r="M155" s="1"/>
      <c r="N155" s="1"/>
      <c r="O155" s="1"/>
      <c r="P155" s="1"/>
      <c r="Q155" s="1"/>
      <c r="R155" s="1"/>
    </row>
    <row r="156" spans="1:18" ht="13.5" customHeight="1">
      <c r="A156" s="1"/>
      <c r="B156" s="1"/>
      <c r="C156" s="1"/>
      <c r="D156" s="1"/>
      <c r="E156" s="1"/>
      <c r="F156" s="1"/>
      <c r="G156" s="1"/>
      <c r="H156" s="1"/>
      <c r="I156" s="1"/>
      <c r="J156" s="1"/>
      <c r="K156" s="1"/>
      <c r="L156" s="1"/>
      <c r="M156" s="1"/>
      <c r="N156" s="1"/>
      <c r="O156" s="1"/>
      <c r="P156" s="1"/>
      <c r="Q156" s="1"/>
      <c r="R156" s="1"/>
    </row>
    <row r="157" spans="1:18" ht="13.5" customHeight="1">
      <c r="A157" s="1"/>
      <c r="B157" s="1"/>
      <c r="C157" s="1"/>
      <c r="D157" s="1"/>
      <c r="E157" s="1"/>
      <c r="F157" s="1"/>
      <c r="G157" s="1"/>
      <c r="H157" s="1"/>
      <c r="I157" s="1"/>
      <c r="J157" s="1"/>
      <c r="K157" s="1"/>
      <c r="L157" s="1"/>
      <c r="M157" s="1"/>
      <c r="N157" s="1"/>
      <c r="O157" s="1"/>
      <c r="P157" s="1"/>
      <c r="Q157" s="1"/>
      <c r="R157" s="1"/>
    </row>
    <row r="158" spans="1:18" ht="13.5" customHeight="1">
      <c r="A158" s="1"/>
      <c r="B158" s="1"/>
      <c r="C158" s="1"/>
      <c r="D158" s="1"/>
      <c r="E158" s="1"/>
      <c r="F158" s="1"/>
      <c r="G158" s="1"/>
      <c r="H158" s="1"/>
      <c r="I158" s="1"/>
      <c r="J158" s="1"/>
      <c r="K158" s="1"/>
      <c r="L158" s="1"/>
      <c r="M158" s="1"/>
      <c r="N158" s="1"/>
      <c r="O158" s="1"/>
      <c r="P158" s="1"/>
      <c r="Q158" s="1"/>
      <c r="R158" s="1"/>
    </row>
    <row r="159" spans="1:18" ht="13.5" customHeight="1">
      <c r="A159" s="1"/>
      <c r="B159" s="1"/>
      <c r="C159" s="1"/>
      <c r="D159" s="1"/>
      <c r="E159" s="1"/>
      <c r="F159" s="1"/>
      <c r="G159" s="1"/>
      <c r="H159" s="1"/>
      <c r="I159" s="1"/>
      <c r="J159" s="1"/>
      <c r="K159" s="1"/>
      <c r="L159" s="1"/>
      <c r="M159" s="1"/>
      <c r="N159" s="1"/>
      <c r="O159" s="1"/>
      <c r="P159" s="1"/>
      <c r="Q159" s="1"/>
      <c r="R159" s="1"/>
    </row>
    <row r="160" spans="1:18" ht="13.5" customHeight="1">
      <c r="A160" s="1"/>
      <c r="B160" s="1"/>
      <c r="C160" s="1"/>
      <c r="D160" s="1"/>
      <c r="E160" s="1"/>
      <c r="F160" s="1"/>
      <c r="G160" s="1"/>
      <c r="H160" s="1"/>
      <c r="I160" s="1"/>
      <c r="J160" s="1"/>
      <c r="K160" s="1"/>
      <c r="L160" s="1"/>
      <c r="M160" s="1"/>
      <c r="N160" s="1"/>
      <c r="O160" s="1"/>
      <c r="P160" s="1"/>
      <c r="Q160" s="1"/>
      <c r="R160" s="1"/>
    </row>
    <row r="161" spans="1:18" ht="13.5" customHeight="1">
      <c r="A161" s="1"/>
      <c r="B161" s="1"/>
      <c r="C161" s="1"/>
      <c r="D161" s="1"/>
      <c r="E161" s="1"/>
      <c r="F161" s="1"/>
      <c r="G161" s="1"/>
      <c r="H161" s="1"/>
      <c r="I161" s="1"/>
      <c r="J161" s="1"/>
      <c r="K161" s="1"/>
      <c r="L161" s="1"/>
      <c r="M161" s="1"/>
      <c r="N161" s="1"/>
      <c r="O161" s="1"/>
      <c r="P161" s="1"/>
      <c r="Q161" s="1"/>
      <c r="R161" s="1"/>
    </row>
    <row r="162" spans="1:18" ht="13.5" customHeight="1">
      <c r="A162" s="1"/>
      <c r="B162" s="1"/>
      <c r="C162" s="1"/>
      <c r="D162" s="1"/>
      <c r="E162" s="1"/>
      <c r="F162" s="1"/>
      <c r="G162" s="1"/>
      <c r="H162" s="1"/>
      <c r="I162" s="1"/>
      <c r="J162" s="1"/>
      <c r="K162" s="1"/>
      <c r="L162" s="1"/>
      <c r="M162" s="1"/>
      <c r="N162" s="1"/>
      <c r="O162" s="1"/>
      <c r="P162" s="1"/>
      <c r="Q162" s="1"/>
      <c r="R162" s="1"/>
    </row>
    <row r="163" spans="1:18" ht="13.5" customHeight="1">
      <c r="A163" s="1"/>
      <c r="B163" s="1"/>
      <c r="C163" s="1"/>
      <c r="D163" s="1"/>
      <c r="E163" s="1"/>
      <c r="F163" s="1"/>
      <c r="G163" s="1"/>
      <c r="H163" s="1"/>
      <c r="I163" s="1"/>
      <c r="J163" s="1"/>
      <c r="K163" s="1"/>
      <c r="L163" s="1"/>
      <c r="M163" s="1"/>
      <c r="N163" s="1"/>
      <c r="O163" s="1"/>
      <c r="P163" s="1"/>
      <c r="Q163" s="1"/>
      <c r="R163" s="1"/>
    </row>
    <row r="164" spans="1:18" ht="13.5" customHeight="1">
      <c r="A164" s="1"/>
      <c r="B164" s="1"/>
      <c r="C164" s="1"/>
      <c r="D164" s="1"/>
      <c r="E164" s="1"/>
      <c r="F164" s="1"/>
      <c r="G164" s="1"/>
      <c r="H164" s="1"/>
      <c r="I164" s="1"/>
      <c r="J164" s="1"/>
      <c r="K164" s="1"/>
      <c r="L164" s="1"/>
      <c r="M164" s="1"/>
      <c r="N164" s="1"/>
      <c r="O164" s="1"/>
      <c r="P164" s="1"/>
      <c r="Q164" s="1"/>
      <c r="R164" s="1"/>
    </row>
    <row r="165" spans="1:18" ht="13.5" customHeight="1">
      <c r="A165" s="1"/>
      <c r="B165" s="1"/>
      <c r="C165" s="1"/>
      <c r="D165" s="1"/>
      <c r="E165" s="1"/>
      <c r="F165" s="1"/>
      <c r="G165" s="1"/>
      <c r="H165" s="1"/>
      <c r="I165" s="1"/>
      <c r="J165" s="1"/>
      <c r="K165" s="1"/>
      <c r="L165" s="1"/>
      <c r="M165" s="1"/>
      <c r="N165" s="1"/>
      <c r="O165" s="1"/>
      <c r="P165" s="1"/>
      <c r="Q165" s="1"/>
      <c r="R165" s="1"/>
    </row>
    <row r="166" spans="1:18" ht="13.5" customHeight="1">
      <c r="A166" s="1"/>
      <c r="B166" s="1"/>
      <c r="C166" s="1"/>
      <c r="D166" s="1"/>
      <c r="E166" s="1"/>
      <c r="F166" s="1"/>
      <c r="G166" s="1"/>
      <c r="H166" s="1"/>
      <c r="I166" s="1"/>
      <c r="J166" s="1"/>
      <c r="K166" s="1"/>
      <c r="L166" s="1"/>
      <c r="M166" s="1"/>
      <c r="N166" s="1"/>
      <c r="O166" s="1"/>
      <c r="P166" s="1"/>
      <c r="Q166" s="1"/>
      <c r="R166" s="1"/>
    </row>
    <row r="167" spans="1:18" ht="13.5" customHeight="1">
      <c r="A167" s="1"/>
      <c r="B167" s="1"/>
      <c r="C167" s="1"/>
      <c r="D167" s="1"/>
      <c r="E167" s="1"/>
      <c r="F167" s="1"/>
      <c r="G167" s="1"/>
      <c r="H167" s="1"/>
      <c r="I167" s="1"/>
      <c r="J167" s="1"/>
      <c r="K167" s="1"/>
      <c r="L167" s="1"/>
      <c r="M167" s="1"/>
      <c r="N167" s="1"/>
      <c r="O167" s="1"/>
      <c r="P167" s="1"/>
      <c r="Q167" s="1"/>
      <c r="R167" s="1"/>
    </row>
    <row r="168" spans="1:18" ht="13.5" customHeight="1">
      <c r="A168" s="1"/>
      <c r="B168" s="1"/>
      <c r="C168" s="1"/>
      <c r="D168" s="1"/>
      <c r="E168" s="1"/>
      <c r="F168" s="1"/>
      <c r="G168" s="1"/>
      <c r="H168" s="1"/>
      <c r="I168" s="1"/>
      <c r="J168" s="1"/>
      <c r="K168" s="1"/>
      <c r="L168" s="1"/>
      <c r="M168" s="1"/>
      <c r="N168" s="1"/>
      <c r="O168" s="1"/>
      <c r="P168" s="1"/>
      <c r="Q168" s="1"/>
      <c r="R168" s="1"/>
    </row>
    <row r="169" spans="1:18" ht="13.5" customHeight="1">
      <c r="A169" s="1"/>
      <c r="B169" s="1"/>
      <c r="C169" s="1"/>
      <c r="D169" s="1"/>
      <c r="E169" s="1"/>
      <c r="F169" s="1"/>
      <c r="G169" s="1"/>
      <c r="H169" s="1"/>
      <c r="I169" s="1"/>
      <c r="J169" s="1"/>
      <c r="K169" s="1"/>
      <c r="L169" s="1"/>
      <c r="M169" s="1"/>
      <c r="N169" s="1"/>
      <c r="O169" s="1"/>
      <c r="P169" s="1"/>
      <c r="Q169" s="1"/>
      <c r="R169" s="1"/>
    </row>
    <row r="170" spans="1:18" ht="13.5" customHeight="1">
      <c r="A170" s="1"/>
      <c r="B170" s="1"/>
      <c r="C170" s="1"/>
      <c r="D170" s="1"/>
      <c r="E170" s="1"/>
      <c r="F170" s="1"/>
      <c r="G170" s="1"/>
      <c r="H170" s="1"/>
      <c r="I170" s="1"/>
      <c r="J170" s="1"/>
      <c r="K170" s="1"/>
      <c r="L170" s="1"/>
      <c r="M170" s="1"/>
      <c r="N170" s="1"/>
      <c r="O170" s="1"/>
      <c r="P170" s="1"/>
      <c r="Q170" s="1"/>
      <c r="R170" s="1"/>
    </row>
    <row r="171" spans="1:18" ht="13.5" customHeight="1">
      <c r="A171" s="1"/>
      <c r="B171" s="1"/>
      <c r="C171" s="1"/>
      <c r="D171" s="1"/>
      <c r="E171" s="1"/>
      <c r="F171" s="1"/>
      <c r="G171" s="1"/>
      <c r="H171" s="1"/>
      <c r="I171" s="1"/>
      <c r="J171" s="1"/>
      <c r="K171" s="1"/>
      <c r="L171" s="1"/>
      <c r="M171" s="1"/>
      <c r="N171" s="1"/>
      <c r="O171" s="1"/>
      <c r="P171" s="1"/>
      <c r="Q171" s="1"/>
      <c r="R171" s="1"/>
    </row>
    <row r="172" spans="1:18" ht="13.5" customHeight="1">
      <c r="A172" s="1"/>
      <c r="B172" s="1"/>
      <c r="C172" s="1"/>
      <c r="D172" s="1"/>
      <c r="E172" s="1"/>
      <c r="F172" s="1"/>
      <c r="G172" s="1"/>
      <c r="H172" s="1"/>
      <c r="I172" s="1"/>
      <c r="J172" s="1"/>
      <c r="K172" s="1"/>
      <c r="L172" s="1"/>
      <c r="M172" s="1"/>
      <c r="N172" s="1"/>
      <c r="O172" s="1"/>
      <c r="P172" s="1"/>
      <c r="Q172" s="1"/>
      <c r="R172" s="1"/>
    </row>
    <row r="173" spans="1:18" ht="13.5" customHeight="1">
      <c r="A173" s="1"/>
      <c r="B173" s="1"/>
      <c r="C173" s="1"/>
      <c r="D173" s="1"/>
      <c r="E173" s="1"/>
      <c r="F173" s="1"/>
      <c r="G173" s="1"/>
      <c r="H173" s="1"/>
      <c r="I173" s="1"/>
      <c r="J173" s="1"/>
      <c r="K173" s="1"/>
      <c r="L173" s="1"/>
      <c r="M173" s="1"/>
      <c r="N173" s="1"/>
      <c r="O173" s="1"/>
      <c r="P173" s="1"/>
      <c r="Q173" s="1"/>
      <c r="R173" s="1"/>
    </row>
    <row r="174" spans="1:18" ht="13.5" customHeight="1">
      <c r="A174" s="1"/>
      <c r="B174" s="1"/>
      <c r="C174" s="1"/>
      <c r="D174" s="1"/>
      <c r="E174" s="1"/>
      <c r="F174" s="1"/>
      <c r="G174" s="1"/>
      <c r="H174" s="1"/>
      <c r="I174" s="1"/>
      <c r="J174" s="1"/>
      <c r="K174" s="1"/>
      <c r="L174" s="1"/>
      <c r="M174" s="1"/>
      <c r="N174" s="1"/>
      <c r="O174" s="1"/>
      <c r="P174" s="1"/>
      <c r="Q174" s="1"/>
      <c r="R174" s="1"/>
    </row>
    <row r="175" spans="1:18" ht="13.5" customHeight="1">
      <c r="A175" s="1"/>
      <c r="B175" s="1"/>
      <c r="C175" s="1"/>
      <c r="D175" s="1"/>
      <c r="E175" s="1"/>
      <c r="F175" s="1"/>
      <c r="G175" s="1"/>
      <c r="H175" s="1"/>
      <c r="I175" s="1"/>
      <c r="J175" s="1"/>
      <c r="K175" s="1"/>
      <c r="L175" s="1"/>
      <c r="M175" s="1"/>
      <c r="N175" s="1"/>
      <c r="O175" s="1"/>
      <c r="P175" s="1"/>
      <c r="Q175" s="1"/>
      <c r="R175" s="1"/>
    </row>
    <row r="176" spans="1:18" ht="13.5" customHeight="1">
      <c r="A176" s="1"/>
      <c r="B176" s="1"/>
      <c r="C176" s="1"/>
      <c r="D176" s="1"/>
      <c r="E176" s="1"/>
      <c r="F176" s="1"/>
      <c r="G176" s="1"/>
      <c r="H176" s="1"/>
      <c r="I176" s="1"/>
      <c r="J176" s="1"/>
      <c r="K176" s="1"/>
      <c r="L176" s="1"/>
      <c r="M176" s="1"/>
      <c r="N176" s="1"/>
      <c r="O176" s="1"/>
      <c r="P176" s="1"/>
      <c r="Q176" s="1"/>
      <c r="R176" s="1"/>
    </row>
    <row r="177" spans="1:18" ht="13.5" customHeight="1">
      <c r="A177" s="1"/>
      <c r="B177" s="1"/>
      <c r="C177" s="1"/>
      <c r="D177" s="1"/>
      <c r="E177" s="1"/>
      <c r="F177" s="1"/>
      <c r="G177" s="1"/>
      <c r="H177" s="1"/>
      <c r="I177" s="1"/>
      <c r="J177" s="1"/>
      <c r="K177" s="1"/>
      <c r="L177" s="1"/>
      <c r="M177" s="1"/>
      <c r="N177" s="1"/>
      <c r="O177" s="1"/>
      <c r="P177" s="1"/>
      <c r="Q177" s="1"/>
      <c r="R177" s="1"/>
    </row>
    <row r="178" spans="1:18" ht="13.5" customHeight="1">
      <c r="A178" s="1"/>
      <c r="B178" s="1"/>
      <c r="C178" s="1"/>
      <c r="D178" s="1"/>
      <c r="E178" s="1"/>
      <c r="F178" s="1"/>
      <c r="G178" s="1"/>
      <c r="H178" s="1"/>
      <c r="I178" s="1"/>
      <c r="J178" s="1"/>
      <c r="K178" s="1"/>
      <c r="L178" s="1"/>
      <c r="M178" s="1"/>
      <c r="N178" s="1"/>
      <c r="O178" s="1"/>
      <c r="P178" s="1"/>
      <c r="Q178" s="1"/>
      <c r="R178" s="1"/>
    </row>
    <row r="179" spans="1:18" ht="13.5" customHeight="1">
      <c r="A179" s="1"/>
      <c r="B179" s="1"/>
      <c r="C179" s="1"/>
      <c r="D179" s="1"/>
      <c r="E179" s="1"/>
      <c r="F179" s="1"/>
      <c r="G179" s="1"/>
      <c r="H179" s="1"/>
      <c r="I179" s="1"/>
      <c r="J179" s="1"/>
      <c r="K179" s="1"/>
      <c r="L179" s="1"/>
      <c r="M179" s="1"/>
      <c r="N179" s="1"/>
      <c r="O179" s="1"/>
      <c r="P179" s="1"/>
      <c r="Q179" s="1"/>
      <c r="R179" s="1"/>
    </row>
    <row r="180" spans="1:18" ht="13.5" customHeight="1">
      <c r="A180" s="1"/>
      <c r="B180" s="1"/>
      <c r="C180" s="1"/>
      <c r="D180" s="1"/>
      <c r="E180" s="1"/>
      <c r="F180" s="1"/>
      <c r="G180" s="1"/>
      <c r="H180" s="1"/>
      <c r="I180" s="1"/>
      <c r="J180" s="1"/>
      <c r="K180" s="1"/>
      <c r="L180" s="1"/>
      <c r="M180" s="1"/>
      <c r="N180" s="1"/>
      <c r="O180" s="1"/>
      <c r="P180" s="1"/>
      <c r="Q180" s="1"/>
      <c r="R180" s="1"/>
    </row>
    <row r="181" spans="1:18" ht="13.5" customHeight="1">
      <c r="A181" s="1"/>
      <c r="B181" s="1"/>
      <c r="C181" s="1"/>
      <c r="D181" s="1"/>
      <c r="E181" s="1"/>
      <c r="F181" s="1"/>
      <c r="G181" s="1"/>
      <c r="H181" s="1"/>
      <c r="I181" s="1"/>
      <c r="J181" s="1"/>
      <c r="K181" s="1"/>
      <c r="L181" s="1"/>
      <c r="M181" s="1"/>
      <c r="N181" s="1"/>
      <c r="O181" s="1"/>
      <c r="P181" s="1"/>
      <c r="Q181" s="1"/>
      <c r="R181" s="1"/>
    </row>
    <row r="182" spans="1:18" ht="13.5" customHeight="1">
      <c r="A182" s="1"/>
      <c r="B182" s="1"/>
      <c r="C182" s="1"/>
      <c r="D182" s="1"/>
      <c r="E182" s="1"/>
      <c r="F182" s="1"/>
      <c r="G182" s="1"/>
      <c r="H182" s="1"/>
      <c r="I182" s="1"/>
      <c r="J182" s="1"/>
      <c r="K182" s="1"/>
      <c r="L182" s="1"/>
      <c r="M182" s="1"/>
      <c r="N182" s="1"/>
      <c r="O182" s="1"/>
      <c r="P182" s="1"/>
      <c r="Q182" s="1"/>
      <c r="R182" s="1"/>
    </row>
    <row r="183" spans="1:18" ht="13.5" customHeight="1">
      <c r="A183" s="1"/>
      <c r="B183" s="1"/>
      <c r="C183" s="1"/>
      <c r="D183" s="1"/>
      <c r="E183" s="1"/>
      <c r="F183" s="1"/>
      <c r="G183" s="1"/>
      <c r="H183" s="1"/>
      <c r="I183" s="1"/>
      <c r="J183" s="1"/>
      <c r="K183" s="1"/>
      <c r="L183" s="1"/>
      <c r="M183" s="1"/>
      <c r="N183" s="1"/>
      <c r="O183" s="1"/>
      <c r="P183" s="1"/>
      <c r="Q183" s="1"/>
      <c r="R183" s="1"/>
    </row>
    <row r="184" spans="1:18" ht="13.5" customHeight="1">
      <c r="A184" s="1"/>
      <c r="B184" s="1"/>
      <c r="C184" s="1"/>
      <c r="D184" s="1"/>
      <c r="E184" s="1"/>
      <c r="F184" s="1"/>
      <c r="G184" s="1"/>
      <c r="H184" s="1"/>
      <c r="I184" s="1"/>
      <c r="J184" s="1"/>
      <c r="K184" s="1"/>
      <c r="L184" s="1"/>
      <c r="M184" s="1"/>
      <c r="N184" s="1"/>
      <c r="O184" s="1"/>
      <c r="P184" s="1"/>
      <c r="Q184" s="1"/>
      <c r="R184" s="1"/>
    </row>
    <row r="185" spans="1:18" ht="13.5" customHeight="1">
      <c r="A185" s="1"/>
      <c r="B185" s="1"/>
      <c r="C185" s="1"/>
      <c r="D185" s="1"/>
      <c r="E185" s="1"/>
      <c r="F185" s="1"/>
      <c r="G185" s="1"/>
      <c r="H185" s="1"/>
      <c r="I185" s="1"/>
      <c r="J185" s="1"/>
      <c r="K185" s="1"/>
      <c r="L185" s="1"/>
      <c r="M185" s="1"/>
      <c r="N185" s="1"/>
      <c r="O185" s="1"/>
      <c r="P185" s="1"/>
      <c r="Q185" s="1"/>
      <c r="R185" s="1"/>
    </row>
    <row r="186" spans="1:18" ht="13.5" customHeight="1">
      <c r="A186" s="1"/>
      <c r="B186" s="1"/>
      <c r="C186" s="1"/>
      <c r="D186" s="1"/>
      <c r="E186" s="1"/>
      <c r="F186" s="1"/>
      <c r="G186" s="1"/>
      <c r="H186" s="1"/>
      <c r="I186" s="1"/>
      <c r="J186" s="1"/>
      <c r="K186" s="1"/>
      <c r="L186" s="1"/>
      <c r="M186" s="1"/>
      <c r="N186" s="1"/>
      <c r="O186" s="1"/>
      <c r="P186" s="1"/>
      <c r="Q186" s="1"/>
      <c r="R186" s="1"/>
    </row>
    <row r="187" spans="1:18" ht="13.5" customHeight="1">
      <c r="A187" s="1"/>
      <c r="B187" s="1"/>
      <c r="C187" s="1"/>
      <c r="D187" s="1"/>
      <c r="E187" s="1"/>
      <c r="F187" s="1"/>
      <c r="G187" s="1"/>
      <c r="H187" s="1"/>
      <c r="I187" s="1"/>
      <c r="J187" s="1"/>
      <c r="K187" s="1"/>
      <c r="L187" s="1"/>
      <c r="M187" s="1"/>
      <c r="N187" s="1"/>
      <c r="O187" s="1"/>
      <c r="P187" s="1"/>
      <c r="Q187" s="1"/>
      <c r="R187" s="1"/>
    </row>
    <row r="188" spans="1:18" ht="13.5" customHeight="1">
      <c r="A188" s="1"/>
      <c r="B188" s="1"/>
      <c r="C188" s="1"/>
      <c r="D188" s="1"/>
      <c r="E188" s="1"/>
      <c r="F188" s="1"/>
      <c r="G188" s="1"/>
      <c r="H188" s="1"/>
      <c r="I188" s="1"/>
      <c r="J188" s="1"/>
      <c r="K188" s="1"/>
      <c r="L188" s="1"/>
      <c r="M188" s="1"/>
      <c r="N188" s="1"/>
      <c r="O188" s="1"/>
      <c r="P188" s="1"/>
      <c r="Q188" s="1"/>
      <c r="R188" s="1"/>
    </row>
    <row r="189" spans="1:18" ht="13.5" customHeight="1">
      <c r="A189" s="1"/>
      <c r="B189" s="1"/>
      <c r="C189" s="1"/>
      <c r="D189" s="1"/>
      <c r="E189" s="1"/>
      <c r="F189" s="1"/>
      <c r="G189" s="1"/>
      <c r="H189" s="1"/>
      <c r="I189" s="1"/>
      <c r="J189" s="1"/>
      <c r="K189" s="1"/>
      <c r="L189" s="1"/>
      <c r="M189" s="1"/>
      <c r="N189" s="1"/>
      <c r="O189" s="1"/>
      <c r="P189" s="1"/>
      <c r="Q189" s="1"/>
      <c r="R189" s="1"/>
    </row>
    <row r="190" spans="1:18" ht="13.5" customHeight="1">
      <c r="A190" s="1"/>
      <c r="B190" s="1"/>
      <c r="C190" s="1"/>
      <c r="D190" s="1"/>
      <c r="E190" s="1"/>
      <c r="F190" s="1"/>
      <c r="G190" s="1"/>
      <c r="H190" s="1"/>
      <c r="I190" s="1"/>
      <c r="J190" s="1"/>
      <c r="K190" s="1"/>
      <c r="L190" s="1"/>
      <c r="M190" s="1"/>
      <c r="N190" s="1"/>
      <c r="O190" s="1"/>
      <c r="P190" s="1"/>
      <c r="Q190" s="1"/>
      <c r="R190" s="1"/>
    </row>
    <row r="191" spans="1:18" ht="13.5" customHeight="1">
      <c r="A191" s="1"/>
      <c r="B191" s="1"/>
      <c r="C191" s="1"/>
      <c r="D191" s="1"/>
      <c r="E191" s="1"/>
      <c r="F191" s="1"/>
      <c r="G191" s="1"/>
      <c r="H191" s="1"/>
      <c r="I191" s="1"/>
      <c r="J191" s="1"/>
      <c r="K191" s="1"/>
      <c r="L191" s="1"/>
      <c r="M191" s="1"/>
      <c r="N191" s="1"/>
      <c r="O191" s="1"/>
      <c r="P191" s="1"/>
      <c r="Q191" s="1"/>
      <c r="R191" s="1"/>
    </row>
    <row r="192" spans="1:18" ht="13.5" customHeight="1">
      <c r="A192" s="1"/>
      <c r="B192" s="1"/>
      <c r="C192" s="1"/>
      <c r="D192" s="1"/>
      <c r="E192" s="1"/>
      <c r="F192" s="1"/>
      <c r="G192" s="1"/>
      <c r="H192" s="1"/>
      <c r="I192" s="1"/>
      <c r="J192" s="1"/>
      <c r="K192" s="1"/>
      <c r="L192" s="1"/>
      <c r="M192" s="1"/>
      <c r="N192" s="1"/>
      <c r="O192" s="1"/>
      <c r="P192" s="1"/>
      <c r="Q192" s="1"/>
      <c r="R192" s="1"/>
    </row>
    <row r="193" spans="1:18" ht="13.5" customHeight="1">
      <c r="A193" s="1"/>
      <c r="B193" s="1"/>
      <c r="C193" s="1"/>
      <c r="D193" s="1"/>
      <c r="E193" s="1"/>
      <c r="F193" s="1"/>
      <c r="G193" s="1"/>
      <c r="H193" s="1"/>
      <c r="I193" s="1"/>
      <c r="J193" s="1"/>
      <c r="K193" s="1"/>
      <c r="L193" s="1"/>
      <c r="M193" s="1"/>
      <c r="N193" s="1"/>
      <c r="O193" s="1"/>
      <c r="P193" s="1"/>
      <c r="Q193" s="1"/>
      <c r="R193" s="1"/>
    </row>
    <row r="194" spans="1:18" ht="13.5" customHeight="1">
      <c r="A194" s="1"/>
      <c r="B194" s="1"/>
      <c r="C194" s="1"/>
      <c r="D194" s="1"/>
      <c r="E194" s="1"/>
      <c r="F194" s="1"/>
      <c r="G194" s="1"/>
      <c r="H194" s="1"/>
      <c r="I194" s="1"/>
      <c r="J194" s="1"/>
      <c r="K194" s="1"/>
      <c r="L194" s="1"/>
      <c r="M194" s="1"/>
      <c r="N194" s="1"/>
      <c r="O194" s="1"/>
      <c r="P194" s="1"/>
      <c r="Q194" s="1"/>
      <c r="R194" s="1"/>
    </row>
    <row r="195" spans="1:18" ht="13.5" customHeight="1">
      <c r="A195" s="1"/>
      <c r="B195" s="1"/>
      <c r="C195" s="1"/>
      <c r="D195" s="1"/>
      <c r="E195" s="1"/>
      <c r="F195" s="1"/>
      <c r="G195" s="1"/>
      <c r="H195" s="1"/>
      <c r="I195" s="1"/>
      <c r="J195" s="1"/>
      <c r="K195" s="1"/>
      <c r="L195" s="1"/>
      <c r="M195" s="1"/>
      <c r="N195" s="1"/>
      <c r="O195" s="1"/>
      <c r="P195" s="1"/>
      <c r="Q195" s="1"/>
      <c r="R195" s="1"/>
    </row>
    <row r="196" spans="1:18" ht="13.5" customHeight="1">
      <c r="A196" s="1"/>
      <c r="B196" s="1"/>
      <c r="C196" s="1"/>
      <c r="D196" s="1"/>
      <c r="E196" s="1"/>
      <c r="F196" s="1"/>
      <c r="G196" s="1"/>
      <c r="H196" s="1"/>
      <c r="I196" s="1"/>
      <c r="J196" s="1"/>
      <c r="K196" s="1"/>
      <c r="L196" s="1"/>
      <c r="M196" s="1"/>
      <c r="N196" s="1"/>
      <c r="O196" s="1"/>
      <c r="P196" s="1"/>
      <c r="Q196" s="1"/>
      <c r="R196" s="1"/>
    </row>
    <row r="197" spans="1:18" ht="13.5" customHeight="1">
      <c r="A197" s="1"/>
      <c r="B197" s="1"/>
      <c r="C197" s="1"/>
      <c r="D197" s="1"/>
      <c r="E197" s="1"/>
      <c r="F197" s="1"/>
      <c r="G197" s="1"/>
      <c r="H197" s="1"/>
      <c r="I197" s="1"/>
      <c r="J197" s="1"/>
      <c r="K197" s="1"/>
      <c r="L197" s="1"/>
      <c r="M197" s="1"/>
      <c r="N197" s="1"/>
      <c r="O197" s="1"/>
      <c r="P197" s="1"/>
      <c r="Q197" s="1"/>
      <c r="R197" s="1"/>
    </row>
    <row r="198" spans="1:18" ht="13.5" customHeight="1">
      <c r="A198" s="1"/>
      <c r="B198" s="1"/>
      <c r="C198" s="1"/>
      <c r="D198" s="1"/>
      <c r="E198" s="1"/>
      <c r="F198" s="1"/>
      <c r="G198" s="1"/>
      <c r="H198" s="1"/>
      <c r="I198" s="1"/>
      <c r="J198" s="1"/>
      <c r="K198" s="1"/>
      <c r="L198" s="1"/>
      <c r="M198" s="1"/>
      <c r="N198" s="1"/>
      <c r="O198" s="1"/>
      <c r="P198" s="1"/>
      <c r="Q198" s="1"/>
      <c r="R198" s="1"/>
    </row>
    <row r="199" spans="1:18" ht="13.5" customHeight="1">
      <c r="A199" s="1"/>
      <c r="B199" s="1"/>
      <c r="C199" s="1"/>
      <c r="D199" s="1"/>
      <c r="E199" s="1"/>
      <c r="F199" s="1"/>
      <c r="G199" s="1"/>
      <c r="H199" s="1"/>
      <c r="I199" s="1"/>
      <c r="J199" s="1"/>
      <c r="K199" s="1"/>
      <c r="L199" s="1"/>
      <c r="M199" s="1"/>
      <c r="N199" s="1"/>
      <c r="O199" s="1"/>
      <c r="P199" s="1"/>
      <c r="Q199" s="1"/>
      <c r="R199" s="1"/>
    </row>
    <row r="200" spans="1:18" ht="13.5" customHeight="1">
      <c r="A200" s="1"/>
      <c r="B200" s="1"/>
      <c r="C200" s="1"/>
      <c r="D200" s="1"/>
      <c r="E200" s="1"/>
      <c r="F200" s="1"/>
      <c r="G200" s="1"/>
      <c r="H200" s="1"/>
      <c r="I200" s="1"/>
      <c r="J200" s="1"/>
      <c r="K200" s="1"/>
      <c r="L200" s="1"/>
      <c r="M200" s="1"/>
      <c r="N200" s="1"/>
      <c r="O200" s="1"/>
      <c r="P200" s="1"/>
      <c r="Q200" s="1"/>
      <c r="R200" s="1"/>
    </row>
    <row r="201" spans="1:18" ht="13.5" customHeight="1">
      <c r="A201" s="1"/>
      <c r="B201" s="1"/>
      <c r="C201" s="1"/>
      <c r="D201" s="1"/>
      <c r="E201" s="1"/>
      <c r="F201" s="1"/>
      <c r="G201" s="1"/>
      <c r="H201" s="1"/>
      <c r="I201" s="1"/>
      <c r="J201" s="1"/>
      <c r="K201" s="1"/>
      <c r="L201" s="1"/>
      <c r="M201" s="1"/>
      <c r="N201" s="1"/>
      <c r="O201" s="1"/>
      <c r="P201" s="1"/>
      <c r="Q201" s="1"/>
      <c r="R201" s="1"/>
    </row>
    <row r="202" spans="1:18" ht="13.5" customHeight="1">
      <c r="A202" s="1"/>
      <c r="B202" s="1"/>
      <c r="C202" s="1"/>
      <c r="D202" s="1"/>
      <c r="E202" s="1"/>
      <c r="F202" s="1"/>
      <c r="G202" s="1"/>
      <c r="H202" s="1"/>
      <c r="I202" s="1"/>
      <c r="J202" s="1"/>
      <c r="K202" s="1"/>
      <c r="L202" s="1"/>
      <c r="M202" s="1"/>
      <c r="N202" s="1"/>
      <c r="O202" s="1"/>
      <c r="P202" s="1"/>
      <c r="Q202" s="1"/>
      <c r="R202" s="1"/>
    </row>
    <row r="203" spans="1:18" ht="13.5" customHeight="1">
      <c r="A203" s="1"/>
      <c r="B203" s="1"/>
      <c r="C203" s="1"/>
      <c r="D203" s="1"/>
      <c r="E203" s="1"/>
      <c r="F203" s="1"/>
      <c r="G203" s="1"/>
      <c r="H203" s="1"/>
      <c r="I203" s="1"/>
      <c r="J203" s="1"/>
      <c r="K203" s="1"/>
      <c r="L203" s="1"/>
      <c r="M203" s="1"/>
      <c r="N203" s="1"/>
      <c r="O203" s="1"/>
      <c r="P203" s="1"/>
      <c r="Q203" s="1"/>
      <c r="R203" s="1"/>
    </row>
    <row r="204" spans="1:18" ht="13.5" customHeight="1">
      <c r="A204" s="1"/>
      <c r="B204" s="1"/>
      <c r="C204" s="1"/>
      <c r="D204" s="1"/>
      <c r="E204" s="1"/>
      <c r="F204" s="1"/>
      <c r="G204" s="1"/>
      <c r="H204" s="1"/>
      <c r="I204" s="1"/>
      <c r="J204" s="1"/>
      <c r="K204" s="1"/>
      <c r="L204" s="1"/>
      <c r="M204" s="1"/>
      <c r="N204" s="1"/>
      <c r="O204" s="1"/>
      <c r="P204" s="1"/>
      <c r="Q204" s="1"/>
      <c r="R204" s="1"/>
    </row>
    <row r="205" spans="1:18" ht="13.5" customHeight="1">
      <c r="A205" s="1"/>
      <c r="B205" s="1"/>
      <c r="C205" s="1"/>
      <c r="D205" s="1"/>
      <c r="E205" s="1"/>
      <c r="F205" s="1"/>
      <c r="G205" s="1"/>
      <c r="H205" s="1"/>
      <c r="I205" s="1"/>
      <c r="J205" s="1"/>
      <c r="K205" s="1"/>
      <c r="L205" s="1"/>
      <c r="M205" s="1"/>
      <c r="N205" s="1"/>
      <c r="O205" s="1"/>
      <c r="P205" s="1"/>
      <c r="Q205" s="1"/>
      <c r="R205" s="1"/>
    </row>
    <row r="206" spans="1:18" ht="13.5" customHeight="1">
      <c r="A206" s="1"/>
      <c r="B206" s="1"/>
      <c r="C206" s="1"/>
      <c r="D206" s="1"/>
      <c r="E206" s="1"/>
      <c r="F206" s="1"/>
      <c r="G206" s="1"/>
      <c r="H206" s="1"/>
      <c r="I206" s="1"/>
      <c r="J206" s="1"/>
      <c r="K206" s="1"/>
      <c r="L206" s="1"/>
      <c r="M206" s="1"/>
      <c r="N206" s="1"/>
      <c r="O206" s="1"/>
      <c r="P206" s="1"/>
      <c r="Q206" s="1"/>
      <c r="R206" s="1"/>
    </row>
    <row r="207" spans="1:18" ht="13.5" customHeight="1">
      <c r="A207" s="1"/>
      <c r="B207" s="1"/>
      <c r="C207" s="1"/>
      <c r="D207" s="1"/>
      <c r="E207" s="1"/>
      <c r="F207" s="1"/>
      <c r="G207" s="1"/>
      <c r="H207" s="1"/>
      <c r="I207" s="1"/>
      <c r="J207" s="1"/>
      <c r="K207" s="1"/>
      <c r="L207" s="1"/>
      <c r="M207" s="1"/>
      <c r="N207" s="1"/>
      <c r="O207" s="1"/>
      <c r="P207" s="1"/>
      <c r="Q207" s="1"/>
      <c r="R207" s="1"/>
    </row>
    <row r="208" spans="1:18" ht="13.5" customHeight="1">
      <c r="A208" s="1"/>
      <c r="B208" s="1"/>
      <c r="C208" s="1"/>
      <c r="D208" s="1"/>
      <c r="E208" s="1"/>
      <c r="F208" s="1"/>
      <c r="G208" s="1"/>
      <c r="H208" s="1"/>
      <c r="I208" s="1"/>
      <c r="J208" s="1"/>
      <c r="K208" s="1"/>
      <c r="L208" s="1"/>
      <c r="M208" s="1"/>
      <c r="N208" s="1"/>
      <c r="O208" s="1"/>
      <c r="P208" s="1"/>
      <c r="Q208" s="1"/>
      <c r="R208" s="1"/>
    </row>
    <row r="209" spans="1:18" ht="13.5" customHeight="1">
      <c r="A209" s="1"/>
      <c r="B209" s="1"/>
      <c r="C209" s="1"/>
      <c r="D209" s="1"/>
      <c r="E209" s="1"/>
      <c r="F209" s="1"/>
      <c r="G209" s="1"/>
      <c r="H209" s="1"/>
      <c r="I209" s="1"/>
      <c r="J209" s="1"/>
      <c r="K209" s="1"/>
      <c r="L209" s="1"/>
      <c r="M209" s="1"/>
      <c r="N209" s="1"/>
      <c r="O209" s="1"/>
      <c r="P209" s="1"/>
      <c r="Q209" s="1"/>
      <c r="R209" s="1"/>
    </row>
    <row r="210" spans="1:18" ht="13.5" customHeight="1">
      <c r="A210" s="1"/>
      <c r="B210" s="1"/>
      <c r="C210" s="1"/>
      <c r="D210" s="1"/>
      <c r="E210" s="1"/>
      <c r="F210" s="1"/>
      <c r="G210" s="1"/>
      <c r="H210" s="1"/>
      <c r="I210" s="1"/>
      <c r="J210" s="1"/>
      <c r="K210" s="1"/>
      <c r="L210" s="1"/>
      <c r="M210" s="1"/>
      <c r="N210" s="1"/>
      <c r="O210" s="1"/>
      <c r="P210" s="1"/>
      <c r="Q210" s="1"/>
      <c r="R210" s="1"/>
    </row>
    <row r="211" spans="1:18" ht="13.5" customHeight="1">
      <c r="A211" s="1"/>
      <c r="B211" s="1"/>
      <c r="C211" s="1"/>
      <c r="D211" s="1"/>
      <c r="E211" s="1"/>
      <c r="F211" s="1"/>
      <c r="G211" s="1"/>
      <c r="H211" s="1"/>
      <c r="I211" s="1"/>
      <c r="J211" s="1"/>
      <c r="K211" s="1"/>
      <c r="L211" s="1"/>
      <c r="M211" s="1"/>
      <c r="N211" s="1"/>
      <c r="O211" s="1"/>
      <c r="P211" s="1"/>
      <c r="Q211" s="1"/>
      <c r="R211" s="1"/>
    </row>
    <row r="212" spans="1:18" ht="13.5" customHeight="1">
      <c r="A212" s="1"/>
      <c r="B212" s="1"/>
      <c r="C212" s="1"/>
      <c r="D212" s="1"/>
      <c r="E212" s="1"/>
      <c r="F212" s="1"/>
      <c r="G212" s="1"/>
      <c r="H212" s="1"/>
      <c r="I212" s="1"/>
      <c r="J212" s="1"/>
      <c r="K212" s="1"/>
      <c r="L212" s="1"/>
      <c r="M212" s="1"/>
      <c r="N212" s="1"/>
      <c r="O212" s="1"/>
      <c r="P212" s="1"/>
      <c r="Q212" s="1"/>
      <c r="R212" s="1"/>
    </row>
    <row r="213" spans="1:18" ht="13.5" customHeight="1">
      <c r="A213" s="1"/>
      <c r="B213" s="1"/>
      <c r="C213" s="1"/>
      <c r="D213" s="1"/>
      <c r="E213" s="1"/>
      <c r="F213" s="1"/>
      <c r="G213" s="1"/>
      <c r="H213" s="1"/>
      <c r="I213" s="1"/>
      <c r="J213" s="1"/>
      <c r="K213" s="1"/>
      <c r="L213" s="1"/>
      <c r="M213" s="1"/>
      <c r="N213" s="1"/>
      <c r="O213" s="1"/>
      <c r="P213" s="1"/>
      <c r="Q213" s="1"/>
      <c r="R213" s="1"/>
    </row>
    <row r="214" spans="1:18" ht="13.5" customHeight="1">
      <c r="A214" s="1"/>
      <c r="B214" s="1"/>
      <c r="C214" s="1"/>
      <c r="D214" s="1"/>
      <c r="E214" s="1"/>
      <c r="F214" s="1"/>
      <c r="G214" s="1"/>
      <c r="H214" s="1"/>
      <c r="I214" s="1"/>
      <c r="J214" s="1"/>
      <c r="K214" s="1"/>
      <c r="L214" s="1"/>
      <c r="M214" s="1"/>
      <c r="N214" s="1"/>
      <c r="O214" s="1"/>
      <c r="P214" s="1"/>
      <c r="Q214" s="1"/>
      <c r="R214" s="1"/>
    </row>
    <row r="215" spans="1:18" ht="13.5" customHeight="1">
      <c r="A215" s="1"/>
      <c r="B215" s="1"/>
      <c r="C215" s="1"/>
      <c r="D215" s="1"/>
      <c r="E215" s="1"/>
      <c r="F215" s="1"/>
      <c r="G215" s="1"/>
      <c r="H215" s="1"/>
      <c r="I215" s="1"/>
      <c r="J215" s="1"/>
      <c r="K215" s="1"/>
      <c r="L215" s="1"/>
      <c r="M215" s="1"/>
      <c r="N215" s="1"/>
      <c r="O215" s="1"/>
      <c r="P215" s="1"/>
      <c r="Q215" s="1"/>
      <c r="R215" s="1"/>
    </row>
    <row r="216" spans="1:18" ht="13.5" customHeight="1">
      <c r="A216" s="1"/>
      <c r="B216" s="1"/>
      <c r="C216" s="1"/>
      <c r="D216" s="1"/>
      <c r="E216" s="1"/>
      <c r="F216" s="1"/>
      <c r="G216" s="1"/>
      <c r="H216" s="1"/>
      <c r="I216" s="1"/>
      <c r="J216" s="1"/>
      <c r="K216" s="1"/>
      <c r="L216" s="1"/>
      <c r="M216" s="1"/>
      <c r="N216" s="1"/>
      <c r="O216" s="1"/>
      <c r="P216" s="1"/>
      <c r="Q216" s="1"/>
      <c r="R216" s="1"/>
    </row>
    <row r="217" spans="1:18" ht="13.5" customHeight="1">
      <c r="A217" s="1"/>
      <c r="B217" s="1"/>
      <c r="C217" s="1"/>
      <c r="D217" s="1"/>
      <c r="E217" s="1"/>
      <c r="F217" s="1"/>
      <c r="G217" s="1"/>
      <c r="H217" s="1"/>
      <c r="I217" s="1"/>
      <c r="J217" s="1"/>
      <c r="K217" s="1"/>
      <c r="L217" s="1"/>
      <c r="M217" s="1"/>
      <c r="N217" s="1"/>
      <c r="O217" s="1"/>
      <c r="P217" s="1"/>
      <c r="Q217" s="1"/>
      <c r="R217" s="1"/>
    </row>
    <row r="218" spans="1:18" ht="13.5" customHeight="1">
      <c r="A218" s="1"/>
      <c r="B218" s="1"/>
      <c r="C218" s="1"/>
      <c r="D218" s="1"/>
      <c r="E218" s="1"/>
      <c r="F218" s="1"/>
      <c r="G218" s="1"/>
      <c r="H218" s="1"/>
      <c r="I218" s="1"/>
      <c r="J218" s="1"/>
      <c r="K218" s="1"/>
      <c r="L218" s="1"/>
      <c r="M218" s="1"/>
      <c r="N218" s="1"/>
      <c r="O218" s="1"/>
      <c r="P218" s="1"/>
      <c r="Q218" s="1"/>
      <c r="R218" s="1"/>
    </row>
    <row r="219" spans="1:18" ht="13.5" customHeight="1">
      <c r="A219" s="1"/>
      <c r="B219" s="1"/>
      <c r="C219" s="1"/>
      <c r="D219" s="1"/>
      <c r="E219" s="1"/>
      <c r="F219" s="1"/>
      <c r="G219" s="1"/>
      <c r="H219" s="1"/>
      <c r="I219" s="1"/>
      <c r="J219" s="1"/>
      <c r="K219" s="1"/>
      <c r="L219" s="1"/>
      <c r="M219" s="1"/>
      <c r="N219" s="1"/>
      <c r="O219" s="1"/>
      <c r="P219" s="1"/>
      <c r="Q219" s="1"/>
      <c r="R219" s="1"/>
    </row>
    <row r="220" spans="1:18" ht="13.5" customHeight="1">
      <c r="A220" s="1"/>
      <c r="B220" s="1"/>
      <c r="C220" s="1"/>
      <c r="D220" s="1"/>
      <c r="E220" s="1"/>
      <c r="F220" s="1"/>
      <c r="G220" s="1"/>
      <c r="H220" s="1"/>
      <c r="I220" s="1"/>
      <c r="J220" s="1"/>
      <c r="K220" s="1"/>
      <c r="L220" s="1"/>
      <c r="M220" s="1"/>
      <c r="N220" s="1"/>
      <c r="O220" s="1"/>
      <c r="P220" s="1"/>
      <c r="Q220" s="1"/>
      <c r="R220" s="1"/>
    </row>
    <row r="221" spans="1:18" ht="13.5" customHeight="1">
      <c r="A221" s="1"/>
      <c r="B221" s="1"/>
      <c r="C221" s="1"/>
      <c r="D221" s="1"/>
      <c r="E221" s="1"/>
      <c r="F221" s="1"/>
      <c r="G221" s="1"/>
      <c r="H221" s="1"/>
      <c r="I221" s="1"/>
      <c r="J221" s="1"/>
      <c r="K221" s="1"/>
      <c r="L221" s="1"/>
      <c r="M221" s="1"/>
      <c r="N221" s="1"/>
      <c r="O221" s="1"/>
      <c r="P221" s="1"/>
      <c r="Q221" s="1"/>
      <c r="R221" s="1"/>
    </row>
    <row r="222" spans="1:18" ht="13.5" customHeight="1">
      <c r="A222" s="1"/>
      <c r="B222" s="1"/>
      <c r="C222" s="1"/>
      <c r="D222" s="1"/>
      <c r="E222" s="1"/>
      <c r="F222" s="1"/>
      <c r="G222" s="1"/>
      <c r="H222" s="1"/>
      <c r="I222" s="1"/>
      <c r="J222" s="1"/>
      <c r="K222" s="1"/>
      <c r="L222" s="1"/>
      <c r="M222" s="1"/>
      <c r="N222" s="1"/>
      <c r="O222" s="1"/>
      <c r="P222" s="1"/>
      <c r="Q222" s="1"/>
      <c r="R222" s="1"/>
    </row>
    <row r="223" spans="1:18" ht="13.5" customHeight="1">
      <c r="A223" s="1"/>
      <c r="B223" s="1"/>
      <c r="C223" s="1"/>
      <c r="D223" s="1"/>
      <c r="E223" s="1"/>
      <c r="F223" s="1"/>
      <c r="G223" s="1"/>
      <c r="H223" s="1"/>
      <c r="I223" s="1"/>
      <c r="J223" s="1"/>
      <c r="K223" s="1"/>
      <c r="L223" s="1"/>
      <c r="M223" s="1"/>
      <c r="N223" s="1"/>
      <c r="O223" s="1"/>
      <c r="P223" s="1"/>
      <c r="Q223" s="1"/>
      <c r="R223" s="1"/>
    </row>
    <row r="224" spans="1:18" ht="13.5" customHeight="1">
      <c r="A224" s="1"/>
      <c r="B224" s="1"/>
      <c r="C224" s="1"/>
      <c r="D224" s="1"/>
      <c r="E224" s="1"/>
      <c r="F224" s="1"/>
      <c r="G224" s="1"/>
      <c r="H224" s="1"/>
      <c r="I224" s="1"/>
      <c r="J224" s="1"/>
      <c r="K224" s="1"/>
      <c r="L224" s="1"/>
      <c r="M224" s="1"/>
      <c r="N224" s="1"/>
      <c r="O224" s="1"/>
      <c r="P224" s="1"/>
      <c r="Q224" s="1"/>
      <c r="R224" s="1"/>
    </row>
    <row r="225" spans="1:18" ht="13.5" customHeight="1">
      <c r="A225" s="1"/>
      <c r="B225" s="1"/>
      <c r="C225" s="1"/>
      <c r="D225" s="1"/>
      <c r="E225" s="1"/>
      <c r="F225" s="1"/>
      <c r="G225" s="1"/>
      <c r="H225" s="1"/>
      <c r="I225" s="1"/>
      <c r="J225" s="1"/>
      <c r="K225" s="1"/>
      <c r="L225" s="1"/>
      <c r="M225" s="1"/>
      <c r="N225" s="1"/>
      <c r="O225" s="1"/>
      <c r="P225" s="1"/>
      <c r="Q225" s="1"/>
      <c r="R225" s="1"/>
    </row>
    <row r="226" spans="1:18" ht="13.5" customHeight="1">
      <c r="A226" s="1"/>
      <c r="B226" s="1"/>
      <c r="C226" s="1"/>
      <c r="D226" s="1"/>
      <c r="E226" s="1"/>
      <c r="F226" s="1"/>
      <c r="G226" s="1"/>
      <c r="H226" s="1"/>
      <c r="I226" s="1"/>
      <c r="J226" s="1"/>
      <c r="K226" s="1"/>
      <c r="L226" s="1"/>
      <c r="M226" s="1"/>
      <c r="N226" s="1"/>
      <c r="O226" s="1"/>
      <c r="P226" s="1"/>
      <c r="Q226" s="1"/>
      <c r="R226" s="1"/>
    </row>
    <row r="227" spans="1:18" ht="13.5" customHeight="1">
      <c r="A227" s="1"/>
      <c r="B227" s="1"/>
      <c r="C227" s="1"/>
      <c r="D227" s="1"/>
      <c r="E227" s="1"/>
      <c r="F227" s="1"/>
      <c r="G227" s="1"/>
      <c r="H227" s="1"/>
      <c r="I227" s="1"/>
      <c r="J227" s="1"/>
      <c r="K227" s="1"/>
      <c r="L227" s="1"/>
      <c r="M227" s="1"/>
      <c r="N227" s="1"/>
      <c r="O227" s="1"/>
      <c r="P227" s="1"/>
      <c r="Q227" s="1"/>
      <c r="R227" s="1"/>
    </row>
    <row r="228" spans="1:18" ht="13.5" customHeight="1">
      <c r="A228" s="1"/>
      <c r="B228" s="1"/>
      <c r="C228" s="1"/>
      <c r="D228" s="1"/>
      <c r="E228" s="1"/>
      <c r="F228" s="1"/>
      <c r="G228" s="1"/>
      <c r="H228" s="1"/>
      <c r="I228" s="1"/>
      <c r="J228" s="1"/>
      <c r="K228" s="1"/>
      <c r="L228" s="1"/>
      <c r="M228" s="1"/>
      <c r="N228" s="1"/>
      <c r="O228" s="1"/>
      <c r="P228" s="1"/>
      <c r="Q228" s="1"/>
      <c r="R228" s="1"/>
    </row>
    <row r="229" spans="1:18" ht="13.5" customHeight="1">
      <c r="A229" s="1"/>
      <c r="B229" s="1"/>
      <c r="C229" s="1"/>
      <c r="D229" s="1"/>
      <c r="E229" s="1"/>
      <c r="F229" s="1"/>
      <c r="G229" s="1"/>
      <c r="H229" s="1"/>
      <c r="I229" s="1"/>
      <c r="J229" s="1"/>
      <c r="K229" s="1"/>
      <c r="L229" s="1"/>
      <c r="M229" s="1"/>
      <c r="N229" s="1"/>
      <c r="O229" s="1"/>
      <c r="P229" s="1"/>
      <c r="Q229" s="1"/>
      <c r="R229" s="1"/>
    </row>
    <row r="230" spans="1:18" ht="13.5" customHeight="1">
      <c r="A230" s="1"/>
      <c r="B230" s="1"/>
      <c r="C230" s="1"/>
      <c r="D230" s="1"/>
      <c r="E230" s="1"/>
      <c r="F230" s="1"/>
      <c r="G230" s="1"/>
      <c r="H230" s="1"/>
      <c r="I230" s="1"/>
      <c r="J230" s="1"/>
      <c r="K230" s="1"/>
      <c r="L230" s="1"/>
      <c r="M230" s="1"/>
      <c r="N230" s="1"/>
      <c r="O230" s="1"/>
      <c r="P230" s="1"/>
      <c r="Q230" s="1"/>
      <c r="R230" s="1"/>
    </row>
    <row r="231" spans="1:18" ht="13.5" customHeight="1">
      <c r="A231" s="1"/>
      <c r="B231" s="1"/>
      <c r="C231" s="1"/>
      <c r="D231" s="1"/>
      <c r="E231" s="1"/>
      <c r="F231" s="1"/>
      <c r="G231" s="1"/>
      <c r="H231" s="1"/>
      <c r="I231" s="1"/>
      <c r="J231" s="1"/>
      <c r="K231" s="1"/>
      <c r="L231" s="1"/>
      <c r="M231" s="1"/>
      <c r="N231" s="1"/>
      <c r="O231" s="1"/>
      <c r="P231" s="1"/>
      <c r="Q231" s="1"/>
      <c r="R231" s="1"/>
    </row>
    <row r="232" spans="1:18" ht="13.5" customHeight="1">
      <c r="A232" s="1"/>
      <c r="B232" s="1"/>
      <c r="C232" s="1"/>
      <c r="D232" s="1"/>
      <c r="E232" s="1"/>
      <c r="F232" s="1"/>
      <c r="G232" s="1"/>
      <c r="H232" s="1"/>
      <c r="I232" s="1"/>
      <c r="J232" s="1"/>
      <c r="K232" s="1"/>
      <c r="L232" s="1"/>
      <c r="M232" s="1"/>
      <c r="N232" s="1"/>
      <c r="O232" s="1"/>
      <c r="P232" s="1"/>
      <c r="Q232" s="1"/>
      <c r="R232" s="1"/>
    </row>
    <row r="233" spans="1:18" ht="13.5" customHeight="1">
      <c r="A233" s="1"/>
      <c r="B233" s="1"/>
      <c r="C233" s="1"/>
      <c r="D233" s="1"/>
      <c r="E233" s="1"/>
      <c r="F233" s="1"/>
      <c r="G233" s="1"/>
      <c r="H233" s="1"/>
      <c r="I233" s="1"/>
      <c r="J233" s="1"/>
      <c r="K233" s="1"/>
      <c r="L233" s="1"/>
      <c r="M233" s="1"/>
      <c r="N233" s="1"/>
      <c r="O233" s="1"/>
      <c r="P233" s="1"/>
      <c r="Q233" s="1"/>
      <c r="R233" s="1"/>
    </row>
    <row r="234" spans="1:18" ht="13.5" customHeight="1">
      <c r="A234" s="1"/>
      <c r="B234" s="1"/>
      <c r="C234" s="1"/>
      <c r="D234" s="1"/>
      <c r="E234" s="1"/>
      <c r="F234" s="1"/>
      <c r="G234" s="1"/>
      <c r="H234" s="1"/>
      <c r="I234" s="1"/>
      <c r="J234" s="1"/>
      <c r="K234" s="1"/>
      <c r="L234" s="1"/>
      <c r="M234" s="1"/>
      <c r="N234" s="1"/>
      <c r="O234" s="1"/>
      <c r="P234" s="1"/>
      <c r="Q234" s="1"/>
      <c r="R234" s="1"/>
    </row>
    <row r="235" spans="1:18" ht="13.5" customHeight="1">
      <c r="A235" s="1"/>
      <c r="B235" s="1"/>
      <c r="C235" s="1"/>
      <c r="D235" s="1"/>
      <c r="E235" s="1"/>
      <c r="F235" s="1"/>
      <c r="G235" s="1"/>
      <c r="H235" s="1"/>
      <c r="I235" s="1"/>
      <c r="J235" s="1"/>
      <c r="K235" s="1"/>
      <c r="L235" s="1"/>
      <c r="M235" s="1"/>
      <c r="N235" s="1"/>
      <c r="O235" s="1"/>
      <c r="P235" s="1"/>
      <c r="Q235" s="1"/>
      <c r="R235" s="1"/>
    </row>
    <row r="236" spans="1:18" ht="13.5" customHeight="1">
      <c r="A236" s="1"/>
      <c r="B236" s="1"/>
      <c r="C236" s="1"/>
      <c r="D236" s="1"/>
      <c r="E236" s="1"/>
      <c r="F236" s="1"/>
      <c r="G236" s="1"/>
      <c r="H236" s="1"/>
      <c r="I236" s="1"/>
      <c r="J236" s="1"/>
      <c r="K236" s="1"/>
      <c r="L236" s="1"/>
      <c r="M236" s="1"/>
      <c r="N236" s="1"/>
      <c r="O236" s="1"/>
      <c r="P236" s="1"/>
      <c r="Q236" s="1"/>
      <c r="R236" s="1"/>
    </row>
    <row r="237" spans="1:18" ht="13.5" customHeight="1">
      <c r="A237" s="1"/>
      <c r="B237" s="1"/>
      <c r="C237" s="1"/>
      <c r="D237" s="1"/>
      <c r="E237" s="1"/>
      <c r="F237" s="1"/>
      <c r="G237" s="1"/>
      <c r="H237" s="1"/>
      <c r="I237" s="1"/>
      <c r="J237" s="1"/>
      <c r="K237" s="1"/>
      <c r="L237" s="1"/>
      <c r="M237" s="1"/>
      <c r="N237" s="1"/>
      <c r="O237" s="1"/>
      <c r="P237" s="1"/>
      <c r="Q237" s="1"/>
      <c r="R237" s="1"/>
    </row>
    <row r="238" spans="1:18" ht="13.5" customHeight="1">
      <c r="A238" s="1"/>
      <c r="B238" s="1"/>
      <c r="C238" s="1"/>
      <c r="D238" s="1"/>
      <c r="E238" s="1"/>
      <c r="F238" s="1"/>
      <c r="G238" s="1"/>
      <c r="H238" s="1"/>
      <c r="I238" s="1"/>
      <c r="J238" s="1"/>
      <c r="K238" s="1"/>
      <c r="L238" s="1"/>
      <c r="M238" s="1"/>
      <c r="N238" s="1"/>
      <c r="O238" s="1"/>
      <c r="P238" s="1"/>
      <c r="Q238" s="1"/>
      <c r="R238" s="1"/>
    </row>
    <row r="239" spans="1:18" ht="13.5" customHeight="1">
      <c r="A239" s="1"/>
      <c r="B239" s="1"/>
      <c r="C239" s="1"/>
      <c r="D239" s="1"/>
      <c r="E239" s="1"/>
      <c r="F239" s="1"/>
      <c r="G239" s="1"/>
      <c r="H239" s="1"/>
      <c r="I239" s="1"/>
      <c r="J239" s="1"/>
      <c r="K239" s="1"/>
      <c r="L239" s="1"/>
      <c r="M239" s="1"/>
      <c r="N239" s="1"/>
      <c r="O239" s="1"/>
      <c r="P239" s="1"/>
      <c r="Q239" s="1"/>
      <c r="R239" s="1"/>
    </row>
    <row r="240" spans="1:18" ht="13.5" customHeight="1">
      <c r="A240" s="1"/>
      <c r="B240" s="1"/>
      <c r="C240" s="1"/>
      <c r="D240" s="1"/>
      <c r="E240" s="1"/>
      <c r="F240" s="1"/>
      <c r="G240" s="1"/>
      <c r="H240" s="1"/>
      <c r="I240" s="1"/>
      <c r="J240" s="1"/>
      <c r="K240" s="1"/>
      <c r="L240" s="1"/>
      <c r="M240" s="1"/>
      <c r="N240" s="1"/>
      <c r="O240" s="1"/>
      <c r="P240" s="1"/>
      <c r="Q240" s="1"/>
      <c r="R240" s="1"/>
    </row>
    <row r="241" spans="1:18" ht="13.5" customHeight="1">
      <c r="A241" s="1"/>
      <c r="B241" s="1"/>
      <c r="C241" s="1"/>
      <c r="D241" s="1"/>
      <c r="E241" s="1"/>
      <c r="F241" s="1"/>
      <c r="G241" s="1"/>
      <c r="H241" s="1"/>
      <c r="I241" s="1"/>
      <c r="J241" s="1"/>
      <c r="K241" s="1"/>
      <c r="L241" s="1"/>
      <c r="M241" s="1"/>
      <c r="N241" s="1"/>
      <c r="O241" s="1"/>
      <c r="P241" s="1"/>
      <c r="Q241" s="1"/>
      <c r="R241" s="1"/>
    </row>
    <row r="242" spans="1:18" ht="13.5" customHeight="1">
      <c r="A242" s="1"/>
      <c r="B242" s="1"/>
      <c r="C242" s="1"/>
      <c r="D242" s="1"/>
      <c r="E242" s="1"/>
      <c r="F242" s="1"/>
      <c r="G242" s="1"/>
      <c r="H242" s="1"/>
      <c r="I242" s="1"/>
      <c r="J242" s="1"/>
      <c r="K242" s="1"/>
      <c r="L242" s="1"/>
      <c r="M242" s="1"/>
      <c r="N242" s="1"/>
      <c r="O242" s="1"/>
      <c r="P242" s="1"/>
      <c r="Q242" s="1"/>
      <c r="R242" s="1"/>
    </row>
    <row r="243" spans="1:18" ht="13.5" customHeight="1">
      <c r="A243" s="1"/>
      <c r="B243" s="1"/>
      <c r="C243" s="1"/>
      <c r="D243" s="1"/>
      <c r="E243" s="1"/>
      <c r="F243" s="1"/>
      <c r="G243" s="1"/>
      <c r="H243" s="1"/>
      <c r="I243" s="1"/>
      <c r="J243" s="1"/>
      <c r="K243" s="1"/>
      <c r="L243" s="1"/>
      <c r="M243" s="1"/>
      <c r="N243" s="1"/>
      <c r="O243" s="1"/>
      <c r="P243" s="1"/>
      <c r="Q243" s="1"/>
      <c r="R243" s="1"/>
    </row>
    <row r="244" spans="1:18" ht="13.5" customHeight="1">
      <c r="A244" s="1"/>
      <c r="B244" s="1"/>
      <c r="C244" s="1"/>
      <c r="D244" s="1"/>
      <c r="E244" s="1"/>
      <c r="F244" s="1"/>
      <c r="G244" s="1"/>
      <c r="H244" s="1"/>
      <c r="I244" s="1"/>
      <c r="J244" s="1"/>
      <c r="K244" s="1"/>
      <c r="L244" s="1"/>
      <c r="M244" s="1"/>
      <c r="N244" s="1"/>
      <c r="O244" s="1"/>
      <c r="P244" s="1"/>
      <c r="Q244" s="1"/>
      <c r="R244" s="1"/>
    </row>
    <row r="245" spans="1:18" ht="13.5" customHeight="1">
      <c r="A245" s="1"/>
      <c r="B245" s="1"/>
      <c r="C245" s="1"/>
      <c r="D245" s="1"/>
      <c r="E245" s="1"/>
      <c r="F245" s="1"/>
      <c r="G245" s="1"/>
      <c r="H245" s="1"/>
      <c r="I245" s="1"/>
      <c r="J245" s="1"/>
      <c r="K245" s="1"/>
      <c r="L245" s="1"/>
      <c r="M245" s="1"/>
      <c r="N245" s="1"/>
      <c r="O245" s="1"/>
      <c r="P245" s="1"/>
      <c r="Q245" s="1"/>
      <c r="R245" s="1"/>
    </row>
    <row r="246" spans="1:18" ht="13.5" customHeight="1">
      <c r="A246" s="1"/>
      <c r="B246" s="1"/>
      <c r="C246" s="1"/>
      <c r="D246" s="1"/>
      <c r="E246" s="1"/>
      <c r="F246" s="1"/>
      <c r="G246" s="1"/>
      <c r="H246" s="1"/>
      <c r="I246" s="1"/>
      <c r="J246" s="1"/>
      <c r="K246" s="1"/>
      <c r="L246" s="1"/>
      <c r="M246" s="1"/>
      <c r="N246" s="1"/>
      <c r="O246" s="1"/>
      <c r="P246" s="1"/>
      <c r="Q246" s="1"/>
      <c r="R246" s="1"/>
    </row>
    <row r="247" spans="1:18" ht="13.5" customHeight="1">
      <c r="A247" s="1"/>
      <c r="B247" s="1"/>
      <c r="C247" s="1"/>
      <c r="D247" s="1"/>
      <c r="E247" s="1"/>
      <c r="F247" s="1"/>
      <c r="G247" s="1"/>
      <c r="H247" s="1"/>
      <c r="I247" s="1"/>
      <c r="J247" s="1"/>
      <c r="K247" s="1"/>
      <c r="L247" s="1"/>
      <c r="M247" s="1"/>
      <c r="N247" s="1"/>
      <c r="O247" s="1"/>
      <c r="P247" s="1"/>
      <c r="Q247" s="1"/>
      <c r="R247" s="1"/>
    </row>
    <row r="248" spans="1:18" ht="13.5" customHeight="1">
      <c r="A248" s="1"/>
      <c r="B248" s="1"/>
      <c r="C248" s="1"/>
      <c r="D248" s="1"/>
      <c r="E248" s="1"/>
      <c r="F248" s="1"/>
      <c r="G248" s="1"/>
      <c r="H248" s="1"/>
      <c r="I248" s="1"/>
      <c r="J248" s="1"/>
      <c r="K248" s="1"/>
      <c r="L248" s="1"/>
      <c r="M248" s="1"/>
      <c r="N248" s="1"/>
      <c r="O248" s="1"/>
      <c r="P248" s="1"/>
      <c r="Q248" s="1"/>
      <c r="R248" s="1"/>
    </row>
    <row r="249" spans="1:18" ht="13.5" customHeight="1">
      <c r="A249" s="1"/>
      <c r="B249" s="1"/>
      <c r="C249" s="1"/>
      <c r="D249" s="1"/>
      <c r="E249" s="1"/>
      <c r="F249" s="1"/>
      <c r="G249" s="1"/>
      <c r="H249" s="1"/>
      <c r="I249" s="1"/>
      <c r="J249" s="1"/>
      <c r="K249" s="1"/>
      <c r="L249" s="1"/>
      <c r="M249" s="1"/>
      <c r="N249" s="1"/>
      <c r="O249" s="1"/>
      <c r="P249" s="1"/>
      <c r="Q249" s="1"/>
      <c r="R249" s="1"/>
    </row>
    <row r="250" spans="1:18" ht="13.5" customHeight="1">
      <c r="A250" s="1"/>
      <c r="B250" s="1"/>
      <c r="C250" s="1"/>
      <c r="D250" s="1"/>
      <c r="E250" s="1"/>
      <c r="F250" s="1"/>
      <c r="G250" s="1"/>
      <c r="H250" s="1"/>
      <c r="I250" s="1"/>
      <c r="J250" s="1"/>
      <c r="K250" s="1"/>
      <c r="L250" s="1"/>
      <c r="M250" s="1"/>
      <c r="N250" s="1"/>
      <c r="O250" s="1"/>
      <c r="P250" s="1"/>
      <c r="Q250" s="1"/>
      <c r="R250" s="1"/>
    </row>
    <row r="251" spans="1:18" ht="13.5" customHeight="1">
      <c r="A251" s="1"/>
      <c r="B251" s="1"/>
      <c r="C251" s="1"/>
      <c r="D251" s="1"/>
      <c r="E251" s="1"/>
      <c r="F251" s="1"/>
      <c r="G251" s="1"/>
      <c r="H251" s="1"/>
      <c r="I251" s="1"/>
      <c r="J251" s="1"/>
      <c r="K251" s="1"/>
      <c r="L251" s="1"/>
      <c r="M251" s="1"/>
      <c r="N251" s="1"/>
      <c r="O251" s="1"/>
      <c r="P251" s="1"/>
      <c r="Q251" s="1"/>
      <c r="R251" s="1"/>
    </row>
    <row r="252" spans="1:18" ht="13.5" customHeight="1">
      <c r="A252" s="1"/>
      <c r="B252" s="1"/>
      <c r="C252" s="1"/>
      <c r="D252" s="1"/>
      <c r="E252" s="1"/>
      <c r="F252" s="1"/>
      <c r="G252" s="1"/>
      <c r="H252" s="1"/>
      <c r="I252" s="1"/>
      <c r="J252" s="1"/>
      <c r="K252" s="1"/>
      <c r="L252" s="1"/>
      <c r="M252" s="1"/>
      <c r="N252" s="1"/>
      <c r="O252" s="1"/>
      <c r="P252" s="1"/>
      <c r="Q252" s="1"/>
      <c r="R252" s="1"/>
    </row>
    <row r="253" spans="1:18" ht="13.5" customHeight="1">
      <c r="A253" s="1"/>
      <c r="B253" s="1"/>
      <c r="C253" s="1"/>
      <c r="D253" s="1"/>
      <c r="E253" s="1"/>
      <c r="F253" s="1"/>
      <c r="G253" s="1"/>
      <c r="H253" s="1"/>
      <c r="I253" s="1"/>
      <c r="J253" s="1"/>
      <c r="K253" s="1"/>
      <c r="L253" s="1"/>
      <c r="M253" s="1"/>
      <c r="N253" s="1"/>
      <c r="O253" s="1"/>
      <c r="P253" s="1"/>
      <c r="Q253" s="1"/>
      <c r="R253" s="1"/>
    </row>
    <row r="254" spans="1:18" ht="13.5" customHeight="1">
      <c r="A254" s="1"/>
      <c r="B254" s="1"/>
      <c r="C254" s="1"/>
      <c r="D254" s="1"/>
      <c r="E254" s="1"/>
      <c r="F254" s="1"/>
      <c r="G254" s="1"/>
      <c r="H254" s="1"/>
      <c r="I254" s="1"/>
      <c r="J254" s="1"/>
      <c r="K254" s="1"/>
      <c r="L254" s="1"/>
      <c r="M254" s="1"/>
      <c r="N254" s="1"/>
      <c r="O254" s="1"/>
      <c r="P254" s="1"/>
      <c r="Q254" s="1"/>
      <c r="R254" s="1"/>
    </row>
    <row r="255" spans="1:18" ht="13.5" customHeight="1">
      <c r="A255" s="1"/>
      <c r="B255" s="1"/>
      <c r="C255" s="1"/>
      <c r="D255" s="1"/>
      <c r="E255" s="1"/>
      <c r="F255" s="1"/>
      <c r="G255" s="1"/>
      <c r="H255" s="1"/>
      <c r="I255" s="1"/>
      <c r="J255" s="1"/>
      <c r="K255" s="1"/>
      <c r="L255" s="1"/>
      <c r="M255" s="1"/>
      <c r="N255" s="1"/>
      <c r="O255" s="1"/>
      <c r="P255" s="1"/>
      <c r="Q255" s="1"/>
      <c r="R255" s="1"/>
    </row>
    <row r="256" spans="1:18" ht="13.5" customHeight="1">
      <c r="A256" s="1"/>
      <c r="B256" s="1"/>
      <c r="C256" s="1"/>
      <c r="D256" s="1"/>
      <c r="E256" s="1"/>
      <c r="F256" s="1"/>
      <c r="G256" s="1"/>
      <c r="H256" s="1"/>
      <c r="I256" s="1"/>
      <c r="J256" s="1"/>
      <c r="K256" s="1"/>
      <c r="L256" s="1"/>
      <c r="M256" s="1"/>
      <c r="N256" s="1"/>
      <c r="O256" s="1"/>
      <c r="P256" s="1"/>
      <c r="Q256" s="1"/>
      <c r="R256" s="1"/>
    </row>
    <row r="257" spans="1:18" ht="13.5" customHeight="1">
      <c r="A257" s="1"/>
      <c r="B257" s="1"/>
      <c r="C257" s="1"/>
      <c r="D257" s="1"/>
      <c r="E257" s="1"/>
      <c r="F257" s="1"/>
      <c r="G257" s="1"/>
      <c r="H257" s="1"/>
      <c r="I257" s="1"/>
      <c r="J257" s="1"/>
      <c r="K257" s="1"/>
      <c r="L257" s="1"/>
      <c r="M257" s="1"/>
      <c r="N257" s="1"/>
      <c r="O257" s="1"/>
      <c r="P257" s="1"/>
      <c r="Q257" s="1"/>
      <c r="R257" s="1"/>
    </row>
    <row r="258" spans="1:18" ht="13.5" customHeight="1">
      <c r="A258" s="1"/>
      <c r="B258" s="1"/>
      <c r="C258" s="1"/>
      <c r="D258" s="1"/>
      <c r="E258" s="1"/>
      <c r="F258" s="1"/>
      <c r="G258" s="1"/>
      <c r="H258" s="1"/>
      <c r="I258" s="1"/>
      <c r="J258" s="1"/>
      <c r="K258" s="1"/>
      <c r="L258" s="1"/>
      <c r="M258" s="1"/>
      <c r="N258" s="1"/>
      <c r="O258" s="1"/>
      <c r="P258" s="1"/>
      <c r="Q258" s="1"/>
      <c r="R258" s="1"/>
    </row>
    <row r="259" spans="1:18" ht="13.5" customHeight="1">
      <c r="A259" s="1"/>
      <c r="B259" s="1"/>
      <c r="C259" s="1"/>
      <c r="D259" s="1"/>
      <c r="E259" s="1"/>
      <c r="F259" s="1"/>
      <c r="G259" s="1"/>
      <c r="H259" s="1"/>
      <c r="I259" s="1"/>
      <c r="J259" s="1"/>
      <c r="K259" s="1"/>
      <c r="L259" s="1"/>
      <c r="M259" s="1"/>
      <c r="N259" s="1"/>
      <c r="O259" s="1"/>
      <c r="P259" s="1"/>
      <c r="Q259" s="1"/>
      <c r="R259" s="1"/>
    </row>
    <row r="260" spans="1:18" ht="13.5" customHeight="1">
      <c r="A260" s="1"/>
      <c r="B260" s="1"/>
      <c r="C260" s="1"/>
      <c r="D260" s="1"/>
      <c r="E260" s="1"/>
      <c r="F260" s="1"/>
      <c r="G260" s="1"/>
      <c r="H260" s="1"/>
      <c r="I260" s="1"/>
      <c r="J260" s="1"/>
      <c r="K260" s="1"/>
      <c r="L260" s="1"/>
      <c r="M260" s="1"/>
      <c r="N260" s="1"/>
      <c r="O260" s="1"/>
      <c r="P260" s="1"/>
      <c r="Q260" s="1"/>
      <c r="R260" s="1"/>
    </row>
    <row r="261" spans="1:18" ht="13.5" customHeight="1">
      <c r="A261" s="1"/>
      <c r="B261" s="1"/>
      <c r="C261" s="1"/>
      <c r="D261" s="1"/>
      <c r="E261" s="1"/>
      <c r="F261" s="1"/>
      <c r="G261" s="1"/>
      <c r="H261" s="1"/>
      <c r="I261" s="1"/>
      <c r="J261" s="1"/>
      <c r="K261" s="1"/>
      <c r="L261" s="1"/>
      <c r="M261" s="1"/>
      <c r="N261" s="1"/>
      <c r="O261" s="1"/>
      <c r="P261" s="1"/>
      <c r="Q261" s="1"/>
      <c r="R261" s="1"/>
    </row>
    <row r="262" spans="1:18" ht="13.5" customHeight="1">
      <c r="A262" s="1"/>
      <c r="B262" s="1"/>
      <c r="C262" s="1"/>
      <c r="D262" s="1"/>
      <c r="E262" s="1"/>
      <c r="F262" s="1"/>
      <c r="G262" s="1"/>
      <c r="H262" s="1"/>
      <c r="I262" s="1"/>
      <c r="J262" s="1"/>
      <c r="K262" s="1"/>
      <c r="L262" s="1"/>
      <c r="M262" s="1"/>
      <c r="N262" s="1"/>
      <c r="O262" s="1"/>
      <c r="P262" s="1"/>
      <c r="Q262" s="1"/>
      <c r="R262" s="1"/>
    </row>
    <row r="263" spans="1:18" ht="13.5" customHeight="1">
      <c r="A263" s="1"/>
      <c r="B263" s="1"/>
      <c r="C263" s="1"/>
      <c r="D263" s="1"/>
      <c r="E263" s="1"/>
      <c r="F263" s="1"/>
      <c r="G263" s="1"/>
      <c r="H263" s="1"/>
      <c r="I263" s="1"/>
      <c r="J263" s="1"/>
      <c r="K263" s="1"/>
      <c r="L263" s="1"/>
      <c r="M263" s="1"/>
      <c r="N263" s="1"/>
      <c r="O263" s="1"/>
      <c r="P263" s="1"/>
      <c r="Q263" s="1"/>
      <c r="R263" s="1"/>
    </row>
    <row r="264" spans="1:18" ht="13.5" customHeight="1">
      <c r="A264" s="1"/>
      <c r="B264" s="1"/>
      <c r="C264" s="1"/>
      <c r="D264" s="1"/>
      <c r="E264" s="1"/>
      <c r="F264" s="1"/>
      <c r="G264" s="1"/>
      <c r="H264" s="1"/>
      <c r="I264" s="1"/>
      <c r="J264" s="1"/>
      <c r="K264" s="1"/>
      <c r="L264" s="1"/>
      <c r="M264" s="1"/>
      <c r="N264" s="1"/>
      <c r="O264" s="1"/>
      <c r="P264" s="1"/>
      <c r="Q264" s="1"/>
      <c r="R264" s="1"/>
    </row>
    <row r="265" spans="1:18" ht="13.5" customHeight="1">
      <c r="A265" s="1"/>
      <c r="B265" s="1"/>
      <c r="C265" s="1"/>
      <c r="D265" s="1"/>
      <c r="E265" s="1"/>
      <c r="F265" s="1"/>
      <c r="G265" s="1"/>
      <c r="H265" s="1"/>
      <c r="I265" s="1"/>
      <c r="J265" s="1"/>
      <c r="K265" s="1"/>
      <c r="L265" s="1"/>
      <c r="M265" s="1"/>
      <c r="N265" s="1"/>
      <c r="O265" s="1"/>
      <c r="P265" s="1"/>
      <c r="Q265" s="1"/>
      <c r="R265" s="1"/>
    </row>
    <row r="266" spans="1:18" ht="13.5" customHeight="1">
      <c r="A266" s="1"/>
      <c r="B266" s="1"/>
      <c r="C266" s="1"/>
      <c r="D266" s="1"/>
      <c r="E266" s="1"/>
      <c r="F266" s="1"/>
      <c r="G266" s="1"/>
      <c r="H266" s="1"/>
      <c r="I266" s="1"/>
      <c r="J266" s="1"/>
      <c r="K266" s="1"/>
      <c r="L266" s="1"/>
      <c r="M266" s="1"/>
      <c r="N266" s="1"/>
      <c r="O266" s="1"/>
      <c r="P266" s="1"/>
      <c r="Q266" s="1"/>
      <c r="R266" s="1"/>
    </row>
    <row r="267" spans="1:18" ht="13.5" customHeight="1">
      <c r="A267" s="1"/>
      <c r="B267" s="1"/>
      <c r="C267" s="1"/>
      <c r="D267" s="1"/>
      <c r="E267" s="1"/>
      <c r="F267" s="1"/>
      <c r="G267" s="1"/>
      <c r="H267" s="1"/>
      <c r="I267" s="1"/>
      <c r="J267" s="1"/>
      <c r="K267" s="1"/>
      <c r="L267" s="1"/>
      <c r="M267" s="1"/>
      <c r="N267" s="1"/>
      <c r="O267" s="1"/>
      <c r="P267" s="1"/>
      <c r="Q267" s="1"/>
      <c r="R267" s="1"/>
    </row>
    <row r="268" spans="1:18" ht="13.5" customHeight="1">
      <c r="A268" s="1"/>
      <c r="B268" s="1"/>
      <c r="C268" s="1"/>
      <c r="D268" s="1"/>
      <c r="E268" s="1"/>
      <c r="F268" s="1"/>
      <c r="G268" s="1"/>
      <c r="H268" s="1"/>
      <c r="I268" s="1"/>
      <c r="J268" s="1"/>
      <c r="K268" s="1"/>
      <c r="L268" s="1"/>
      <c r="M268" s="1"/>
      <c r="N268" s="1"/>
      <c r="O268" s="1"/>
      <c r="P268" s="1"/>
      <c r="Q268" s="1"/>
      <c r="R268" s="1"/>
    </row>
    <row r="269" spans="1:18" ht="13.5" customHeight="1">
      <c r="A269" s="1"/>
      <c r="B269" s="1"/>
      <c r="C269" s="1"/>
      <c r="D269" s="1"/>
      <c r="E269" s="1"/>
      <c r="F269" s="1"/>
      <c r="G269" s="1"/>
      <c r="H269" s="1"/>
      <c r="I269" s="1"/>
      <c r="J269" s="1"/>
      <c r="K269" s="1"/>
      <c r="L269" s="1"/>
      <c r="M269" s="1"/>
      <c r="N269" s="1"/>
      <c r="O269" s="1"/>
      <c r="P269" s="1"/>
      <c r="Q269" s="1"/>
      <c r="R269" s="1"/>
    </row>
    <row r="270" spans="1:18" ht="13.5" customHeight="1">
      <c r="A270" s="1"/>
      <c r="B270" s="1"/>
      <c r="C270" s="1"/>
      <c r="D270" s="1"/>
      <c r="E270" s="1"/>
      <c r="F270" s="1"/>
      <c r="G270" s="1"/>
      <c r="H270" s="1"/>
      <c r="I270" s="1"/>
      <c r="J270" s="1"/>
      <c r="K270" s="1"/>
      <c r="L270" s="1"/>
      <c r="M270" s="1"/>
      <c r="N270" s="1"/>
      <c r="O270" s="1"/>
      <c r="P270" s="1"/>
      <c r="Q270" s="1"/>
      <c r="R270" s="1"/>
    </row>
    <row r="271" spans="1:18" ht="13.5" customHeight="1">
      <c r="A271" s="1"/>
      <c r="B271" s="1"/>
      <c r="C271" s="1"/>
      <c r="D271" s="1"/>
      <c r="E271" s="1"/>
      <c r="F271" s="1"/>
      <c r="G271" s="1"/>
      <c r="H271" s="1"/>
      <c r="I271" s="1"/>
      <c r="J271" s="1"/>
      <c r="K271" s="1"/>
      <c r="L271" s="1"/>
      <c r="M271" s="1"/>
      <c r="N271" s="1"/>
      <c r="O271" s="1"/>
      <c r="P271" s="1"/>
      <c r="Q271" s="1"/>
      <c r="R271" s="1"/>
    </row>
    <row r="272" spans="1:18" ht="13.5" customHeight="1">
      <c r="A272" s="1"/>
      <c r="B272" s="1"/>
      <c r="C272" s="1"/>
      <c r="D272" s="1"/>
      <c r="E272" s="1"/>
      <c r="F272" s="1"/>
      <c r="G272" s="1"/>
      <c r="H272" s="1"/>
      <c r="I272" s="1"/>
      <c r="J272" s="1"/>
      <c r="K272" s="1"/>
      <c r="L272" s="1"/>
      <c r="M272" s="1"/>
      <c r="N272" s="1"/>
      <c r="O272" s="1"/>
      <c r="P272" s="1"/>
      <c r="Q272" s="1"/>
      <c r="R272" s="1"/>
    </row>
    <row r="273" spans="1:18" ht="13.5" customHeight="1">
      <c r="A273" s="1"/>
      <c r="B273" s="1"/>
      <c r="C273" s="1"/>
      <c r="D273" s="1"/>
      <c r="E273" s="1"/>
      <c r="F273" s="1"/>
      <c r="G273" s="1"/>
      <c r="H273" s="1"/>
      <c r="I273" s="1"/>
      <c r="J273" s="1"/>
      <c r="K273" s="1"/>
      <c r="L273" s="1"/>
      <c r="M273" s="1"/>
      <c r="N273" s="1"/>
      <c r="O273" s="1"/>
      <c r="P273" s="1"/>
      <c r="Q273" s="1"/>
      <c r="R273" s="1"/>
    </row>
    <row r="274" spans="1:18" ht="13.5" customHeight="1">
      <c r="A274" s="1"/>
      <c r="B274" s="1"/>
      <c r="C274" s="1"/>
      <c r="D274" s="1"/>
      <c r="E274" s="1"/>
      <c r="F274" s="1"/>
      <c r="G274" s="1"/>
      <c r="H274" s="1"/>
      <c r="I274" s="1"/>
      <c r="J274" s="1"/>
      <c r="K274" s="1"/>
      <c r="L274" s="1"/>
      <c r="M274" s="1"/>
      <c r="N274" s="1"/>
      <c r="O274" s="1"/>
      <c r="P274" s="1"/>
      <c r="Q274" s="1"/>
      <c r="R274" s="1"/>
    </row>
    <row r="275" spans="1:18" ht="13.5" customHeight="1">
      <c r="A275" s="1"/>
      <c r="B275" s="1"/>
      <c r="C275" s="1"/>
      <c r="D275" s="1"/>
      <c r="E275" s="1"/>
      <c r="F275" s="1"/>
      <c r="G275" s="1"/>
      <c r="H275" s="1"/>
      <c r="I275" s="1"/>
      <c r="J275" s="1"/>
      <c r="K275" s="1"/>
      <c r="L275" s="1"/>
      <c r="M275" s="1"/>
      <c r="N275" s="1"/>
      <c r="O275" s="1"/>
      <c r="P275" s="1"/>
      <c r="Q275" s="1"/>
      <c r="R275" s="1"/>
    </row>
    <row r="276" spans="1:18" ht="13.5" customHeight="1">
      <c r="A276" s="1"/>
      <c r="B276" s="1"/>
      <c r="C276" s="1"/>
      <c r="D276" s="1"/>
      <c r="E276" s="1"/>
      <c r="F276" s="1"/>
      <c r="G276" s="1"/>
      <c r="H276" s="1"/>
      <c r="I276" s="1"/>
      <c r="J276" s="1"/>
      <c r="K276" s="1"/>
      <c r="L276" s="1"/>
      <c r="M276" s="1"/>
      <c r="N276" s="1"/>
      <c r="O276" s="1"/>
      <c r="P276" s="1"/>
      <c r="Q276" s="1"/>
      <c r="R276" s="1"/>
    </row>
    <row r="277" spans="1:18" ht="13.5" customHeight="1">
      <c r="A277" s="1"/>
      <c r="B277" s="1"/>
      <c r="C277" s="1"/>
      <c r="D277" s="1"/>
      <c r="E277" s="1"/>
      <c r="F277" s="1"/>
      <c r="G277" s="1"/>
      <c r="H277" s="1"/>
      <c r="I277" s="1"/>
      <c r="J277" s="1"/>
      <c r="K277" s="1"/>
      <c r="L277" s="1"/>
      <c r="M277" s="1"/>
      <c r="N277" s="1"/>
      <c r="O277" s="1"/>
      <c r="P277" s="1"/>
      <c r="Q277" s="1"/>
      <c r="R277" s="1"/>
    </row>
    <row r="278" spans="1:18" ht="13.5" customHeight="1">
      <c r="A278" s="1"/>
      <c r="B278" s="1"/>
      <c r="C278" s="1"/>
      <c r="D278" s="1"/>
      <c r="E278" s="1"/>
      <c r="F278" s="1"/>
      <c r="G278" s="1"/>
      <c r="H278" s="1"/>
      <c r="I278" s="1"/>
      <c r="J278" s="1"/>
      <c r="K278" s="1"/>
      <c r="L278" s="1"/>
      <c r="M278" s="1"/>
      <c r="N278" s="1"/>
      <c r="O278" s="1"/>
      <c r="P278" s="1"/>
      <c r="Q278" s="1"/>
      <c r="R278" s="1"/>
    </row>
    <row r="279" spans="1:18" ht="13.5" customHeight="1">
      <c r="A279" s="1"/>
      <c r="B279" s="1"/>
      <c r="C279" s="1"/>
      <c r="D279" s="1"/>
      <c r="E279" s="1"/>
      <c r="F279" s="1"/>
      <c r="G279" s="1"/>
      <c r="H279" s="1"/>
      <c r="I279" s="1"/>
      <c r="J279" s="1"/>
      <c r="K279" s="1"/>
      <c r="L279" s="1"/>
      <c r="M279" s="1"/>
      <c r="N279" s="1"/>
      <c r="O279" s="1"/>
      <c r="P279" s="1"/>
      <c r="Q279" s="1"/>
      <c r="R279" s="1"/>
    </row>
    <row r="280" spans="1:18" ht="13.5" customHeight="1">
      <c r="A280" s="1"/>
      <c r="B280" s="1"/>
      <c r="C280" s="1"/>
      <c r="D280" s="1"/>
      <c r="E280" s="1"/>
      <c r="F280" s="1"/>
      <c r="G280" s="1"/>
      <c r="H280" s="1"/>
      <c r="I280" s="1"/>
      <c r="J280" s="1"/>
      <c r="K280" s="1"/>
      <c r="L280" s="1"/>
      <c r="M280" s="1"/>
      <c r="N280" s="1"/>
      <c r="O280" s="1"/>
      <c r="P280" s="1"/>
      <c r="Q280" s="1"/>
      <c r="R280" s="1"/>
    </row>
    <row r="281" spans="1:18" ht="13.5" customHeight="1">
      <c r="A281" s="1"/>
      <c r="B281" s="1"/>
      <c r="C281" s="1"/>
      <c r="D281" s="1"/>
      <c r="E281" s="1"/>
      <c r="F281" s="1"/>
      <c r="G281" s="1"/>
      <c r="H281" s="1"/>
      <c r="I281" s="1"/>
      <c r="J281" s="1"/>
      <c r="K281" s="1"/>
      <c r="L281" s="1"/>
      <c r="M281" s="1"/>
      <c r="N281" s="1"/>
      <c r="O281" s="1"/>
      <c r="P281" s="1"/>
      <c r="Q281" s="1"/>
      <c r="R281" s="1"/>
    </row>
    <row r="282" spans="1:18" ht="13.5" customHeight="1">
      <c r="A282" s="1"/>
      <c r="B282" s="1"/>
      <c r="C282" s="1"/>
      <c r="D282" s="1"/>
      <c r="E282" s="1"/>
      <c r="F282" s="1"/>
      <c r="G282" s="1"/>
      <c r="H282" s="1"/>
      <c r="I282" s="1"/>
      <c r="J282" s="1"/>
      <c r="K282" s="1"/>
      <c r="L282" s="1"/>
      <c r="M282" s="1"/>
      <c r="N282" s="1"/>
      <c r="O282" s="1"/>
      <c r="P282" s="1"/>
      <c r="Q282" s="1"/>
      <c r="R282" s="1"/>
    </row>
    <row r="283" spans="1:18" ht="13.5" customHeight="1">
      <c r="A283" s="1"/>
      <c r="B283" s="1"/>
      <c r="C283" s="1"/>
      <c r="D283" s="1"/>
      <c r="E283" s="1"/>
      <c r="F283" s="1"/>
      <c r="G283" s="1"/>
      <c r="H283" s="1"/>
      <c r="I283" s="1"/>
      <c r="J283" s="1"/>
      <c r="K283" s="1"/>
      <c r="L283" s="1"/>
      <c r="M283" s="1"/>
      <c r="N283" s="1"/>
      <c r="O283" s="1"/>
      <c r="P283" s="1"/>
      <c r="Q283" s="1"/>
      <c r="R283" s="1"/>
    </row>
    <row r="284" spans="1:18" ht="13.5" customHeight="1">
      <c r="A284" s="1"/>
      <c r="B284" s="1"/>
      <c r="C284" s="1"/>
      <c r="D284" s="1"/>
      <c r="E284" s="1"/>
      <c r="F284" s="1"/>
      <c r="G284" s="1"/>
      <c r="H284" s="1"/>
      <c r="I284" s="1"/>
      <c r="J284" s="1"/>
      <c r="K284" s="1"/>
      <c r="L284" s="1"/>
      <c r="M284" s="1"/>
      <c r="N284" s="1"/>
      <c r="O284" s="1"/>
      <c r="P284" s="1"/>
      <c r="Q284" s="1"/>
      <c r="R284" s="1"/>
    </row>
    <row r="285" spans="1:18" ht="13.5" customHeight="1">
      <c r="A285" s="1"/>
      <c r="B285" s="1"/>
      <c r="C285" s="1"/>
      <c r="D285" s="1"/>
      <c r="E285" s="1"/>
      <c r="F285" s="1"/>
      <c r="G285" s="1"/>
      <c r="H285" s="1"/>
      <c r="I285" s="1"/>
      <c r="J285" s="1"/>
      <c r="K285" s="1"/>
      <c r="L285" s="1"/>
      <c r="M285" s="1"/>
      <c r="N285" s="1"/>
      <c r="O285" s="1"/>
      <c r="P285" s="1"/>
      <c r="Q285" s="1"/>
      <c r="R285" s="1"/>
    </row>
    <row r="286" spans="1:18" ht="13.5" customHeight="1">
      <c r="A286" s="1"/>
      <c r="B286" s="1"/>
      <c r="C286" s="1"/>
      <c r="D286" s="1"/>
      <c r="E286" s="1"/>
      <c r="F286" s="1"/>
      <c r="G286" s="1"/>
      <c r="H286" s="1"/>
      <c r="I286" s="1"/>
      <c r="J286" s="1"/>
      <c r="K286" s="1"/>
      <c r="L286" s="1"/>
      <c r="M286" s="1"/>
      <c r="N286" s="1"/>
      <c r="O286" s="1"/>
      <c r="P286" s="1"/>
      <c r="Q286" s="1"/>
      <c r="R286" s="1"/>
    </row>
    <row r="287" spans="1:18" ht="13.5" customHeight="1">
      <c r="A287" s="1"/>
      <c r="B287" s="1"/>
      <c r="C287" s="1"/>
      <c r="D287" s="1"/>
      <c r="E287" s="1"/>
      <c r="F287" s="1"/>
      <c r="G287" s="1"/>
      <c r="H287" s="1"/>
      <c r="I287" s="1"/>
      <c r="J287" s="1"/>
      <c r="K287" s="1"/>
      <c r="L287" s="1"/>
      <c r="M287" s="1"/>
      <c r="N287" s="1"/>
      <c r="O287" s="1"/>
      <c r="P287" s="1"/>
      <c r="Q287" s="1"/>
      <c r="R287" s="1"/>
    </row>
    <row r="288" spans="1:18" ht="13.5" customHeight="1">
      <c r="A288" s="1"/>
      <c r="B288" s="1"/>
      <c r="C288" s="1"/>
      <c r="D288" s="1"/>
      <c r="E288" s="1"/>
      <c r="F288" s="1"/>
      <c r="G288" s="1"/>
      <c r="H288" s="1"/>
      <c r="I288" s="1"/>
      <c r="J288" s="1"/>
      <c r="K288" s="1"/>
      <c r="L288" s="1"/>
      <c r="M288" s="1"/>
      <c r="N288" s="1"/>
      <c r="O288" s="1"/>
      <c r="P288" s="1"/>
      <c r="Q288" s="1"/>
      <c r="R288" s="1"/>
    </row>
    <row r="289" spans="1:18" ht="13.5" customHeight="1">
      <c r="A289" s="1"/>
      <c r="B289" s="1"/>
      <c r="C289" s="1"/>
      <c r="D289" s="1"/>
      <c r="E289" s="1"/>
      <c r="F289" s="1"/>
      <c r="G289" s="1"/>
      <c r="H289" s="1"/>
      <c r="I289" s="1"/>
      <c r="J289" s="1"/>
      <c r="K289" s="1"/>
      <c r="L289" s="1"/>
      <c r="M289" s="1"/>
      <c r="N289" s="1"/>
      <c r="O289" s="1"/>
      <c r="P289" s="1"/>
      <c r="Q289" s="1"/>
      <c r="R289" s="1"/>
    </row>
    <row r="290" spans="1:18" ht="13.5" customHeight="1">
      <c r="A290" s="1"/>
      <c r="B290" s="1"/>
      <c r="C290" s="1"/>
      <c r="D290" s="1"/>
      <c r="E290" s="1"/>
      <c r="F290" s="1"/>
      <c r="G290" s="1"/>
      <c r="H290" s="1"/>
      <c r="I290" s="1"/>
      <c r="J290" s="1"/>
      <c r="K290" s="1"/>
      <c r="L290" s="1"/>
      <c r="M290" s="1"/>
      <c r="N290" s="1"/>
      <c r="O290" s="1"/>
      <c r="P290" s="1"/>
      <c r="Q290" s="1"/>
      <c r="R290" s="1"/>
    </row>
    <row r="291" spans="1:18" ht="13.5" customHeight="1">
      <c r="A291" s="1"/>
      <c r="B291" s="1"/>
      <c r="C291" s="1"/>
      <c r="D291" s="1"/>
      <c r="E291" s="1"/>
      <c r="F291" s="1"/>
      <c r="G291" s="1"/>
      <c r="H291" s="1"/>
      <c r="I291" s="1"/>
      <c r="J291" s="1"/>
      <c r="K291" s="1"/>
      <c r="L291" s="1"/>
      <c r="M291" s="1"/>
      <c r="N291" s="1"/>
      <c r="O291" s="1"/>
      <c r="P291" s="1"/>
      <c r="Q291" s="1"/>
      <c r="R291" s="1"/>
    </row>
    <row r="292" spans="1:18" ht="13.5" customHeight="1">
      <c r="A292" s="1"/>
      <c r="B292" s="1"/>
      <c r="C292" s="1"/>
      <c r="D292" s="1"/>
      <c r="E292" s="1"/>
      <c r="F292" s="1"/>
      <c r="G292" s="1"/>
      <c r="H292" s="1"/>
      <c r="I292" s="1"/>
      <c r="J292" s="1"/>
      <c r="K292" s="1"/>
      <c r="L292" s="1"/>
      <c r="M292" s="1"/>
      <c r="N292" s="1"/>
      <c r="O292" s="1"/>
      <c r="P292" s="1"/>
      <c r="Q292" s="1"/>
      <c r="R292" s="1"/>
    </row>
    <row r="293" spans="1:18" ht="13.5" customHeight="1">
      <c r="A293" s="1"/>
      <c r="B293" s="1"/>
      <c r="C293" s="1"/>
      <c r="D293" s="1"/>
      <c r="E293" s="1"/>
      <c r="F293" s="1"/>
      <c r="G293" s="1"/>
      <c r="H293" s="1"/>
      <c r="I293" s="1"/>
      <c r="J293" s="1"/>
      <c r="K293" s="1"/>
      <c r="L293" s="1"/>
      <c r="M293" s="1"/>
      <c r="N293" s="1"/>
      <c r="O293" s="1"/>
      <c r="P293" s="1"/>
      <c r="Q293" s="1"/>
      <c r="R293" s="1"/>
    </row>
    <row r="294" spans="1:18" ht="15.75" customHeight="1"/>
    <row r="295" spans="1:18" ht="15.75" customHeight="1"/>
    <row r="296" spans="1:18" ht="15.75" customHeight="1"/>
    <row r="297" spans="1:18" ht="15.75" customHeight="1"/>
    <row r="298" spans="1:18" ht="15.75" customHeight="1"/>
    <row r="299" spans="1:18" ht="15.75" customHeight="1"/>
    <row r="300" spans="1:18" ht="15.75" customHeight="1"/>
    <row r="301" spans="1:18" ht="15.75" customHeight="1"/>
    <row r="302" spans="1:18" ht="15.75" customHeight="1"/>
    <row r="303" spans="1:18" ht="15.75" customHeight="1"/>
    <row r="304" spans="1:18"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G5:H5"/>
    <mergeCell ref="D64:E64"/>
    <mergeCell ref="K64:K65"/>
    <mergeCell ref="D76:E76"/>
    <mergeCell ref="K76:K77"/>
  </mergeCells>
  <conditionalFormatting sqref="I61:J61">
    <cfRule type="cellIs" dxfId="37" priority="1" operator="notEqual">
      <formula>$I$26</formula>
    </cfRule>
  </conditionalFormatting>
  <conditionalFormatting sqref="H61">
    <cfRule type="cellIs" dxfId="36" priority="2" operator="notEqual">
      <formula>$H$26</formula>
    </cfRule>
  </conditionalFormatting>
  <conditionalFormatting sqref="G61">
    <cfRule type="cellIs" dxfId="35" priority="3" operator="notEqual">
      <formula>$G$26</formula>
    </cfRule>
  </conditionalFormatting>
  <conditionalFormatting sqref="F61">
    <cfRule type="cellIs" dxfId="34" priority="4" operator="notEqual">
      <formula>$F$26</formula>
    </cfRule>
  </conditionalFormatting>
  <conditionalFormatting sqref="E61">
    <cfRule type="cellIs" dxfId="33" priority="5" operator="notEqual">
      <formula>$E$26</formula>
    </cfRule>
  </conditionalFormatting>
  <pageMargins left="0.75" right="0.75" top="1" bottom="1" header="0" footer="0"/>
  <pageSetup scale="60"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1"/>
  <sheetViews>
    <sheetView showGridLines="0" workbookViewId="0">
      <selection activeCell="G22" sqref="G22"/>
    </sheetView>
  </sheetViews>
  <sheetFormatPr defaultColWidth="14.453125" defaultRowHeight="15" customHeight="1" outlineLevelRow="1"/>
  <cols>
    <col min="1" max="1" width="2.08984375" customWidth="1"/>
    <col min="2" max="2" width="50.7265625" customWidth="1"/>
    <col min="3" max="3" width="10.08984375" customWidth="1"/>
    <col min="4" max="6" width="10.7265625" customWidth="1"/>
    <col min="7" max="7" width="10.453125" customWidth="1"/>
    <col min="8" max="8" width="12.08984375" customWidth="1"/>
    <col min="9" max="9" width="9.453125" customWidth="1"/>
    <col min="10" max="10" width="3.81640625" customWidth="1"/>
    <col min="11" max="14" width="13" customWidth="1"/>
    <col min="15" max="15" width="7.7265625" customWidth="1"/>
    <col min="16" max="16" width="8" customWidth="1"/>
    <col min="17" max="26" width="11" customWidth="1"/>
  </cols>
  <sheetData>
    <row r="1" spans="1:26" ht="13.5" customHeight="1">
      <c r="A1" s="1"/>
      <c r="B1" s="1"/>
      <c r="C1" s="316"/>
      <c r="D1" s="316"/>
      <c r="E1" s="316"/>
      <c r="F1" s="316"/>
      <c r="G1" s="316"/>
      <c r="H1" s="1"/>
      <c r="I1" s="1"/>
      <c r="J1" s="1"/>
      <c r="K1" s="1"/>
      <c r="L1" s="1"/>
      <c r="M1" s="1"/>
      <c r="N1" s="1"/>
      <c r="O1" s="1"/>
      <c r="P1" s="1"/>
      <c r="Q1" s="1"/>
      <c r="R1" s="1"/>
      <c r="S1" s="1"/>
      <c r="T1" s="1"/>
      <c r="U1" s="1"/>
      <c r="V1" s="1"/>
      <c r="W1" s="1"/>
      <c r="X1" s="1"/>
      <c r="Y1" s="1"/>
      <c r="Z1" s="1"/>
    </row>
    <row r="2" spans="1:26" ht="12.75" customHeight="1">
      <c r="A2" s="1"/>
      <c r="B2" s="191" t="str">
        <f>Corporation&amp;" ("&amp;Ticker&amp;") Statement of Cash Flows"</f>
        <v>Taiwan SemiConductor Manufacturing Co. Ltd. (TSM) Statement of Cash Flows</v>
      </c>
      <c r="C2" s="317"/>
      <c r="D2" s="317"/>
      <c r="E2" s="317"/>
      <c r="F2" s="317"/>
      <c r="G2" s="317"/>
      <c r="H2" s="318"/>
      <c r="I2" s="1"/>
      <c r="J2" s="1"/>
      <c r="K2" s="1"/>
      <c r="L2" s="1"/>
      <c r="M2" s="1"/>
      <c r="N2" s="1"/>
      <c r="O2" s="1"/>
      <c r="P2" s="1"/>
      <c r="Q2" s="1"/>
      <c r="R2" s="1"/>
      <c r="S2" s="1"/>
      <c r="T2" s="1"/>
      <c r="U2" s="1"/>
      <c r="V2" s="1"/>
      <c r="W2" s="1"/>
      <c r="X2" s="1"/>
      <c r="Y2" s="1"/>
      <c r="Z2" s="1"/>
    </row>
    <row r="3" spans="1:26" ht="12.75" customHeight="1">
      <c r="A3" s="1"/>
      <c r="B3" s="200"/>
      <c r="C3" s="319"/>
      <c r="D3" s="319"/>
      <c r="E3" s="319"/>
      <c r="F3" s="319"/>
      <c r="G3" s="319"/>
      <c r="H3" s="276"/>
      <c r="I3" s="1"/>
      <c r="J3" s="1"/>
      <c r="K3" s="1"/>
      <c r="L3" s="1"/>
      <c r="M3" s="1"/>
      <c r="N3" s="1"/>
      <c r="O3" s="1"/>
      <c r="P3" s="1"/>
      <c r="Q3" s="1"/>
      <c r="R3" s="1"/>
      <c r="S3" s="1"/>
      <c r="T3" s="1"/>
      <c r="U3" s="1"/>
      <c r="V3" s="1"/>
      <c r="W3" s="1"/>
      <c r="X3" s="1"/>
      <c r="Y3" s="1"/>
      <c r="Z3" s="1"/>
    </row>
    <row r="4" spans="1:26" ht="12.75" customHeight="1">
      <c r="A4" s="1"/>
      <c r="B4" s="283" t="s">
        <v>215</v>
      </c>
      <c r="C4" s="43"/>
      <c r="D4" s="43"/>
      <c r="E4" s="662" t="s">
        <v>43</v>
      </c>
      <c r="F4" s="625"/>
      <c r="G4" s="43"/>
      <c r="H4" s="320" t="s">
        <v>40</v>
      </c>
      <c r="I4" s="1"/>
      <c r="J4" s="1"/>
      <c r="K4" s="1">
        <v>36</v>
      </c>
      <c r="L4" s="1"/>
      <c r="M4" s="1"/>
      <c r="N4" s="1"/>
      <c r="O4" s="1"/>
      <c r="P4" s="1"/>
      <c r="Q4" s="1"/>
      <c r="R4" s="1"/>
      <c r="S4" s="1"/>
      <c r="T4" s="1"/>
      <c r="U4" s="1"/>
      <c r="V4" s="1"/>
      <c r="W4" s="1"/>
      <c r="X4" s="1"/>
      <c r="Y4" s="1"/>
      <c r="Z4" s="1"/>
    </row>
    <row r="5" spans="1:26" ht="13.5" customHeight="1">
      <c r="A5" s="1"/>
      <c r="B5" s="271"/>
      <c r="C5" s="321">
        <f>Historical1</f>
        <v>2016</v>
      </c>
      <c r="D5" s="321">
        <f>Historical2</f>
        <v>2017</v>
      </c>
      <c r="E5" s="321">
        <f>Historical3</f>
        <v>2018</v>
      </c>
      <c r="F5" s="321">
        <f>Historical4</f>
        <v>2019</v>
      </c>
      <c r="G5" s="321">
        <f>Historical5</f>
        <v>2020</v>
      </c>
      <c r="H5" s="322">
        <f>FORECAST</f>
        <v>2021</v>
      </c>
      <c r="I5" s="44"/>
      <c r="J5" s="1"/>
      <c r="K5" s="1"/>
      <c r="L5" s="1"/>
      <c r="M5" s="1"/>
      <c r="N5" s="1"/>
      <c r="O5" s="1"/>
      <c r="P5" s="1"/>
      <c r="Q5" s="1"/>
      <c r="R5" s="1"/>
      <c r="S5" s="1"/>
      <c r="T5" s="1"/>
      <c r="U5" s="1"/>
      <c r="V5" s="1"/>
      <c r="W5" s="1"/>
      <c r="X5" s="1"/>
      <c r="Y5" s="1"/>
      <c r="Z5" s="1"/>
    </row>
    <row r="6" spans="1:26" ht="13.5" customHeight="1">
      <c r="A6" s="1"/>
      <c r="B6" s="275" t="s">
        <v>216</v>
      </c>
      <c r="C6" s="1"/>
      <c r="D6" s="1"/>
      <c r="E6" s="1"/>
      <c r="F6" s="1"/>
      <c r="G6" s="1"/>
      <c r="H6" s="276"/>
      <c r="I6" s="1"/>
      <c r="J6" s="1"/>
      <c r="K6" s="1"/>
      <c r="L6" s="1"/>
      <c r="M6" s="1"/>
      <c r="N6" s="1"/>
      <c r="O6" s="1"/>
      <c r="P6" s="1"/>
      <c r="Q6" s="1"/>
      <c r="R6" s="1"/>
      <c r="S6" s="1"/>
      <c r="T6" s="1"/>
      <c r="U6" s="1"/>
      <c r="V6" s="1"/>
      <c r="W6" s="1"/>
      <c r="X6" s="1"/>
      <c r="Y6" s="1"/>
      <c r="Z6" s="1"/>
    </row>
    <row r="7" spans="1:26" ht="13.5" customHeight="1">
      <c r="A7" s="1"/>
      <c r="B7" s="323" t="s">
        <v>366</v>
      </c>
      <c r="C7" s="277">
        <f>IS!C16</f>
        <v>13895.567999999996</v>
      </c>
      <c r="D7" s="277">
        <f>IS!D16</f>
        <v>14260.968000000006</v>
      </c>
      <c r="E7" s="277">
        <f>IS!E16</f>
        <v>14314.392</v>
      </c>
      <c r="F7" s="277">
        <f>IS!F16</f>
        <v>14034.528000000004</v>
      </c>
      <c r="G7" s="277">
        <f>IS!G16</f>
        <v>21052.331999999991</v>
      </c>
      <c r="H7" s="585">
        <f>IS!H19</f>
        <v>21357.345975265092</v>
      </c>
      <c r="I7" s="65"/>
      <c r="J7" s="54"/>
      <c r="K7" s="54"/>
      <c r="L7" s="54"/>
      <c r="M7" s="54"/>
      <c r="N7" s="1"/>
      <c r="O7" s="1"/>
      <c r="P7" s="1"/>
      <c r="Q7" s="1"/>
      <c r="R7" s="1"/>
      <c r="S7" s="1"/>
      <c r="T7" s="1"/>
      <c r="U7" s="1"/>
      <c r="V7" s="1"/>
      <c r="W7" s="1"/>
      <c r="X7" s="1"/>
      <c r="Y7" s="1"/>
      <c r="Z7" s="1"/>
    </row>
    <row r="8" spans="1:26" ht="13.5" customHeight="1">
      <c r="A8" s="1"/>
      <c r="B8" s="324" t="s">
        <v>217</v>
      </c>
      <c r="C8" s="277">
        <v>7923.06</v>
      </c>
      <c r="D8" s="277">
        <v>9208.655999999999</v>
      </c>
      <c r="E8" s="277">
        <v>10372.5</v>
      </c>
      <c r="F8" s="277">
        <v>10130.831999999999</v>
      </c>
      <c r="G8" s="277">
        <v>11683.368</v>
      </c>
      <c r="H8" s="585">
        <f>M8*fsales</f>
        <v>13860.179451837674</v>
      </c>
      <c r="I8" s="65"/>
      <c r="J8" s="54"/>
      <c r="K8" s="54"/>
      <c r="L8" s="54"/>
      <c r="M8" s="279">
        <f>G8/lsales</f>
        <v>0.24232816875116675</v>
      </c>
      <c r="N8" s="1"/>
      <c r="O8" s="1"/>
      <c r="P8" s="1"/>
      <c r="Q8" s="1"/>
      <c r="R8" s="1"/>
      <c r="S8" s="1"/>
      <c r="T8" s="1"/>
      <c r="U8" s="1"/>
      <c r="V8" s="1"/>
      <c r="W8" s="1"/>
      <c r="X8" s="1"/>
      <c r="Y8" s="1"/>
      <c r="Z8" s="1"/>
    </row>
    <row r="9" spans="1:26" ht="13.5" customHeight="1">
      <c r="A9" s="1"/>
      <c r="B9" s="575" t="s">
        <v>372</v>
      </c>
      <c r="C9" s="277">
        <v>134.74799999999999</v>
      </c>
      <c r="D9" s="277">
        <v>156.49200000000002</v>
      </c>
      <c r="E9" s="277">
        <v>159.15600000000001</v>
      </c>
      <c r="F9" s="277">
        <v>196.99200000000002</v>
      </c>
      <c r="G9" s="277">
        <v>258.69600000000003</v>
      </c>
      <c r="H9" s="585">
        <f>M9*fsales</f>
        <v>306.89549310375219</v>
      </c>
      <c r="I9" s="65"/>
      <c r="J9" s="54"/>
      <c r="K9" s="54"/>
      <c r="L9" s="54"/>
      <c r="M9" s="279">
        <f>G9/lsales</f>
        <v>5.3656897517267137E-3</v>
      </c>
      <c r="N9" s="1"/>
      <c r="O9" s="1"/>
      <c r="P9" s="1"/>
      <c r="Q9" s="1"/>
      <c r="R9" s="1"/>
      <c r="S9" s="1"/>
      <c r="T9" s="1"/>
      <c r="U9" s="1"/>
      <c r="V9" s="1"/>
      <c r="W9" s="1"/>
      <c r="X9" s="1"/>
      <c r="Y9" s="1"/>
      <c r="Z9" s="1"/>
    </row>
    <row r="10" spans="1:26" s="551" customFormat="1" ht="13.5" customHeight="1">
      <c r="A10" s="1"/>
      <c r="B10" s="575" t="s">
        <v>361</v>
      </c>
      <c r="C10" s="557">
        <v>119.01600000000001</v>
      </c>
      <c r="D10" s="557">
        <v>119.88</v>
      </c>
      <c r="E10" s="557">
        <v>109.83600000000001</v>
      </c>
      <c r="F10" s="557">
        <v>117.07199999999999</v>
      </c>
      <c r="G10" s="557">
        <v>74.915999999999997</v>
      </c>
      <c r="H10" s="585">
        <v>86.399999999999991</v>
      </c>
      <c r="I10" s="65"/>
      <c r="J10" s="54"/>
      <c r="K10" s="54"/>
      <c r="L10" s="54"/>
      <c r="M10" s="279"/>
      <c r="N10" s="1"/>
      <c r="O10" s="1"/>
      <c r="P10" s="1"/>
      <c r="Q10" s="1"/>
      <c r="R10" s="1"/>
      <c r="S10" s="1"/>
      <c r="T10" s="1"/>
      <c r="U10" s="1"/>
      <c r="V10" s="1"/>
      <c r="W10" s="1"/>
      <c r="X10" s="1"/>
      <c r="Y10" s="1"/>
      <c r="Z10" s="1"/>
    </row>
    <row r="11" spans="1:26" ht="13.5" customHeight="1">
      <c r="A11" s="1"/>
      <c r="B11" s="576" t="s">
        <v>370</v>
      </c>
      <c r="C11" s="277">
        <v>-123.51600000000001</v>
      </c>
      <c r="D11" s="277">
        <v>-112.176</v>
      </c>
      <c r="E11" s="277">
        <v>-106.02</v>
      </c>
      <c r="F11" s="277">
        <v>-102.348</v>
      </c>
      <c r="G11" s="277">
        <v>-128.73599999999999</v>
      </c>
      <c r="H11" s="585">
        <f>AVERAGE(G11/lrev,F11/IS!$F$8,E11/IS!$E$8,D11/IS!$D$8,C11/IS!$C$8)*fsales</f>
        <v>-171.46940859831523</v>
      </c>
      <c r="I11" s="65"/>
      <c r="J11" s="54"/>
      <c r="K11" s="54"/>
      <c r="L11" s="54"/>
      <c r="M11" s="54"/>
      <c r="N11" s="1"/>
      <c r="O11" s="1"/>
      <c r="P11" s="1"/>
      <c r="Q11" s="1"/>
      <c r="R11" s="1"/>
      <c r="S11" s="1"/>
      <c r="T11" s="1"/>
      <c r="U11" s="1"/>
      <c r="V11" s="1"/>
      <c r="W11" s="1"/>
      <c r="X11" s="1"/>
      <c r="Y11" s="1"/>
      <c r="Z11" s="1"/>
    </row>
    <row r="12" spans="1:26" s="551" customFormat="1" ht="13.5" customHeight="1">
      <c r="A12" s="1"/>
      <c r="B12" s="576" t="s">
        <v>362</v>
      </c>
      <c r="C12" s="557">
        <v>-227.41200000000001</v>
      </c>
      <c r="D12" s="557">
        <v>-340.74</v>
      </c>
      <c r="E12" s="557">
        <v>-528.98400000000004</v>
      </c>
      <c r="F12" s="557">
        <v>-582.80399999999997</v>
      </c>
      <c r="G12" s="557">
        <v>-324.64800000000002</v>
      </c>
      <c r="H12" s="585">
        <v>-324</v>
      </c>
      <c r="I12" s="65"/>
      <c r="J12" s="54"/>
      <c r="K12" s="54"/>
      <c r="L12" s="54"/>
      <c r="M12" s="54"/>
      <c r="N12" s="1"/>
      <c r="O12" s="1"/>
      <c r="P12" s="1"/>
      <c r="Q12" s="1"/>
      <c r="R12" s="1"/>
      <c r="S12" s="1"/>
      <c r="T12" s="1"/>
      <c r="U12" s="1"/>
      <c r="V12" s="1"/>
      <c r="W12" s="1"/>
      <c r="X12" s="1"/>
      <c r="Y12" s="1"/>
      <c r="Z12" s="1"/>
    </row>
    <row r="13" spans="1:26" ht="13.5" customHeight="1">
      <c r="A13" s="1"/>
      <c r="B13" s="576" t="s">
        <v>363</v>
      </c>
      <c r="C13" s="277">
        <v>4.3919999999999995</v>
      </c>
      <c r="D13" s="277">
        <v>1.512</v>
      </c>
      <c r="E13" s="277">
        <v>15.228</v>
      </c>
      <c r="F13" s="277">
        <v>-10.836</v>
      </c>
      <c r="G13" s="277">
        <v>0.36</v>
      </c>
      <c r="H13" s="585">
        <f>M13*fsales</f>
        <v>0.42707416240433083</v>
      </c>
      <c r="I13" s="65"/>
      <c r="J13" s="54"/>
      <c r="K13" s="54"/>
      <c r="L13" s="54"/>
      <c r="M13" s="279">
        <f>G13/lsales</f>
        <v>7.4668657830875499E-6</v>
      </c>
      <c r="N13" s="1"/>
      <c r="O13" s="1"/>
      <c r="P13" s="1"/>
      <c r="Q13" s="1"/>
      <c r="R13" s="1"/>
      <c r="S13" s="1"/>
      <c r="T13" s="1"/>
      <c r="U13" s="1"/>
      <c r="V13" s="1"/>
      <c r="W13" s="1"/>
      <c r="X13" s="1"/>
      <c r="Y13" s="1"/>
      <c r="Z13" s="1"/>
    </row>
    <row r="14" spans="1:26" ht="13.5" customHeight="1">
      <c r="A14" s="1"/>
      <c r="B14" s="575" t="s">
        <v>371</v>
      </c>
      <c r="C14" s="277">
        <v>6.48</v>
      </c>
      <c r="D14" s="277">
        <v>36.251999999999995</v>
      </c>
      <c r="E14" s="277">
        <v>99.899999999999991</v>
      </c>
      <c r="F14" s="277">
        <v>49.319999999999993</v>
      </c>
      <c r="G14" s="277">
        <v>-58.680000000000007</v>
      </c>
      <c r="H14" s="585">
        <f>M14*fsales</f>
        <v>-69.61308847190594</v>
      </c>
      <c r="I14" s="65"/>
      <c r="J14" s="54"/>
      <c r="K14" s="54"/>
      <c r="L14" s="54"/>
      <c r="M14" s="279">
        <f>G14/lsales</f>
        <v>-1.2170991226432709E-3</v>
      </c>
      <c r="N14" s="1"/>
      <c r="O14" s="1"/>
      <c r="P14" s="1"/>
      <c r="Q14" s="1"/>
      <c r="R14" s="1"/>
      <c r="S14" s="1"/>
      <c r="T14" s="1"/>
      <c r="U14" s="1"/>
      <c r="V14" s="1"/>
      <c r="W14" s="1"/>
      <c r="X14" s="1"/>
      <c r="Y14" s="1"/>
      <c r="Z14" s="1"/>
    </row>
    <row r="15" spans="1:26" s="551" customFormat="1" ht="13.5" customHeight="1">
      <c r="A15" s="1"/>
      <c r="B15" s="575" t="s">
        <v>364</v>
      </c>
      <c r="C15" s="557">
        <v>-95.616</v>
      </c>
      <c r="D15" s="557">
        <v>-328.28399999999999</v>
      </c>
      <c r="E15" s="557">
        <v>104.976</v>
      </c>
      <c r="F15" s="557">
        <v>-188.208</v>
      </c>
      <c r="G15" s="557">
        <v>-49.427999999999997</v>
      </c>
      <c r="H15" s="585">
        <v>-108</v>
      </c>
      <c r="I15" s="65"/>
      <c r="J15" s="54"/>
      <c r="K15" s="54"/>
      <c r="L15" s="54"/>
      <c r="M15" s="279"/>
      <c r="N15" s="1"/>
      <c r="O15" s="1"/>
      <c r="P15" s="1"/>
      <c r="Q15" s="1"/>
      <c r="R15" s="1"/>
      <c r="S15" s="1"/>
      <c r="T15" s="1"/>
      <c r="U15" s="1"/>
      <c r="V15" s="1"/>
      <c r="W15" s="1"/>
      <c r="X15" s="1"/>
      <c r="Y15" s="1"/>
      <c r="Z15" s="1"/>
    </row>
    <row r="16" spans="1:26" s="551" customFormat="1" ht="13.5" customHeight="1">
      <c r="A16" s="1"/>
      <c r="B16" s="575" t="s">
        <v>365</v>
      </c>
      <c r="C16" s="557">
        <v>-4.9320000000000004</v>
      </c>
      <c r="D16" s="557">
        <v>-5.22</v>
      </c>
      <c r="E16" s="557">
        <v>-5.6879999999999997</v>
      </c>
      <c r="F16" s="557">
        <v>-15.011999999999999</v>
      </c>
      <c r="G16" s="557">
        <v>-22.932000000000002</v>
      </c>
      <c r="H16" s="585">
        <v>0</v>
      </c>
      <c r="I16" s="65"/>
      <c r="J16" s="54"/>
      <c r="K16" s="54"/>
      <c r="L16" s="54"/>
      <c r="M16" s="279"/>
      <c r="N16" s="1"/>
      <c r="O16" s="1"/>
      <c r="P16" s="1"/>
      <c r="Q16" s="1"/>
      <c r="R16" s="1"/>
      <c r="S16" s="1"/>
      <c r="T16" s="1"/>
      <c r="U16" s="1"/>
      <c r="V16" s="1"/>
      <c r="W16" s="1"/>
      <c r="X16" s="1"/>
      <c r="Y16" s="1"/>
      <c r="Z16" s="1"/>
    </row>
    <row r="17" spans="1:26" ht="13.5" customHeight="1">
      <c r="A17" s="1"/>
      <c r="B17" s="576" t="s">
        <v>218</v>
      </c>
      <c r="C17" s="277">
        <v>-0.6120000000000001</v>
      </c>
      <c r="D17" s="277">
        <v>1.08</v>
      </c>
      <c r="E17" s="277">
        <v>0.14400000000000002</v>
      </c>
      <c r="F17" s="277">
        <v>-5.2307999999999995</v>
      </c>
      <c r="G17" s="277">
        <v>5.7599999999999998E-2</v>
      </c>
      <c r="H17" s="585">
        <f>AVERAGE(G17/lrev,F17/IS!$F$8,E17/IS!$E$8,D17/IS!$D$8,C17/IS!$C$8)*fsales</f>
        <v>-1.349417032186268</v>
      </c>
      <c r="I17" s="65"/>
      <c r="J17" s="54"/>
      <c r="K17" s="54"/>
      <c r="L17" s="54"/>
      <c r="M17" s="279">
        <f>G17/lsales</f>
        <v>1.1946985252940079E-6</v>
      </c>
      <c r="N17" s="1"/>
      <c r="O17" s="1"/>
      <c r="P17" s="1"/>
      <c r="Q17" s="1"/>
      <c r="R17" s="1"/>
      <c r="S17" s="1"/>
      <c r="T17" s="1"/>
      <c r="U17" s="1"/>
      <c r="V17" s="1"/>
      <c r="W17" s="1"/>
      <c r="X17" s="1"/>
      <c r="Y17" s="1"/>
      <c r="Z17" s="1"/>
    </row>
    <row r="18" spans="1:26" ht="13.5" customHeight="1">
      <c r="A18" s="1"/>
      <c r="B18" s="324" t="s">
        <v>219</v>
      </c>
      <c r="C18" s="325"/>
      <c r="D18" s="325"/>
      <c r="E18" s="325"/>
      <c r="F18" s="325"/>
      <c r="G18" s="325"/>
      <c r="H18" s="586"/>
      <c r="I18" s="65"/>
      <c r="J18" s="54"/>
      <c r="K18" s="54"/>
      <c r="L18" s="54"/>
      <c r="M18" s="54"/>
      <c r="N18" s="1"/>
      <c r="O18" s="1"/>
      <c r="P18" s="1"/>
      <c r="Q18" s="1"/>
      <c r="R18" s="1"/>
      <c r="S18" s="1"/>
      <c r="T18" s="1"/>
      <c r="U18" s="1"/>
      <c r="V18" s="1"/>
      <c r="W18" s="1"/>
      <c r="X18" s="1"/>
      <c r="Y18" s="1"/>
      <c r="Z18" s="1"/>
    </row>
    <row r="19" spans="1:26" ht="13.5" customHeight="1">
      <c r="A19" s="1"/>
      <c r="B19" s="323" t="s">
        <v>220</v>
      </c>
      <c r="C19" s="277">
        <v>-1809.684</v>
      </c>
      <c r="D19" s="277">
        <v>30.060000000000002</v>
      </c>
      <c r="E19" s="277">
        <v>-452.37600000000003</v>
      </c>
      <c r="F19" s="277">
        <v>-657.10799999999995</v>
      </c>
      <c r="G19" s="277">
        <v>-279.82800000000003</v>
      </c>
      <c r="H19" s="585">
        <f>BS!I11-BS!J11</f>
        <v>-979.87302373238799</v>
      </c>
      <c r="I19" s="1"/>
      <c r="J19" s="326" t="s">
        <v>221</v>
      </c>
      <c r="K19" s="327"/>
      <c r="L19" s="327"/>
      <c r="M19" s="327"/>
      <c r="N19" s="327"/>
      <c r="O19" s="281"/>
      <c r="P19" s="1"/>
      <c r="Q19" s="1"/>
      <c r="R19" s="1"/>
      <c r="S19" s="1"/>
      <c r="T19" s="1"/>
      <c r="U19" s="1"/>
      <c r="V19" s="1"/>
      <c r="W19" s="1"/>
      <c r="X19" s="1"/>
      <c r="Y19" s="1"/>
      <c r="Z19" s="1"/>
    </row>
    <row r="20" spans="1:26" ht="13.5" customHeight="1">
      <c r="A20" s="1"/>
      <c r="B20" s="323" t="s">
        <v>222</v>
      </c>
      <c r="C20" s="277">
        <v>422.89200000000005</v>
      </c>
      <c r="D20" s="277">
        <v>-764.46</v>
      </c>
      <c r="E20" s="277">
        <v>-1235.952</v>
      </c>
      <c r="F20" s="277">
        <v>847.94399999999996</v>
      </c>
      <c r="G20" s="277">
        <v>-1956.2759999999998</v>
      </c>
      <c r="H20" s="585">
        <f>BS!I14-BS!J14</f>
        <v>-160.56208981240394</v>
      </c>
      <c r="I20" s="65"/>
      <c r="J20" s="54"/>
      <c r="K20" s="54"/>
      <c r="L20" s="54"/>
      <c r="M20" s="54"/>
      <c r="N20" s="1"/>
      <c r="O20" s="1"/>
      <c r="P20" s="1"/>
      <c r="Q20" s="1"/>
      <c r="R20" s="1"/>
      <c r="S20" s="1"/>
      <c r="T20" s="1"/>
      <c r="U20" s="1"/>
      <c r="V20" s="1"/>
      <c r="W20" s="1"/>
      <c r="X20" s="1"/>
      <c r="Y20" s="1"/>
      <c r="Z20" s="1"/>
    </row>
    <row r="21" spans="1:26" ht="13.5" customHeight="1">
      <c r="A21" s="1"/>
      <c r="B21" s="323" t="s">
        <v>223</v>
      </c>
      <c r="C21" s="277">
        <v>267.48</v>
      </c>
      <c r="D21" s="277">
        <v>106.77600000000001</v>
      </c>
      <c r="E21" s="277">
        <v>153.39600000000002</v>
      </c>
      <c r="F21" s="277">
        <v>213.048</v>
      </c>
      <c r="G21" s="277">
        <v>38.771999999999998</v>
      </c>
      <c r="H21" s="585">
        <f>BS!J30-BS!I30</f>
        <v>275.64127040059748</v>
      </c>
      <c r="I21" s="65"/>
      <c r="J21" s="54"/>
      <c r="K21" s="54"/>
      <c r="L21" s="54"/>
      <c r="M21" s="54"/>
      <c r="N21" s="1"/>
      <c r="O21" s="1"/>
      <c r="P21" s="1"/>
      <c r="Q21" s="1"/>
      <c r="R21" s="1"/>
      <c r="S21" s="1"/>
      <c r="T21" s="1"/>
      <c r="U21" s="1"/>
      <c r="V21" s="1"/>
      <c r="W21" s="1"/>
      <c r="X21" s="1"/>
      <c r="Y21" s="1"/>
      <c r="Z21" s="1"/>
    </row>
    <row r="22" spans="1:26" ht="13.5" customHeight="1">
      <c r="A22" s="1"/>
      <c r="B22" s="323" t="s">
        <v>224</v>
      </c>
      <c r="C22" s="277">
        <v>576</v>
      </c>
      <c r="D22" s="277">
        <v>991.04399999999998</v>
      </c>
      <c r="E22" s="277">
        <v>-704.44800000000009</v>
      </c>
      <c r="F22" s="277">
        <v>-9.540000000000008</v>
      </c>
      <c r="G22" s="277">
        <v>1177.1280000000002</v>
      </c>
      <c r="H22" s="585">
        <f>BS!J32-BS!I32</f>
        <v>588.12637820989403</v>
      </c>
      <c r="I22" s="65"/>
      <c r="J22" s="54"/>
      <c r="K22" s="54"/>
      <c r="L22" s="54"/>
      <c r="M22" s="54"/>
      <c r="N22" s="1"/>
      <c r="O22" s="1"/>
      <c r="P22" s="1"/>
      <c r="Q22" s="1"/>
      <c r="R22" s="1"/>
      <c r="S22" s="1"/>
      <c r="T22" s="1"/>
      <c r="U22" s="1"/>
      <c r="V22" s="1"/>
      <c r="W22" s="1"/>
      <c r="X22" s="1"/>
      <c r="Y22" s="1"/>
      <c r="Z22" s="1"/>
    </row>
    <row r="23" spans="1:26" s="551" customFormat="1" ht="13.5" customHeight="1">
      <c r="A23" s="1"/>
      <c r="B23" s="569" t="s">
        <v>367</v>
      </c>
      <c r="C23" s="557">
        <v>-1653.9479999999999</v>
      </c>
      <c r="D23" s="557">
        <v>-2290.3199999999997</v>
      </c>
      <c r="E23" s="557">
        <v>-1633.752</v>
      </c>
      <c r="F23" s="557">
        <v>-1873.5839999999998</v>
      </c>
      <c r="G23" s="557">
        <v>-1849.0320000000002</v>
      </c>
      <c r="H23" s="585">
        <v>-1800</v>
      </c>
      <c r="I23" s="65"/>
      <c r="J23" s="54"/>
      <c r="K23" s="54"/>
      <c r="L23" s="54"/>
      <c r="M23" s="54"/>
      <c r="N23" s="1"/>
      <c r="O23" s="1"/>
      <c r="P23" s="1"/>
      <c r="Q23" s="1"/>
      <c r="R23" s="1"/>
      <c r="S23" s="1"/>
      <c r="T23" s="1"/>
      <c r="U23" s="1"/>
      <c r="V23" s="1"/>
      <c r="W23" s="1"/>
      <c r="X23" s="1"/>
      <c r="Y23" s="1"/>
      <c r="Z23" s="1"/>
    </row>
    <row r="24" spans="1:26" ht="13.5" customHeight="1">
      <c r="A24" s="1"/>
      <c r="B24" s="328" t="s">
        <v>225</v>
      </c>
      <c r="C24" s="329">
        <f>SUM(C7:C23)</f>
        <v>19433.91599999999</v>
      </c>
      <c r="D24" s="329">
        <f t="shared" ref="D24:G24" si="0">SUM(D7:D23)</f>
        <v>21071.520000000008</v>
      </c>
      <c r="E24" s="329">
        <f t="shared" si="0"/>
        <v>20662.307999999997</v>
      </c>
      <c r="F24" s="329">
        <f t="shared" si="0"/>
        <v>22145.065199999997</v>
      </c>
      <c r="G24" s="329">
        <f t="shared" si="0"/>
        <v>29616.069599999995</v>
      </c>
      <c r="H24" s="587">
        <f>SUM(H7:H22)</f>
        <v>34660.148615332218</v>
      </c>
      <c r="I24" s="65"/>
      <c r="J24" s="54"/>
      <c r="K24" s="54"/>
      <c r="L24" s="54"/>
      <c r="M24" s="54"/>
      <c r="N24" s="1"/>
      <c r="O24" s="1"/>
      <c r="P24" s="1"/>
      <c r="Q24" s="1"/>
      <c r="R24" s="1"/>
      <c r="S24" s="1"/>
      <c r="T24" s="1"/>
      <c r="U24" s="1"/>
      <c r="V24" s="1"/>
      <c r="W24" s="1"/>
      <c r="X24" s="1"/>
      <c r="Y24" s="1"/>
      <c r="Z24" s="1"/>
    </row>
    <row r="25" spans="1:26" ht="13.5" customHeight="1">
      <c r="A25" s="1"/>
      <c r="B25" s="568"/>
      <c r="C25" s="50"/>
      <c r="D25" s="50"/>
      <c r="E25" s="50"/>
      <c r="F25" s="50"/>
      <c r="G25" s="50"/>
      <c r="H25" s="588"/>
      <c r="I25" s="65"/>
      <c r="J25" s="54"/>
      <c r="K25" s="54"/>
      <c r="L25" s="54"/>
      <c r="M25" s="54"/>
      <c r="N25" s="1"/>
      <c r="O25" s="1"/>
      <c r="P25" s="1"/>
      <c r="Q25" s="1"/>
      <c r="R25" s="1"/>
      <c r="S25" s="1"/>
      <c r="T25" s="1"/>
      <c r="U25" s="1"/>
      <c r="V25" s="1"/>
      <c r="W25" s="1"/>
      <c r="X25" s="1"/>
      <c r="Y25" s="1"/>
      <c r="Z25" s="1"/>
    </row>
    <row r="26" spans="1:26" ht="13.5" customHeight="1">
      <c r="A26" s="1"/>
      <c r="B26" s="580" t="s">
        <v>226</v>
      </c>
      <c r="C26" s="50"/>
      <c r="D26" s="50"/>
      <c r="E26" s="50"/>
      <c r="F26" s="50"/>
      <c r="G26" s="50"/>
      <c r="H26" s="588"/>
      <c r="I26" s="65"/>
      <c r="J26" s="54"/>
      <c r="K26" s="54"/>
      <c r="L26" s="54"/>
      <c r="M26" s="54"/>
      <c r="N26" s="1"/>
      <c r="O26" s="1"/>
      <c r="P26" s="1"/>
      <c r="Q26" s="1"/>
      <c r="R26" s="1"/>
      <c r="S26" s="1"/>
      <c r="T26" s="1"/>
      <c r="U26" s="1"/>
      <c r="V26" s="1"/>
      <c r="W26" s="1"/>
      <c r="X26" s="1"/>
      <c r="Y26" s="1"/>
      <c r="Z26" s="1"/>
    </row>
    <row r="27" spans="1:26" ht="13.5" customHeight="1">
      <c r="A27" s="1"/>
      <c r="B27" s="574" t="s">
        <v>227</v>
      </c>
      <c r="C27" s="330">
        <v>-4227.9840000000004</v>
      </c>
      <c r="D27" s="330">
        <v>-3737.5200000000004</v>
      </c>
      <c r="E27" s="330">
        <v>-3564.6120000000001</v>
      </c>
      <c r="F27" s="330">
        <v>-9287.8919999999998</v>
      </c>
      <c r="G27" s="330">
        <v>-9620.8919999999998</v>
      </c>
      <c r="H27" s="594">
        <v>-9500</v>
      </c>
      <c r="I27" s="65"/>
      <c r="J27" s="54"/>
      <c r="K27" s="54"/>
      <c r="L27" s="54"/>
      <c r="M27" s="279"/>
      <c r="N27" s="1"/>
      <c r="O27" s="1"/>
      <c r="P27" s="1"/>
      <c r="Q27" s="1"/>
      <c r="R27" s="1"/>
      <c r="S27" s="1"/>
      <c r="T27" s="1"/>
      <c r="U27" s="1"/>
      <c r="V27" s="1"/>
      <c r="W27" s="1"/>
      <c r="X27" s="1"/>
      <c r="Y27" s="1"/>
      <c r="Z27" s="1"/>
    </row>
    <row r="28" spans="1:26" ht="13.5" customHeight="1">
      <c r="A28" s="1"/>
      <c r="B28" s="581" t="s">
        <v>228</v>
      </c>
      <c r="C28" s="330">
        <v>1467.0719999999999</v>
      </c>
      <c r="D28" s="330">
        <v>3151.2599999999998</v>
      </c>
      <c r="E28" s="330">
        <v>3223.2599999999993</v>
      </c>
      <c r="F28" s="330">
        <v>8907.6959999999999</v>
      </c>
      <c r="G28" s="330">
        <v>9621.7560000000012</v>
      </c>
      <c r="H28" s="585">
        <f>M28*fsales</f>
        <v>11414.453845996792</v>
      </c>
      <c r="I28" s="65"/>
      <c r="J28" s="54"/>
      <c r="K28" s="54"/>
      <c r="L28" s="54"/>
      <c r="M28" s="279">
        <f>G28/lsales</f>
        <v>0.19956766847115928</v>
      </c>
      <c r="N28" s="1"/>
      <c r="O28" s="1"/>
      <c r="P28" s="1"/>
      <c r="Q28" s="1"/>
      <c r="R28" s="1"/>
      <c r="S28" s="1"/>
      <c r="T28" s="1"/>
      <c r="U28" s="1"/>
      <c r="V28" s="1"/>
      <c r="W28" s="1"/>
      <c r="X28" s="1"/>
      <c r="Y28" s="1"/>
      <c r="Z28" s="1"/>
    </row>
    <row r="29" spans="1:26" ht="13.5" customHeight="1">
      <c r="A29" s="1"/>
      <c r="B29" s="574" t="s">
        <v>229</v>
      </c>
      <c r="C29" s="330">
        <v>-11809.62</v>
      </c>
      <c r="D29" s="330">
        <v>-11900.088</v>
      </c>
      <c r="E29" s="330">
        <v>-11360.951999999999</v>
      </c>
      <c r="F29" s="330">
        <v>-16575.912</v>
      </c>
      <c r="G29" s="330">
        <v>-18260.603999999999</v>
      </c>
      <c r="H29" s="585">
        <f>M29*fsales</f>
        <v>-21662.86710638104</v>
      </c>
      <c r="I29" s="65"/>
      <c r="J29" s="54"/>
      <c r="K29" s="54"/>
      <c r="L29" s="54"/>
      <c r="M29" s="279">
        <f>G29/lsales</f>
        <v>-0.3787485532947546</v>
      </c>
      <c r="N29" s="1"/>
      <c r="O29" s="1"/>
      <c r="P29" s="1"/>
      <c r="Q29" s="1"/>
      <c r="R29" s="1"/>
      <c r="S29" s="1"/>
      <c r="T29" s="1"/>
      <c r="U29" s="1"/>
      <c r="V29" s="1"/>
      <c r="W29" s="1"/>
      <c r="X29" s="1"/>
      <c r="Y29" s="1"/>
      <c r="Z29" s="1"/>
    </row>
    <row r="30" spans="1:26" ht="13.5" customHeight="1">
      <c r="A30" s="1"/>
      <c r="B30" s="574" t="s">
        <v>230</v>
      </c>
      <c r="C30" s="330">
        <v>-184.64399999999998</v>
      </c>
      <c r="D30" s="330">
        <v>-190.79999999999998</v>
      </c>
      <c r="E30" s="330">
        <v>-255.6</v>
      </c>
      <c r="F30" s="330">
        <v>-335.84400000000005</v>
      </c>
      <c r="G30" s="330">
        <v>-343.512</v>
      </c>
      <c r="H30" s="585">
        <f>M30*fsales</f>
        <v>-407.5141657662125</v>
      </c>
      <c r="I30" s="65"/>
      <c r="J30" s="54"/>
      <c r="K30" s="54"/>
      <c r="L30" s="54"/>
      <c r="M30" s="279">
        <f>G30/lsales</f>
        <v>-7.1248833302221407E-3</v>
      </c>
      <c r="N30" s="1"/>
      <c r="O30" s="1"/>
      <c r="P30" s="1"/>
      <c r="Q30" s="1"/>
      <c r="R30" s="1"/>
      <c r="S30" s="1"/>
      <c r="T30" s="1"/>
      <c r="U30" s="1"/>
      <c r="V30" s="1"/>
      <c r="W30" s="1"/>
      <c r="X30" s="1"/>
      <c r="Y30" s="1"/>
      <c r="Z30" s="1"/>
    </row>
    <row r="31" spans="1:26" ht="13.5" customHeight="1">
      <c r="A31" s="1"/>
      <c r="B31" s="575" t="s">
        <v>375</v>
      </c>
      <c r="C31" s="330">
        <v>202.17599999999999</v>
      </c>
      <c r="D31" s="330">
        <v>158.11200000000002</v>
      </c>
      <c r="E31" s="330">
        <v>123.15599999999999</v>
      </c>
      <c r="F31" s="330">
        <v>0</v>
      </c>
      <c r="G31" s="330">
        <v>125.53199999999998</v>
      </c>
      <c r="H31" s="585">
        <v>0</v>
      </c>
      <c r="I31" s="65"/>
      <c r="J31" s="54"/>
      <c r="K31" s="54"/>
      <c r="L31" s="54"/>
      <c r="M31" s="54"/>
      <c r="N31" s="1"/>
      <c r="O31" s="1"/>
      <c r="P31" s="1"/>
      <c r="Q31" s="1"/>
      <c r="R31" s="1"/>
      <c r="S31" s="1"/>
      <c r="T31" s="1"/>
      <c r="U31" s="1"/>
      <c r="V31" s="1"/>
      <c r="W31" s="1"/>
      <c r="X31" s="1"/>
      <c r="Y31" s="1"/>
      <c r="Z31" s="1"/>
    </row>
    <row r="32" spans="1:26" ht="13.5" customHeight="1">
      <c r="A32" s="1"/>
      <c r="B32" s="581" t="s">
        <v>231</v>
      </c>
      <c r="C32" s="330">
        <v>3.528</v>
      </c>
      <c r="D32" s="330">
        <v>11.736000000000001</v>
      </c>
      <c r="E32" s="330">
        <v>6.5519999999999996</v>
      </c>
      <c r="F32" s="330">
        <v>10.331999999999999</v>
      </c>
      <c r="G32" s="330">
        <v>21.815999999999999</v>
      </c>
      <c r="H32" s="585">
        <f>AVERAGE(G32/lrev,F32/IS!$F$8,E32/IS!$E$8,D32/IS!$D$8,C32/IS!$C$8)*fsales</f>
        <v>15.260666199674578</v>
      </c>
      <c r="I32" s="65"/>
      <c r="J32" s="54"/>
      <c r="K32" s="54"/>
      <c r="L32" s="54"/>
      <c r="M32" s="279">
        <f>G32/lsales</f>
        <v>4.524920664551055E-4</v>
      </c>
      <c r="N32" s="1"/>
      <c r="O32" s="1"/>
      <c r="P32" s="1"/>
      <c r="Q32" s="1"/>
      <c r="R32" s="1"/>
      <c r="S32" s="1"/>
      <c r="T32" s="1"/>
      <c r="U32" s="1"/>
      <c r="V32" s="1"/>
      <c r="W32" s="1"/>
      <c r="X32" s="1"/>
      <c r="Y32" s="1"/>
      <c r="Z32" s="1"/>
    </row>
    <row r="33" spans="1:26" s="551" customFormat="1" ht="13.5" customHeight="1">
      <c r="A33" s="1"/>
      <c r="B33" s="582" t="s">
        <v>373</v>
      </c>
      <c r="C33" s="330">
        <v>228.708</v>
      </c>
      <c r="D33" s="330">
        <v>342.93599999999998</v>
      </c>
      <c r="E33" s="330">
        <v>527.76</v>
      </c>
      <c r="F33" s="330">
        <v>607.5</v>
      </c>
      <c r="G33" s="330">
        <v>351.90000000000003</v>
      </c>
      <c r="H33" s="594">
        <v>400</v>
      </c>
      <c r="I33" s="65"/>
      <c r="J33" s="54"/>
      <c r="K33" s="54"/>
      <c r="L33" s="54"/>
      <c r="M33" s="279"/>
      <c r="N33" s="1"/>
      <c r="O33" s="1"/>
      <c r="P33" s="1"/>
      <c r="Q33" s="1"/>
      <c r="R33" s="1"/>
      <c r="S33" s="1"/>
      <c r="T33" s="1"/>
      <c r="U33" s="1"/>
      <c r="V33" s="1"/>
      <c r="W33" s="1"/>
      <c r="X33" s="1"/>
      <c r="Y33" s="1"/>
      <c r="Z33" s="1"/>
    </row>
    <row r="34" spans="1:26" ht="13.5" customHeight="1">
      <c r="A34" s="1"/>
      <c r="B34" s="575" t="s">
        <v>374</v>
      </c>
      <c r="C34" s="330">
        <v>55.331999999999994</v>
      </c>
      <c r="D34" s="330">
        <v>94.715999999999994</v>
      </c>
      <c r="E34" s="330">
        <v>0</v>
      </c>
      <c r="F34" s="330">
        <v>122.976</v>
      </c>
      <c r="G34" s="330">
        <v>39.474000000000004</v>
      </c>
      <c r="H34" s="585">
        <v>0</v>
      </c>
      <c r="I34" s="65"/>
      <c r="J34" s="54"/>
      <c r="K34" s="54"/>
      <c r="L34" s="54"/>
      <c r="M34" s="54"/>
      <c r="N34" s="1"/>
      <c r="O34" s="1"/>
      <c r="P34" s="1"/>
      <c r="Q34" s="1"/>
      <c r="R34" s="1"/>
      <c r="S34" s="1"/>
      <c r="T34" s="1"/>
      <c r="U34" s="1"/>
      <c r="V34" s="1"/>
      <c r="W34" s="1"/>
      <c r="X34" s="1"/>
      <c r="Y34" s="1"/>
      <c r="Z34" s="1"/>
    </row>
    <row r="35" spans="1:26" s="551" customFormat="1" ht="13.5" customHeight="1">
      <c r="A35" s="1"/>
      <c r="B35" s="575" t="s">
        <v>376</v>
      </c>
      <c r="C35" s="330">
        <v>0</v>
      </c>
      <c r="D35" s="330">
        <v>0</v>
      </c>
      <c r="E35" s="330">
        <v>0</v>
      </c>
      <c r="F35" s="330">
        <v>50.364000000000004</v>
      </c>
      <c r="G35" s="330">
        <v>-168.94799999999998</v>
      </c>
      <c r="H35" s="585">
        <v>0</v>
      </c>
      <c r="I35" s="65"/>
      <c r="J35" s="54"/>
      <c r="K35" s="54"/>
      <c r="L35" s="54"/>
      <c r="M35" s="54"/>
      <c r="N35" s="1"/>
      <c r="O35" s="1"/>
      <c r="P35" s="1"/>
      <c r="Q35" s="1"/>
      <c r="R35" s="1"/>
      <c r="S35" s="1"/>
      <c r="T35" s="1"/>
      <c r="U35" s="1"/>
      <c r="V35" s="1"/>
      <c r="W35" s="1"/>
      <c r="X35" s="1"/>
      <c r="Y35" s="1"/>
      <c r="Z35" s="1"/>
    </row>
    <row r="36" spans="1:26" s="551" customFormat="1" ht="13.5" customHeight="1">
      <c r="A36" s="1"/>
      <c r="B36" s="575" t="s">
        <v>377</v>
      </c>
      <c r="C36" s="330">
        <v>29.700000000000003</v>
      </c>
      <c r="D36" s="330">
        <v>-32.183999999999997</v>
      </c>
      <c r="E36" s="330">
        <v>-13.319999999999997</v>
      </c>
      <c r="F36" s="330">
        <v>-16.056000000000004</v>
      </c>
      <c r="G36" s="330">
        <v>25.38</v>
      </c>
      <c r="H36" s="585">
        <v>0</v>
      </c>
      <c r="I36" s="65"/>
      <c r="J36" s="54"/>
      <c r="K36" s="54"/>
      <c r="L36" s="54"/>
      <c r="M36" s="54"/>
      <c r="N36" s="1"/>
      <c r="O36" s="1"/>
      <c r="P36" s="1"/>
      <c r="Q36" s="1"/>
      <c r="R36" s="1"/>
      <c r="S36" s="1"/>
      <c r="T36" s="1"/>
      <c r="U36" s="1"/>
      <c r="V36" s="1"/>
      <c r="W36" s="1"/>
      <c r="X36" s="1"/>
      <c r="Y36" s="1"/>
      <c r="Z36" s="1"/>
    </row>
    <row r="37" spans="1:26" ht="13.5" customHeight="1">
      <c r="A37" s="1"/>
      <c r="B37" s="328" t="s">
        <v>232</v>
      </c>
      <c r="C37" s="329">
        <f t="shared" ref="C37:F37" si="1">SUM(C27:C36)</f>
        <v>-14235.732</v>
      </c>
      <c r="D37" s="329">
        <f t="shared" si="1"/>
        <v>-12101.831999999999</v>
      </c>
      <c r="E37" s="329">
        <f t="shared" si="1"/>
        <v>-11313.755999999999</v>
      </c>
      <c r="F37" s="329">
        <f t="shared" si="1"/>
        <v>-16516.836000000003</v>
      </c>
      <c r="G37" s="329">
        <f>SUM(G27:G36)</f>
        <v>-18208.097999999998</v>
      </c>
      <c r="H37" s="587">
        <f>SUM(H27:H36)</f>
        <v>-19740.666759950785</v>
      </c>
      <c r="I37" s="65"/>
      <c r="J37" s="54"/>
      <c r="K37" s="54"/>
      <c r="L37" s="54"/>
      <c r="M37" s="54"/>
      <c r="N37" s="1"/>
      <c r="O37" s="1"/>
      <c r="P37" s="1"/>
      <c r="Q37" s="1"/>
      <c r="R37" s="1"/>
      <c r="S37" s="1"/>
      <c r="T37" s="1"/>
      <c r="U37" s="1"/>
      <c r="V37" s="1"/>
      <c r="W37" s="1"/>
      <c r="X37" s="1"/>
      <c r="Y37" s="1"/>
      <c r="Z37" s="1"/>
    </row>
    <row r="38" spans="1:26" ht="13.5" customHeight="1">
      <c r="A38" s="1"/>
      <c r="B38" s="583"/>
      <c r="C38" s="50"/>
      <c r="D38" s="50"/>
      <c r="E38" s="50"/>
      <c r="F38" s="50"/>
      <c r="G38" s="316"/>
      <c r="H38" s="585"/>
      <c r="I38" s="65"/>
      <c r="J38" s="54"/>
      <c r="K38" s="54"/>
      <c r="L38" s="54"/>
      <c r="M38" s="54"/>
      <c r="N38" s="1"/>
      <c r="O38" s="1"/>
      <c r="P38" s="1"/>
      <c r="Q38" s="1"/>
      <c r="R38" s="1"/>
      <c r="S38" s="1"/>
      <c r="T38" s="1"/>
      <c r="U38" s="1"/>
      <c r="V38" s="1"/>
      <c r="W38" s="1"/>
      <c r="X38" s="1"/>
      <c r="Y38" s="1"/>
      <c r="Z38" s="1"/>
    </row>
    <row r="39" spans="1:26" ht="13.5" customHeight="1">
      <c r="A39" s="1"/>
      <c r="B39" s="580" t="s">
        <v>233</v>
      </c>
      <c r="C39" s="50"/>
      <c r="D39" s="50"/>
      <c r="E39" s="50"/>
      <c r="F39" s="50"/>
      <c r="G39" s="316"/>
      <c r="H39" s="585"/>
      <c r="I39" s="65"/>
      <c r="J39" s="54"/>
      <c r="K39" s="54"/>
      <c r="L39" s="54"/>
      <c r="M39" s="54"/>
      <c r="N39" s="1"/>
      <c r="O39" s="1"/>
      <c r="P39" s="1"/>
      <c r="Q39" s="1"/>
      <c r="R39" s="1"/>
      <c r="S39" s="1"/>
      <c r="T39" s="1"/>
      <c r="U39" s="1"/>
      <c r="V39" s="1"/>
      <c r="W39" s="1"/>
      <c r="X39" s="1"/>
      <c r="Y39" s="1"/>
      <c r="Z39" s="1"/>
    </row>
    <row r="40" spans="1:26" ht="13.5" customHeight="1">
      <c r="A40" s="1"/>
      <c r="B40" s="575" t="s">
        <v>378</v>
      </c>
      <c r="C40" s="330">
        <v>682.88400000000001</v>
      </c>
      <c r="D40" s="330">
        <v>374.11199999999997</v>
      </c>
      <c r="E40" s="330">
        <v>861.22799999999995</v>
      </c>
      <c r="F40" s="330">
        <v>1144.944</v>
      </c>
      <c r="G40" s="330">
        <v>-1136.556</v>
      </c>
      <c r="H40" s="585">
        <f>(AVERAGE((D40-C40)/C40,(E40-D40)/D40,(F40-E40)/E40,(G40-F40)/F40)+1)*G40</f>
        <v>-905.45397115673939</v>
      </c>
      <c r="I40" s="65"/>
      <c r="J40" s="54"/>
      <c r="K40" s="54"/>
      <c r="L40" s="54"/>
      <c r="M40" s="54"/>
      <c r="N40" s="1"/>
      <c r="O40" s="1"/>
      <c r="P40" s="1"/>
      <c r="Q40" s="1"/>
      <c r="R40" s="1"/>
      <c r="S40" s="1"/>
      <c r="T40" s="1"/>
      <c r="U40" s="1"/>
      <c r="V40" s="1"/>
      <c r="W40" s="1"/>
      <c r="X40" s="1"/>
      <c r="Y40" s="1"/>
      <c r="Z40" s="1"/>
    </row>
    <row r="41" spans="1:26" s="551" customFormat="1" ht="13.5" customHeight="1">
      <c r="A41" s="1"/>
      <c r="B41" s="575" t="s">
        <v>388</v>
      </c>
      <c r="C41" s="330">
        <v>0</v>
      </c>
      <c r="D41" s="330">
        <v>0</v>
      </c>
      <c r="E41" s="330">
        <v>0</v>
      </c>
      <c r="F41" s="330">
        <v>0</v>
      </c>
      <c r="G41" s="330">
        <v>269.46000000000004</v>
      </c>
      <c r="H41" s="585">
        <v>0</v>
      </c>
      <c r="I41" s="65"/>
      <c r="J41" s="54"/>
      <c r="K41" s="54"/>
      <c r="L41" s="54"/>
      <c r="M41" s="54"/>
      <c r="N41" s="1"/>
      <c r="O41" s="1"/>
      <c r="P41" s="1"/>
      <c r="Q41" s="1"/>
      <c r="R41" s="1"/>
      <c r="S41" s="1"/>
      <c r="T41" s="1"/>
      <c r="U41" s="1"/>
      <c r="V41" s="1"/>
      <c r="W41" s="1"/>
      <c r="X41" s="1"/>
      <c r="Y41" s="1"/>
      <c r="Z41" s="1"/>
    </row>
    <row r="42" spans="1:26" s="551" customFormat="1" ht="13.5" customHeight="1">
      <c r="A42" s="1"/>
      <c r="B42" s="575" t="s">
        <v>389</v>
      </c>
      <c r="C42" s="330">
        <v>0</v>
      </c>
      <c r="D42" s="330">
        <v>0</v>
      </c>
      <c r="E42" s="330">
        <v>0</v>
      </c>
      <c r="F42" s="330">
        <v>0</v>
      </c>
      <c r="G42" s="330">
        <v>-270</v>
      </c>
      <c r="H42" s="585">
        <v>0</v>
      </c>
      <c r="I42" s="65"/>
      <c r="J42" s="54"/>
      <c r="K42" s="54"/>
      <c r="L42" s="54"/>
      <c r="M42" s="54"/>
      <c r="N42" s="1"/>
      <c r="O42" s="1"/>
      <c r="P42" s="1"/>
      <c r="Q42" s="1"/>
      <c r="R42" s="1"/>
      <c r="S42" s="1"/>
      <c r="T42" s="1"/>
      <c r="U42" s="1"/>
      <c r="V42" s="1"/>
      <c r="W42" s="1"/>
      <c r="X42" s="1"/>
      <c r="Y42" s="1"/>
      <c r="Z42" s="1"/>
    </row>
    <row r="43" spans="1:26" ht="13.5" customHeight="1">
      <c r="A43" s="1"/>
      <c r="B43" s="575" t="s">
        <v>380</v>
      </c>
      <c r="C43" s="330">
        <v>-844.95600000000002</v>
      </c>
      <c r="D43" s="330">
        <v>-1371.6000000000001</v>
      </c>
      <c r="E43" s="330">
        <v>-2088.9</v>
      </c>
      <c r="F43" s="330">
        <v>-1256.3999999999999</v>
      </c>
      <c r="G43" s="330">
        <v>-1144.8</v>
      </c>
      <c r="H43" s="585">
        <f>BS!J43-BS!I43</f>
        <v>-53.74541885221285</v>
      </c>
      <c r="I43" s="65"/>
      <c r="J43" s="54"/>
      <c r="K43" s="54"/>
      <c r="L43" s="54"/>
      <c r="M43" s="54"/>
      <c r="N43" s="1"/>
      <c r="O43" s="1"/>
      <c r="P43" s="1"/>
      <c r="Q43" s="1"/>
      <c r="R43" s="1"/>
      <c r="S43" s="1"/>
      <c r="T43" s="1"/>
      <c r="U43" s="1"/>
      <c r="V43" s="1"/>
      <c r="W43" s="1"/>
      <c r="X43" s="1"/>
      <c r="Y43" s="1"/>
      <c r="Z43" s="1"/>
    </row>
    <row r="44" spans="1:26" s="551" customFormat="1" ht="13.5" customHeight="1">
      <c r="A44" s="1"/>
      <c r="B44" s="575" t="s">
        <v>387</v>
      </c>
      <c r="C44" s="330">
        <v>0</v>
      </c>
      <c r="D44" s="330">
        <v>0</v>
      </c>
      <c r="E44" s="330">
        <v>0</v>
      </c>
      <c r="F44" s="330">
        <v>0</v>
      </c>
      <c r="G44" s="330">
        <v>8508.06</v>
      </c>
      <c r="H44" s="585">
        <v>0</v>
      </c>
      <c r="I44" s="65"/>
      <c r="J44" s="54"/>
      <c r="K44" s="54"/>
      <c r="L44" s="54"/>
      <c r="M44" s="54"/>
      <c r="N44" s="1"/>
      <c r="O44" s="1"/>
      <c r="P44" s="1"/>
      <c r="Q44" s="1"/>
      <c r="R44" s="1"/>
      <c r="S44" s="1"/>
      <c r="T44" s="1"/>
      <c r="U44" s="1"/>
      <c r="V44" s="1"/>
      <c r="W44" s="1"/>
      <c r="X44" s="1"/>
      <c r="Y44" s="1"/>
      <c r="Z44" s="1"/>
    </row>
    <row r="45" spans="1:26" ht="13.5" customHeight="1">
      <c r="A45" s="1"/>
      <c r="B45" s="575" t="s">
        <v>381</v>
      </c>
      <c r="C45" s="330">
        <v>-0.28800000000000003</v>
      </c>
      <c r="D45" s="330">
        <v>-1.1160000000000001</v>
      </c>
      <c r="E45" s="330">
        <v>0</v>
      </c>
      <c r="F45" s="330">
        <v>0</v>
      </c>
      <c r="G45" s="330">
        <v>0</v>
      </c>
      <c r="H45" s="585">
        <v>0</v>
      </c>
      <c r="I45" s="65"/>
      <c r="J45" s="54"/>
      <c r="K45" s="54"/>
      <c r="L45" s="54"/>
      <c r="M45" s="54"/>
      <c r="N45" s="1"/>
      <c r="O45" s="1"/>
      <c r="P45" s="1"/>
      <c r="Q45" s="1"/>
      <c r="R45" s="1"/>
      <c r="S45" s="1"/>
      <c r="T45" s="1"/>
      <c r="U45" s="1"/>
      <c r="V45" s="1"/>
      <c r="W45" s="1"/>
      <c r="X45" s="1"/>
      <c r="Y45" s="1"/>
      <c r="Z45" s="1"/>
    </row>
    <row r="46" spans="1:26" s="551" customFormat="1" ht="13.5" customHeight="1">
      <c r="A46" s="1"/>
      <c r="B46" s="575" t="s">
        <v>390</v>
      </c>
      <c r="C46" s="330">
        <v>0</v>
      </c>
      <c r="D46" s="330">
        <v>0</v>
      </c>
      <c r="E46" s="330">
        <v>0</v>
      </c>
      <c r="F46" s="330">
        <v>0</v>
      </c>
      <c r="G46" s="330">
        <v>72</v>
      </c>
      <c r="H46" s="585">
        <v>0</v>
      </c>
      <c r="I46" s="65"/>
      <c r="J46" s="54"/>
      <c r="K46" s="54"/>
      <c r="L46" s="54"/>
      <c r="M46" s="54"/>
      <c r="N46" s="1"/>
      <c r="O46" s="1"/>
      <c r="P46" s="1"/>
      <c r="Q46" s="1"/>
      <c r="R46" s="1"/>
      <c r="S46" s="1"/>
      <c r="T46" s="1"/>
      <c r="U46" s="1"/>
      <c r="V46" s="1"/>
      <c r="W46" s="1"/>
      <c r="X46" s="1"/>
      <c r="Y46" s="1"/>
      <c r="Z46" s="1"/>
    </row>
    <row r="47" spans="1:26" s="551" customFormat="1" ht="13.5" customHeight="1">
      <c r="A47" s="1"/>
      <c r="B47" s="575" t="s">
        <v>386</v>
      </c>
      <c r="C47" s="330">
        <v>0</v>
      </c>
      <c r="D47" s="330">
        <v>0</v>
      </c>
      <c r="E47" s="330">
        <v>0</v>
      </c>
      <c r="F47" s="330">
        <v>-105.51600000000001</v>
      </c>
      <c r="G47" s="330">
        <v>-94.176000000000002</v>
      </c>
      <c r="H47" s="585">
        <v>0</v>
      </c>
      <c r="I47" s="65"/>
      <c r="J47" s="54"/>
      <c r="K47" s="54"/>
      <c r="L47" s="54"/>
      <c r="M47" s="54"/>
      <c r="N47" s="1"/>
      <c r="O47" s="1"/>
      <c r="P47" s="1"/>
      <c r="Q47" s="1"/>
      <c r="R47" s="1"/>
      <c r="S47" s="1"/>
      <c r="T47" s="1"/>
      <c r="U47" s="1"/>
      <c r="V47" s="1"/>
      <c r="W47" s="1"/>
      <c r="X47" s="1"/>
      <c r="Y47" s="1"/>
      <c r="Z47" s="1"/>
    </row>
    <row r="48" spans="1:26" ht="13.5" customHeight="1">
      <c r="A48" s="1"/>
      <c r="B48" s="575" t="s">
        <v>382</v>
      </c>
      <c r="C48" s="330">
        <v>-118.872</v>
      </c>
      <c r="D48" s="330">
        <v>-125.38800000000001</v>
      </c>
      <c r="E48" s="330">
        <v>-116.38800000000001</v>
      </c>
      <c r="F48" s="330">
        <v>-129.49199999999999</v>
      </c>
      <c r="G48" s="330">
        <v>-64.116</v>
      </c>
      <c r="H48" s="585">
        <f>(AVERAGE((D48-C48)/C48,(E48-D48)/D48,(F48-E48)/E48,(G48-F48)/F48)+1)*G48</f>
        <v>-57.556321231924734</v>
      </c>
      <c r="I48" s="65"/>
      <c r="J48" s="54"/>
      <c r="K48" s="54"/>
      <c r="L48" s="54"/>
      <c r="M48" s="54"/>
      <c r="N48" s="1"/>
      <c r="O48" s="1"/>
      <c r="P48" s="1"/>
      <c r="Q48" s="1"/>
      <c r="R48" s="1"/>
      <c r="S48" s="1"/>
      <c r="T48" s="1"/>
      <c r="U48" s="1"/>
      <c r="V48" s="1"/>
      <c r="W48" s="1"/>
      <c r="X48" s="1"/>
      <c r="Y48" s="1"/>
      <c r="Z48" s="1"/>
    </row>
    <row r="49" spans="1:26" ht="13.5" customHeight="1">
      <c r="A49" s="1"/>
      <c r="B49" s="582" t="s">
        <v>384</v>
      </c>
      <c r="C49" s="330">
        <v>228.78000000000003</v>
      </c>
      <c r="D49" s="330">
        <v>34.235999999999997</v>
      </c>
      <c r="E49" s="330">
        <v>60.084000000000003</v>
      </c>
      <c r="F49" s="330">
        <v>2.2320000000000002</v>
      </c>
      <c r="G49" s="330">
        <v>5.2559999999999993</v>
      </c>
      <c r="H49" s="585">
        <v>0</v>
      </c>
      <c r="I49" s="65"/>
      <c r="J49" s="54"/>
      <c r="K49" s="54"/>
      <c r="L49" s="54"/>
      <c r="M49" s="54"/>
      <c r="N49" s="1"/>
      <c r="O49" s="1"/>
      <c r="P49" s="1"/>
      <c r="Q49" s="1"/>
      <c r="R49" s="1"/>
      <c r="S49" s="1"/>
      <c r="T49" s="1"/>
      <c r="U49" s="1"/>
      <c r="V49" s="1"/>
      <c r="W49" s="1"/>
      <c r="X49" s="1"/>
      <c r="Y49" s="1"/>
      <c r="Z49" s="1"/>
    </row>
    <row r="50" spans="1:26" s="551" customFormat="1" ht="13.5" customHeight="1">
      <c r="A50" s="1"/>
      <c r="B50" s="582" t="s">
        <v>383</v>
      </c>
      <c r="C50" s="330">
        <v>-18.827999999999999</v>
      </c>
      <c r="D50" s="330">
        <v>-137.62799999999999</v>
      </c>
      <c r="E50" s="330">
        <v>-70.128</v>
      </c>
      <c r="F50" s="330">
        <v>-25.235999999999997</v>
      </c>
      <c r="G50" s="330">
        <v>-0.57600000000000007</v>
      </c>
      <c r="H50" s="585">
        <v>0</v>
      </c>
      <c r="I50" s="65"/>
      <c r="J50" s="54"/>
      <c r="K50" s="54"/>
      <c r="L50" s="54"/>
      <c r="M50" s="54"/>
      <c r="N50" s="1"/>
      <c r="O50" s="1"/>
      <c r="P50" s="1"/>
      <c r="Q50" s="1"/>
      <c r="R50" s="1"/>
      <c r="S50" s="1"/>
      <c r="T50" s="1"/>
      <c r="U50" s="1"/>
      <c r="V50" s="1"/>
      <c r="W50" s="1"/>
      <c r="X50" s="1"/>
      <c r="Y50" s="1"/>
      <c r="Z50" s="1"/>
    </row>
    <row r="51" spans="1:26" ht="13.5" customHeight="1">
      <c r="A51" s="1"/>
      <c r="B51" s="574" t="s">
        <v>234</v>
      </c>
      <c r="C51" s="330">
        <v>-5600.9519999999993</v>
      </c>
      <c r="D51" s="330">
        <v>-6534.4679999999998</v>
      </c>
      <c r="E51" s="330">
        <v>-7467.9480000000003</v>
      </c>
      <c r="F51" s="330">
        <v>-9334.9439999999995</v>
      </c>
      <c r="G51" s="330">
        <v>-9334.9439999999995</v>
      </c>
      <c r="H51" s="585">
        <f>(AVERAGE((D51-C51)/C51,(E51-D51)/D51,(F51-E51)/E51,(G51-F51)/F51)+1)*G51</f>
        <v>-10640.732159473268</v>
      </c>
      <c r="I51" s="65"/>
      <c r="J51" s="54"/>
      <c r="K51" s="54"/>
      <c r="L51" s="54"/>
      <c r="M51" s="54"/>
      <c r="N51" s="1"/>
      <c r="O51" s="1"/>
      <c r="P51" s="1"/>
      <c r="Q51" s="1"/>
      <c r="R51" s="1"/>
      <c r="S51" s="1"/>
      <c r="T51" s="1"/>
      <c r="U51" s="1"/>
      <c r="V51" s="1"/>
      <c r="W51" s="1"/>
      <c r="X51" s="1"/>
      <c r="Y51" s="1"/>
      <c r="Z51" s="1"/>
    </row>
    <row r="52" spans="1:26" ht="13.5" customHeight="1">
      <c r="A52" s="1"/>
      <c r="B52" s="582" t="s">
        <v>385</v>
      </c>
      <c r="C52" s="330">
        <v>0</v>
      </c>
      <c r="D52" s="330">
        <v>0.72</v>
      </c>
      <c r="E52" s="330">
        <v>0.36</v>
      </c>
      <c r="F52" s="330">
        <v>0.14400000000000002</v>
      </c>
      <c r="G52" s="330">
        <v>0.252</v>
      </c>
      <c r="H52" s="585">
        <v>0</v>
      </c>
      <c r="I52" s="65"/>
      <c r="J52" s="54"/>
      <c r="K52" s="54"/>
      <c r="L52" s="54"/>
      <c r="M52" s="54"/>
      <c r="N52" s="1"/>
      <c r="O52" s="1"/>
      <c r="P52" s="1"/>
      <c r="Q52" s="1"/>
      <c r="R52" s="1"/>
      <c r="S52" s="1"/>
      <c r="T52" s="1"/>
      <c r="U52" s="1"/>
      <c r="V52" s="1"/>
      <c r="W52" s="1"/>
      <c r="X52" s="1"/>
      <c r="Y52" s="1"/>
      <c r="Z52" s="1"/>
    </row>
    <row r="53" spans="1:26" ht="13.5" customHeight="1">
      <c r="A53" s="1"/>
      <c r="B53" s="576" t="s">
        <v>218</v>
      </c>
      <c r="C53" s="330">
        <v>-8.4959999999999987</v>
      </c>
      <c r="D53" s="330">
        <v>-4.0680000000000005</v>
      </c>
      <c r="E53" s="330">
        <v>-2.7719999999999998</v>
      </c>
      <c r="F53" s="330">
        <v>-2.6999999999999997</v>
      </c>
      <c r="G53" s="330">
        <v>0</v>
      </c>
      <c r="H53" s="585">
        <v>0</v>
      </c>
      <c r="I53" s="65"/>
      <c r="J53" s="54"/>
      <c r="K53" s="54"/>
      <c r="L53" s="54"/>
      <c r="M53" s="54"/>
      <c r="N53" s="1"/>
      <c r="O53" s="1"/>
      <c r="P53" s="1"/>
      <c r="Q53" s="1"/>
      <c r="R53" s="1"/>
      <c r="S53" s="1"/>
      <c r="T53" s="1"/>
      <c r="U53" s="1"/>
      <c r="V53" s="1"/>
      <c r="W53" s="1"/>
      <c r="X53" s="1"/>
      <c r="Y53" s="1"/>
      <c r="Z53" s="1"/>
    </row>
    <row r="54" spans="1:26" ht="13.5" customHeight="1">
      <c r="A54" s="1"/>
      <c r="B54" s="328" t="s">
        <v>235</v>
      </c>
      <c r="C54" s="329">
        <f t="shared" ref="C54:H54" si="2">SUM(C40:C53)</f>
        <v>-5680.7279999999992</v>
      </c>
      <c r="D54" s="329">
        <f t="shared" si="2"/>
        <v>-7765.2</v>
      </c>
      <c r="E54" s="329">
        <f t="shared" si="2"/>
        <v>-8824.4639999999999</v>
      </c>
      <c r="F54" s="329">
        <f t="shared" si="2"/>
        <v>-9706.9680000000008</v>
      </c>
      <c r="G54" s="329">
        <f t="shared" si="2"/>
        <v>-3190.14</v>
      </c>
      <c r="H54" s="329">
        <f t="shared" si="2"/>
        <v>-11657.487870714145</v>
      </c>
      <c r="I54" s="65"/>
      <c r="J54" s="54"/>
      <c r="K54" s="54"/>
      <c r="L54" s="54"/>
      <c r="M54" s="54"/>
      <c r="N54" s="1"/>
      <c r="O54" s="1"/>
      <c r="P54" s="1"/>
      <c r="Q54" s="1"/>
      <c r="R54" s="1"/>
      <c r="S54" s="1"/>
      <c r="T54" s="1"/>
      <c r="U54" s="1"/>
      <c r="V54" s="1"/>
      <c r="W54" s="1"/>
      <c r="X54" s="1"/>
      <c r="Y54" s="1"/>
      <c r="Z54" s="1"/>
    </row>
    <row r="55" spans="1:26" ht="13.5" customHeight="1">
      <c r="A55" s="1"/>
      <c r="B55" s="200"/>
      <c r="C55" s="50"/>
      <c r="D55" s="50"/>
      <c r="E55" s="50"/>
      <c r="F55" s="50"/>
      <c r="G55" s="316"/>
      <c r="H55" s="278"/>
      <c r="I55" s="65"/>
      <c r="J55" s="54"/>
      <c r="K55" s="54"/>
      <c r="L55" s="54"/>
      <c r="M55" s="54"/>
      <c r="N55" s="1"/>
      <c r="O55" s="1"/>
      <c r="P55" s="1"/>
      <c r="Q55" s="1"/>
      <c r="R55" s="1"/>
      <c r="S55" s="1"/>
      <c r="T55" s="1"/>
      <c r="U55" s="1"/>
      <c r="V55" s="1"/>
      <c r="W55" s="1"/>
      <c r="X55" s="1"/>
      <c r="Y55" s="1"/>
      <c r="Z55" s="1"/>
    </row>
    <row r="56" spans="1:26" ht="13.5" customHeight="1">
      <c r="A56" s="1"/>
      <c r="B56" s="200" t="s">
        <v>236</v>
      </c>
      <c r="C56" s="331">
        <v>-289.08</v>
      </c>
      <c r="D56" s="331">
        <v>-767.44800000000009</v>
      </c>
      <c r="E56" s="331">
        <v>355.03199999999998</v>
      </c>
      <c r="F56" s="331">
        <v>-328.10400000000004</v>
      </c>
      <c r="G56" s="331">
        <v>-845.928</v>
      </c>
      <c r="H56" s="278">
        <v>2534.4</v>
      </c>
      <c r="I56" s="65"/>
      <c r="J56" s="54"/>
      <c r="K56" s="54"/>
      <c r="L56" s="54"/>
      <c r="M56" s="54"/>
      <c r="N56" s="1"/>
      <c r="O56" s="1"/>
      <c r="P56" s="1"/>
      <c r="Q56" s="1"/>
      <c r="R56" s="1"/>
      <c r="S56" s="1"/>
      <c r="T56" s="1"/>
      <c r="U56" s="1"/>
      <c r="V56" s="1"/>
      <c r="W56" s="1"/>
      <c r="X56" s="1"/>
      <c r="Y56" s="1"/>
      <c r="Z56" s="1"/>
    </row>
    <row r="57" spans="1:26" ht="13.5" customHeight="1">
      <c r="A57" s="1"/>
      <c r="B57" s="200" t="s">
        <v>237</v>
      </c>
      <c r="C57" s="331">
        <f>C24+C37+C54+C56</f>
        <v>-771.62400000000889</v>
      </c>
      <c r="D57" s="331">
        <f t="shared" ref="D57:G57" si="3">D24+D37+D54+D56</f>
        <v>437.04000000000929</v>
      </c>
      <c r="E57" s="331">
        <f t="shared" si="3"/>
        <v>879.11999999999784</v>
      </c>
      <c r="F57" s="331">
        <f t="shared" si="3"/>
        <v>-4406.8428000000067</v>
      </c>
      <c r="G57" s="331">
        <f t="shared" si="3"/>
        <v>7371.9035999999978</v>
      </c>
      <c r="H57" s="278">
        <f>H24+H37+H54+H56</f>
        <v>5796.3939846672874</v>
      </c>
      <c r="I57" s="65"/>
      <c r="J57" s="54"/>
      <c r="K57" s="54"/>
      <c r="L57" s="54"/>
      <c r="M57" s="54"/>
      <c r="N57" s="1"/>
      <c r="O57" s="1"/>
      <c r="P57" s="1"/>
      <c r="Q57" s="1"/>
      <c r="R57" s="1"/>
      <c r="S57" s="1"/>
      <c r="T57" s="1"/>
      <c r="U57" s="1"/>
      <c r="V57" s="1"/>
      <c r="W57" s="1"/>
      <c r="X57" s="1"/>
      <c r="Y57" s="1"/>
      <c r="Z57" s="1"/>
    </row>
    <row r="58" spans="1:26" ht="13.5" customHeight="1">
      <c r="A58" s="1"/>
      <c r="B58" s="200" t="s">
        <v>238</v>
      </c>
      <c r="C58" s="331">
        <v>20256.804</v>
      </c>
      <c r="D58" s="331">
        <f>C60</f>
        <v>19485.179999999993</v>
      </c>
      <c r="E58" s="331">
        <f t="shared" ref="E58:G58" si="4">D60</f>
        <v>19922.22</v>
      </c>
      <c r="F58" s="331">
        <f t="shared" si="4"/>
        <v>20801.34</v>
      </c>
      <c r="G58" s="331">
        <f t="shared" si="4"/>
        <v>16394.497199999994</v>
      </c>
      <c r="H58" s="278">
        <f t="shared" ref="H58" si="5">G60</f>
        <v>23766.400799999992</v>
      </c>
      <c r="I58" s="65"/>
      <c r="J58" s="54"/>
      <c r="K58" s="54"/>
      <c r="L58" s="54"/>
      <c r="M58" s="54"/>
      <c r="N58" s="1"/>
      <c r="O58" s="1"/>
      <c r="P58" s="1"/>
      <c r="Q58" s="1"/>
      <c r="R58" s="1"/>
      <c r="S58" s="1"/>
      <c r="T58" s="1"/>
      <c r="U58" s="1"/>
      <c r="V58" s="1"/>
      <c r="W58" s="1"/>
      <c r="X58" s="1"/>
      <c r="Y58" s="1"/>
      <c r="Z58" s="1"/>
    </row>
    <row r="59" spans="1:26" ht="13.5" customHeight="1">
      <c r="A59" s="1"/>
      <c r="B59" s="200" t="s">
        <v>239</v>
      </c>
      <c r="C59" s="584">
        <v>0</v>
      </c>
      <c r="D59" s="584">
        <v>0</v>
      </c>
      <c r="E59" s="584">
        <v>0</v>
      </c>
      <c r="F59" s="584">
        <v>0</v>
      </c>
      <c r="G59" s="584">
        <v>0</v>
      </c>
      <c r="H59" s="278"/>
      <c r="I59" s="65"/>
      <c r="J59" s="54"/>
      <c r="K59" s="54"/>
      <c r="L59" s="54"/>
      <c r="M59" s="54"/>
      <c r="N59" s="1"/>
      <c r="O59" s="1"/>
      <c r="P59" s="1"/>
      <c r="Q59" s="1"/>
      <c r="R59" s="1"/>
      <c r="S59" s="1"/>
      <c r="T59" s="1"/>
      <c r="U59" s="1"/>
      <c r="V59" s="1"/>
      <c r="W59" s="1"/>
      <c r="X59" s="1"/>
      <c r="Y59" s="1"/>
      <c r="Z59" s="1"/>
    </row>
    <row r="60" spans="1:26" ht="13.5" customHeight="1">
      <c r="A60" s="1"/>
      <c r="B60" s="275" t="s">
        <v>240</v>
      </c>
      <c r="C60" s="55">
        <f t="shared" ref="C60:H60" si="6">C58+C57+C59</f>
        <v>19485.179999999993</v>
      </c>
      <c r="D60" s="55">
        <f t="shared" si="6"/>
        <v>19922.22</v>
      </c>
      <c r="E60" s="55">
        <f t="shared" si="6"/>
        <v>20801.34</v>
      </c>
      <c r="F60" s="55">
        <f t="shared" si="6"/>
        <v>16394.497199999994</v>
      </c>
      <c r="G60" s="55">
        <f t="shared" si="6"/>
        <v>23766.400799999992</v>
      </c>
      <c r="H60" s="589">
        <f t="shared" si="6"/>
        <v>29562.79478466728</v>
      </c>
      <c r="I60" s="65"/>
      <c r="J60" s="54"/>
      <c r="K60" s="54"/>
      <c r="L60" s="54"/>
      <c r="M60" s="54"/>
      <c r="N60" s="1"/>
      <c r="O60" s="1"/>
      <c r="P60" s="1"/>
      <c r="Q60" s="1"/>
      <c r="R60" s="1"/>
      <c r="S60" s="1"/>
      <c r="T60" s="1"/>
      <c r="U60" s="1"/>
      <c r="V60" s="1"/>
      <c r="W60" s="1"/>
      <c r="X60" s="1"/>
      <c r="Y60" s="1"/>
      <c r="Z60" s="1"/>
    </row>
    <row r="61" spans="1:26" ht="13.5" customHeight="1">
      <c r="A61" s="1"/>
      <c r="B61" s="200" t="s">
        <v>241</v>
      </c>
      <c r="C61" s="50">
        <f t="shared" ref="C61:H61" si="7">C24</f>
        <v>19433.91599999999</v>
      </c>
      <c r="D61" s="50">
        <f t="shared" si="7"/>
        <v>21071.520000000008</v>
      </c>
      <c r="E61" s="50">
        <f t="shared" si="7"/>
        <v>20662.307999999997</v>
      </c>
      <c r="F61" s="50">
        <f t="shared" si="7"/>
        <v>22145.065199999997</v>
      </c>
      <c r="G61" s="50">
        <f t="shared" si="7"/>
        <v>29616.069599999995</v>
      </c>
      <c r="H61" s="585">
        <f t="shared" si="7"/>
        <v>34660.148615332218</v>
      </c>
      <c r="I61" s="65"/>
      <c r="J61" s="54"/>
      <c r="K61" s="54"/>
      <c r="L61" s="54"/>
      <c r="M61" s="54"/>
      <c r="N61" s="1"/>
      <c r="O61" s="1"/>
      <c r="P61" s="1"/>
      <c r="Q61" s="1"/>
      <c r="R61" s="1"/>
      <c r="S61" s="1"/>
      <c r="T61" s="1"/>
      <c r="U61" s="1"/>
      <c r="V61" s="1"/>
      <c r="W61" s="1"/>
      <c r="X61" s="1"/>
      <c r="Y61" s="1"/>
      <c r="Z61" s="1"/>
    </row>
    <row r="62" spans="1:26" ht="13.5" customHeight="1">
      <c r="A62" s="1"/>
      <c r="B62" s="200" t="s">
        <v>242</v>
      </c>
      <c r="C62" s="278">
        <f t="shared" ref="C62:H62" si="8">C29</f>
        <v>-11809.62</v>
      </c>
      <c r="D62" s="278">
        <f t="shared" si="8"/>
        <v>-11900.088</v>
      </c>
      <c r="E62" s="278">
        <f t="shared" si="8"/>
        <v>-11360.951999999999</v>
      </c>
      <c r="F62" s="278">
        <f t="shared" si="8"/>
        <v>-16575.912</v>
      </c>
      <c r="G62" s="278">
        <f t="shared" si="8"/>
        <v>-18260.603999999999</v>
      </c>
      <c r="H62" s="278">
        <f t="shared" si="8"/>
        <v>-21662.86710638104</v>
      </c>
      <c r="I62" s="65"/>
      <c r="J62" s="54"/>
      <c r="K62" s="54"/>
      <c r="L62" s="54"/>
      <c r="M62" s="54"/>
      <c r="N62" s="1"/>
      <c r="O62" s="1"/>
      <c r="P62" s="1"/>
      <c r="Q62" s="1"/>
      <c r="R62" s="1"/>
      <c r="S62" s="1"/>
      <c r="T62" s="1"/>
      <c r="U62" s="1"/>
      <c r="V62" s="1"/>
      <c r="W62" s="1"/>
      <c r="X62" s="1"/>
      <c r="Y62" s="1"/>
      <c r="Z62" s="1"/>
    </row>
    <row r="63" spans="1:26" ht="13.5" customHeight="1">
      <c r="A63" s="1"/>
      <c r="B63" s="332" t="s">
        <v>243</v>
      </c>
      <c r="C63" s="329">
        <f t="shared" ref="C63:H63" si="9">C61+C62</f>
        <v>7624.2959999999894</v>
      </c>
      <c r="D63" s="329">
        <f t="shared" si="9"/>
        <v>9171.432000000008</v>
      </c>
      <c r="E63" s="329">
        <f t="shared" si="9"/>
        <v>9301.3559999999979</v>
      </c>
      <c r="F63" s="329">
        <f t="shared" si="9"/>
        <v>5569.153199999997</v>
      </c>
      <c r="G63" s="329">
        <f t="shared" si="9"/>
        <v>11355.465599999996</v>
      </c>
      <c r="H63" s="329">
        <f t="shared" si="9"/>
        <v>12997.281508951179</v>
      </c>
      <c r="I63" s="65"/>
      <c r="J63" s="54"/>
      <c r="K63" s="54"/>
      <c r="L63" s="54"/>
      <c r="M63" s="54"/>
      <c r="N63" s="1"/>
      <c r="O63" s="1"/>
      <c r="P63" s="1"/>
      <c r="Q63" s="1"/>
      <c r="R63" s="1"/>
      <c r="S63" s="1"/>
      <c r="T63" s="1"/>
      <c r="U63" s="1"/>
      <c r="V63" s="1"/>
      <c r="W63" s="1"/>
      <c r="X63" s="1"/>
      <c r="Y63" s="1"/>
      <c r="Z63" s="1"/>
    </row>
    <row r="64" spans="1:26" ht="13.8">
      <c r="A64" s="1"/>
      <c r="B64" s="206"/>
      <c r="C64" s="333"/>
      <c r="D64" s="333"/>
      <c r="E64" s="333"/>
      <c r="F64" s="333"/>
      <c r="G64" s="333"/>
      <c r="H64" s="286"/>
      <c r="I64" s="1"/>
      <c r="J64" s="1"/>
      <c r="K64" s="1"/>
      <c r="L64" s="1"/>
      <c r="M64" s="1"/>
      <c r="N64" s="1"/>
      <c r="O64" s="1"/>
      <c r="P64" s="1"/>
      <c r="Q64" s="1"/>
      <c r="R64" s="1"/>
      <c r="S64" s="1"/>
      <c r="T64" s="1"/>
      <c r="U64" s="1"/>
      <c r="V64" s="1"/>
      <c r="W64" s="1"/>
      <c r="X64" s="1"/>
      <c r="Y64" s="1"/>
      <c r="Z64" s="1"/>
    </row>
    <row r="65" spans="1:26" ht="13.8" outlineLevel="1">
      <c r="A65" s="1"/>
      <c r="B65" s="657" t="s">
        <v>192</v>
      </c>
      <c r="C65" s="620"/>
      <c r="D65" s="316"/>
      <c r="E65" s="316"/>
      <c r="F65" s="316"/>
      <c r="G65" s="316"/>
      <c r="H65" s="1"/>
      <c r="I65" s="334" t="s">
        <v>193</v>
      </c>
      <c r="J65" s="1"/>
      <c r="K65" s="1"/>
      <c r="L65" s="1"/>
      <c r="M65" s="1"/>
      <c r="N65" s="1"/>
      <c r="O65" s="1"/>
      <c r="P65" s="1"/>
      <c r="Q65" s="1"/>
      <c r="R65" s="1"/>
      <c r="S65" s="1"/>
      <c r="T65" s="1"/>
      <c r="U65" s="1"/>
      <c r="V65" s="1"/>
      <c r="W65" s="1"/>
      <c r="X65" s="1"/>
      <c r="Y65" s="1"/>
      <c r="Z65" s="1"/>
    </row>
    <row r="66" spans="1:26" ht="13.8" outlineLevel="1">
      <c r="A66" s="1"/>
      <c r="B66" s="193"/>
      <c r="C66" s="316"/>
      <c r="D66" s="316"/>
      <c r="E66" s="316"/>
      <c r="F66" s="316"/>
      <c r="G66" s="316"/>
      <c r="H66" s="267"/>
      <c r="I66" s="335"/>
      <c r="J66" s="1"/>
      <c r="K66" s="1"/>
      <c r="L66" s="1"/>
      <c r="M66" s="1"/>
      <c r="N66" s="1"/>
      <c r="O66" s="1"/>
      <c r="P66" s="1"/>
      <c r="Q66" s="1"/>
      <c r="R66" s="1"/>
      <c r="S66" s="1"/>
      <c r="T66" s="1"/>
      <c r="U66" s="1"/>
      <c r="V66" s="1"/>
      <c r="W66" s="1"/>
      <c r="X66" s="1"/>
      <c r="Y66" s="1"/>
      <c r="Z66" s="1"/>
    </row>
    <row r="67" spans="1:26" ht="13.8" outlineLevel="1">
      <c r="A67" s="1"/>
      <c r="B67" s="223" t="s">
        <v>244</v>
      </c>
      <c r="C67" s="336">
        <f>(C24/IS!C$8)</f>
        <v>0.56947922754441727</v>
      </c>
      <c r="D67" s="336">
        <f>(D24/IS!D$8)</f>
        <v>0.59882530715220383</v>
      </c>
      <c r="E67" s="336">
        <f>(E24/IS!E$8)</f>
        <v>0.55644015887958287</v>
      </c>
      <c r="F67" s="336">
        <f>(F24/IS!F$8)</f>
        <v>0.57490322339461108</v>
      </c>
      <c r="G67" s="336">
        <f>(G24/IS!G$8)</f>
        <v>0.6142756020160538</v>
      </c>
      <c r="H67" s="336">
        <f>(H24/IS!H$8)</f>
        <v>0.60599001418290677</v>
      </c>
      <c r="I67" s="337">
        <f t="shared" ref="I67:I68" si="10">AVERAGE(C67:G67)</f>
        <v>0.58278470379737379</v>
      </c>
      <c r="J67" s="1"/>
      <c r="K67" s="1"/>
      <c r="L67" s="1"/>
      <c r="M67" s="1"/>
      <c r="N67" s="1"/>
      <c r="O67" s="1"/>
      <c r="P67" s="1"/>
      <c r="Q67" s="1"/>
      <c r="R67" s="1"/>
      <c r="S67" s="1"/>
      <c r="T67" s="1"/>
      <c r="U67" s="1"/>
      <c r="V67" s="1"/>
      <c r="W67" s="1"/>
      <c r="X67" s="1"/>
      <c r="Y67" s="1"/>
      <c r="Z67" s="1"/>
    </row>
    <row r="68" spans="1:26" ht="13.8" outlineLevel="1">
      <c r="A68" s="1"/>
      <c r="B68" s="223" t="s">
        <v>245</v>
      </c>
      <c r="C68" s="338">
        <f>C24/IS!C27</f>
        <v>20.818476242924312</v>
      </c>
      <c r="D68" s="338">
        <f>D24/IS!D27</f>
        <v>22.572750572880157</v>
      </c>
      <c r="E68" s="338">
        <f>E24/IS!E27</f>
        <v>22.134384455607666</v>
      </c>
      <c r="F68" s="338">
        <f>F24/IS!F27</f>
        <v>23.72277999782494</v>
      </c>
      <c r="G68" s="338">
        <f>G24/IS!G27</f>
        <v>31.726052607019252</v>
      </c>
      <c r="H68" s="338">
        <f>H24/IS!H27</f>
        <v>37.129494669243201</v>
      </c>
      <c r="I68" s="339">
        <f t="shared" si="10"/>
        <v>24.194888775251268</v>
      </c>
      <c r="J68" s="1"/>
      <c r="K68" s="1"/>
      <c r="L68" s="1"/>
      <c r="M68" s="1"/>
      <c r="N68" s="1"/>
      <c r="O68" s="1"/>
      <c r="P68" s="1"/>
      <c r="Q68" s="1"/>
      <c r="R68" s="1"/>
      <c r="S68" s="1"/>
      <c r="T68" s="1"/>
      <c r="U68" s="1"/>
      <c r="V68" s="1"/>
      <c r="W68" s="1"/>
      <c r="X68" s="1"/>
      <c r="Y68" s="1"/>
      <c r="Z68" s="1"/>
    </row>
    <row r="69" spans="1:26" ht="13.8" outlineLevel="1">
      <c r="A69" s="1"/>
      <c r="B69" s="223"/>
      <c r="C69" s="340"/>
      <c r="D69" s="340"/>
      <c r="E69" s="340"/>
      <c r="F69" s="340"/>
      <c r="G69" s="340"/>
      <c r="H69" s="340"/>
      <c r="I69" s="335"/>
      <c r="J69" s="1"/>
      <c r="K69" s="1"/>
      <c r="L69" s="1"/>
      <c r="M69" s="1"/>
      <c r="N69" s="1"/>
      <c r="O69" s="1"/>
      <c r="P69" s="1"/>
      <c r="Q69" s="1"/>
      <c r="R69" s="1"/>
      <c r="S69" s="1"/>
      <c r="T69" s="1"/>
      <c r="U69" s="1"/>
      <c r="V69" s="1"/>
      <c r="W69" s="1"/>
      <c r="X69" s="1"/>
      <c r="Y69" s="1"/>
      <c r="Z69" s="1"/>
    </row>
    <row r="70" spans="1:26" ht="13.8" outlineLevel="1">
      <c r="A70" s="1"/>
      <c r="B70" s="193"/>
      <c r="C70" s="341"/>
      <c r="D70" s="298"/>
      <c r="E70" s="341"/>
      <c r="F70" s="341"/>
      <c r="G70" s="341"/>
      <c r="H70" s="341"/>
      <c r="I70" s="335"/>
      <c r="J70" s="1"/>
      <c r="K70" s="1"/>
      <c r="L70" s="1"/>
      <c r="M70" s="1"/>
      <c r="N70" s="1"/>
      <c r="O70" s="1"/>
      <c r="P70" s="1"/>
      <c r="Q70" s="1"/>
      <c r="R70" s="1"/>
      <c r="S70" s="1"/>
      <c r="T70" s="1"/>
      <c r="U70" s="1"/>
      <c r="V70" s="1"/>
      <c r="W70" s="1"/>
      <c r="X70" s="1"/>
      <c r="Y70" s="1"/>
      <c r="Z70" s="1"/>
    </row>
    <row r="71" spans="1:26" ht="13.8" outlineLevel="1">
      <c r="A71" s="1"/>
      <c r="B71" s="223" t="s">
        <v>246</v>
      </c>
      <c r="C71" s="336">
        <f>(C63/IS!C$8)</f>
        <v>0.22341756528380519</v>
      </c>
      <c r="D71" s="336">
        <f>(D63/IS!D$8)</f>
        <v>0.26064021885585631</v>
      </c>
      <c r="E71" s="336">
        <f>(E63/IS!E$8)</f>
        <v>0.25048740975284856</v>
      </c>
      <c r="F71" s="336">
        <f>(F63/IS!F$8)</f>
        <v>0.14457957551005143</v>
      </c>
      <c r="G71" s="336">
        <f>(G63/IS!G$8)</f>
        <v>0.23552704872129918</v>
      </c>
      <c r="H71" s="336">
        <f>(H63/IS!H$8)</f>
        <v>0.22724146088815211</v>
      </c>
      <c r="I71" s="337">
        <f t="shared" ref="I71:I72" si="11">AVERAGE(C71:G71)</f>
        <v>0.22293036362477214</v>
      </c>
      <c r="J71" s="1"/>
      <c r="K71" s="1"/>
      <c r="L71" s="1"/>
      <c r="M71" s="1"/>
      <c r="N71" s="1"/>
      <c r="O71" s="1"/>
      <c r="P71" s="1"/>
      <c r="Q71" s="1"/>
      <c r="R71" s="1"/>
      <c r="S71" s="1"/>
      <c r="T71" s="1"/>
      <c r="U71" s="1"/>
      <c r="V71" s="1"/>
      <c r="W71" s="1"/>
      <c r="X71" s="1"/>
      <c r="Y71" s="1"/>
      <c r="Z71" s="1"/>
    </row>
    <row r="72" spans="1:26" ht="13.8" outlineLevel="1">
      <c r="A72" s="1"/>
      <c r="B72" s="235" t="s">
        <v>247</v>
      </c>
      <c r="C72" s="342">
        <f>C63/IS!C27</f>
        <v>8.1674853974372805</v>
      </c>
      <c r="D72" s="342">
        <f>D63/IS!D27</f>
        <v>9.8248463771067076</v>
      </c>
      <c r="E72" s="342">
        <f>E63/IS!E27</f>
        <v>9.9640267516326375</v>
      </c>
      <c r="F72" s="342">
        <f>F63/IS!F27</f>
        <v>5.9659249112431025</v>
      </c>
      <c r="G72" s="342">
        <f>G63/IS!G27</f>
        <v>12.164480427976754</v>
      </c>
      <c r="H72" s="342">
        <f>H63/IS!H27</f>
        <v>13.923266742364209</v>
      </c>
      <c r="I72" s="339">
        <f t="shared" si="11"/>
        <v>9.2173527730792966</v>
      </c>
      <c r="J72" s="1"/>
      <c r="K72" s="1"/>
      <c r="L72" s="1"/>
      <c r="M72" s="1"/>
      <c r="N72" s="1"/>
      <c r="O72" s="1"/>
      <c r="P72" s="1"/>
      <c r="Q72" s="1"/>
      <c r="R72" s="1"/>
      <c r="S72" s="1"/>
      <c r="T72" s="1"/>
      <c r="U72" s="1"/>
      <c r="V72" s="1"/>
      <c r="W72" s="1"/>
      <c r="X72" s="1"/>
      <c r="Y72" s="1"/>
      <c r="Z72" s="1"/>
    </row>
    <row r="73" spans="1:26" ht="13.5" customHeight="1">
      <c r="A73" s="1"/>
      <c r="B73" s="1"/>
      <c r="C73" s="316"/>
      <c r="D73" s="316"/>
      <c r="E73" s="316"/>
      <c r="F73" s="316"/>
      <c r="G73" s="316"/>
      <c r="H73" s="1"/>
      <c r="I73" s="1"/>
      <c r="J73" s="1"/>
      <c r="K73" s="1"/>
      <c r="L73" s="1"/>
      <c r="M73" s="1"/>
      <c r="N73" s="1"/>
      <c r="O73" s="1"/>
      <c r="P73" s="1"/>
      <c r="Q73" s="1"/>
      <c r="R73" s="1"/>
      <c r="S73" s="1"/>
      <c r="T73" s="1"/>
      <c r="U73" s="1"/>
      <c r="V73" s="1"/>
      <c r="W73" s="1"/>
      <c r="X73" s="1"/>
      <c r="Y73" s="1"/>
      <c r="Z73" s="1"/>
    </row>
    <row r="74" spans="1:26" ht="13.5" customHeight="1">
      <c r="A74" s="1"/>
      <c r="B74" s="660" t="s">
        <v>199</v>
      </c>
      <c r="C74" s="661"/>
      <c r="D74" s="343"/>
      <c r="E74" s="343"/>
      <c r="F74" s="343"/>
      <c r="G74" s="343"/>
      <c r="H74" s="304"/>
      <c r="I74" s="334" t="s">
        <v>193</v>
      </c>
      <c r="J74" s="1"/>
      <c r="K74" s="1"/>
      <c r="L74" s="1"/>
      <c r="M74" s="1"/>
      <c r="N74" s="1"/>
      <c r="O74" s="1"/>
      <c r="P74" s="1"/>
      <c r="Q74" s="1"/>
      <c r="R74" s="1"/>
      <c r="S74" s="1"/>
      <c r="T74" s="1"/>
      <c r="U74" s="1"/>
      <c r="V74" s="1"/>
      <c r="W74" s="1"/>
      <c r="X74" s="1"/>
      <c r="Y74" s="1"/>
      <c r="Z74" s="1"/>
    </row>
    <row r="75" spans="1:26" ht="13.5" customHeight="1">
      <c r="A75" s="1"/>
      <c r="B75" s="193"/>
      <c r="C75" s="316"/>
      <c r="D75" s="316"/>
      <c r="E75" s="316"/>
      <c r="F75" s="316"/>
      <c r="G75" s="316"/>
      <c r="H75" s="1"/>
      <c r="I75" s="335"/>
      <c r="J75" s="1"/>
      <c r="K75" s="1"/>
      <c r="L75" s="1"/>
      <c r="M75" s="1"/>
      <c r="N75" s="1"/>
      <c r="O75" s="1"/>
      <c r="P75" s="1"/>
      <c r="Q75" s="1"/>
      <c r="R75" s="1"/>
      <c r="S75" s="1"/>
      <c r="T75" s="1"/>
      <c r="U75" s="1"/>
      <c r="V75" s="1"/>
      <c r="W75" s="1"/>
      <c r="X75" s="1"/>
      <c r="Y75" s="1"/>
      <c r="Z75" s="1"/>
    </row>
    <row r="76" spans="1:26" ht="13.5" customHeight="1">
      <c r="A76" s="1"/>
      <c r="B76" s="223"/>
      <c r="C76" s="316"/>
      <c r="D76" s="316"/>
      <c r="E76" s="316"/>
      <c r="F76" s="316"/>
      <c r="G76" s="316"/>
      <c r="H76" s="1"/>
      <c r="I76" s="344"/>
      <c r="J76" s="1"/>
      <c r="K76" s="1"/>
      <c r="L76" s="1"/>
      <c r="M76" s="1"/>
      <c r="N76" s="1"/>
      <c r="O76" s="1"/>
      <c r="P76" s="1"/>
      <c r="Q76" s="1"/>
      <c r="R76" s="1"/>
      <c r="S76" s="1"/>
      <c r="T76" s="1"/>
      <c r="U76" s="1"/>
      <c r="V76" s="1"/>
      <c r="W76" s="1"/>
      <c r="X76" s="1"/>
      <c r="Y76" s="1"/>
      <c r="Z76" s="1"/>
    </row>
    <row r="77" spans="1:26" ht="13.5" customHeight="1">
      <c r="A77" s="1"/>
      <c r="B77" s="223" t="s">
        <v>248</v>
      </c>
      <c r="C77" s="54">
        <f>C8/IS!C8</f>
        <v>0.23217235726387173</v>
      </c>
      <c r="D77" s="54">
        <f>D8/IS!D8</f>
        <v>0.26169807672436451</v>
      </c>
      <c r="E77" s="54">
        <f>E8/IS!E8</f>
        <v>0.27933353563302193</v>
      </c>
      <c r="F77" s="54">
        <f>F8/IS!F8</f>
        <v>0.26300432714324429</v>
      </c>
      <c r="G77" s="54">
        <f>G8/IS!G8</f>
        <v>0.24232816875116675</v>
      </c>
      <c r="H77" s="54">
        <f>H8/IS!H8</f>
        <v>0.24232816875116675</v>
      </c>
      <c r="I77" s="337">
        <f>AVERAGE(C77:G77)</f>
        <v>0.25570729310313384</v>
      </c>
      <c r="J77" s="1"/>
      <c r="K77" s="1"/>
      <c r="L77" s="1"/>
      <c r="M77" s="1"/>
      <c r="N77" s="1"/>
      <c r="O77" s="1"/>
      <c r="P77" s="1"/>
      <c r="Q77" s="1"/>
      <c r="R77" s="1"/>
      <c r="S77" s="1"/>
      <c r="T77" s="1"/>
      <c r="U77" s="1"/>
      <c r="V77" s="1"/>
      <c r="W77" s="1"/>
      <c r="X77" s="1"/>
      <c r="Y77" s="1"/>
      <c r="Z77" s="1"/>
    </row>
    <row r="78" spans="1:26" ht="13.5" customHeight="1">
      <c r="A78" s="1"/>
      <c r="B78" s="193"/>
      <c r="C78" s="316"/>
      <c r="D78" s="316"/>
      <c r="E78" s="316"/>
      <c r="F78" s="316"/>
      <c r="G78" s="316"/>
      <c r="H78" s="1"/>
      <c r="I78" s="344"/>
      <c r="J78" s="1"/>
      <c r="K78" s="1"/>
      <c r="L78" s="1"/>
      <c r="M78" s="1"/>
      <c r="N78" s="1"/>
      <c r="O78" s="1"/>
      <c r="P78" s="1"/>
      <c r="Q78" s="1"/>
      <c r="R78" s="1"/>
      <c r="S78" s="1"/>
      <c r="T78" s="1"/>
      <c r="U78" s="1"/>
      <c r="V78" s="1"/>
      <c r="W78" s="1"/>
      <c r="X78" s="1"/>
      <c r="Y78" s="1"/>
      <c r="Z78" s="1"/>
    </row>
    <row r="79" spans="1:26" ht="13.5" customHeight="1">
      <c r="A79" s="1"/>
      <c r="B79" s="193"/>
      <c r="C79" s="316"/>
      <c r="D79" s="316"/>
      <c r="E79" s="316"/>
      <c r="F79" s="316"/>
      <c r="G79" s="316"/>
      <c r="H79" s="1"/>
      <c r="I79" s="344"/>
      <c r="J79" s="1"/>
      <c r="K79" s="1"/>
      <c r="L79" s="1"/>
      <c r="M79" s="1"/>
      <c r="N79" s="1"/>
      <c r="O79" s="1"/>
      <c r="P79" s="1"/>
      <c r="Q79" s="1"/>
      <c r="R79" s="1"/>
      <c r="S79" s="1"/>
      <c r="T79" s="1"/>
      <c r="U79" s="1"/>
      <c r="V79" s="1"/>
      <c r="W79" s="1"/>
      <c r="X79" s="1"/>
      <c r="Y79" s="1"/>
      <c r="Z79" s="1"/>
    </row>
    <row r="80" spans="1:26" ht="13.5" customHeight="1">
      <c r="A80" s="1"/>
      <c r="B80" s="193" t="s">
        <v>130</v>
      </c>
      <c r="C80" s="50">
        <f t="shared" ref="C80:H80" si="12">ABS(C29)</f>
        <v>11809.62</v>
      </c>
      <c r="D80" s="50">
        <f t="shared" si="12"/>
        <v>11900.088</v>
      </c>
      <c r="E80" s="50">
        <f t="shared" si="12"/>
        <v>11360.951999999999</v>
      </c>
      <c r="F80" s="50">
        <f t="shared" si="12"/>
        <v>16575.912</v>
      </c>
      <c r="G80" s="50">
        <f t="shared" si="12"/>
        <v>18260.603999999999</v>
      </c>
      <c r="H80" s="50">
        <f t="shared" si="12"/>
        <v>21662.86710638104</v>
      </c>
      <c r="I80" s="345">
        <f t="shared" ref="I80:I81" si="13">AVERAGE(C80:G80)</f>
        <v>13981.435200000002</v>
      </c>
      <c r="J80" s="1"/>
      <c r="K80" s="1"/>
      <c r="L80" s="1"/>
      <c r="M80" s="1"/>
      <c r="N80" s="1"/>
      <c r="O80" s="1"/>
      <c r="P80" s="1"/>
      <c r="Q80" s="1"/>
      <c r="R80" s="1"/>
      <c r="S80" s="1"/>
      <c r="T80" s="1"/>
      <c r="U80" s="1"/>
      <c r="V80" s="1"/>
      <c r="W80" s="1"/>
      <c r="X80" s="1"/>
      <c r="Y80" s="1"/>
      <c r="Z80" s="1"/>
    </row>
    <row r="81" spans="1:26" ht="13.5" customHeight="1">
      <c r="A81" s="1"/>
      <c r="B81" s="235" t="s">
        <v>249</v>
      </c>
      <c r="C81" s="346">
        <f>C80/IS!C8</f>
        <v>0.34606166226061202</v>
      </c>
      <c r="D81" s="346">
        <f>D80/IS!D8</f>
        <v>0.33818508829634747</v>
      </c>
      <c r="E81" s="346">
        <f>E80/IS!E8</f>
        <v>0.30595274912673431</v>
      </c>
      <c r="F81" s="346">
        <f>F80/IS!F8</f>
        <v>0.43032364788455968</v>
      </c>
      <c r="G81" s="346">
        <f>G80/IS!G8</f>
        <v>0.3787485532947546</v>
      </c>
      <c r="H81" s="346">
        <f>H80/IS!H8</f>
        <v>0.3787485532947546</v>
      </c>
      <c r="I81" s="347">
        <f t="shared" si="13"/>
        <v>0.35985434017260159</v>
      </c>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316"/>
      <c r="D84" s="316"/>
      <c r="E84" s="316"/>
      <c r="F84" s="316"/>
      <c r="G84" s="316"/>
      <c r="H84" s="1"/>
      <c r="I84" s="1"/>
      <c r="J84" s="1"/>
      <c r="K84" s="1"/>
      <c r="L84" s="1"/>
      <c r="M84" s="1"/>
      <c r="N84" s="1"/>
      <c r="O84" s="1"/>
      <c r="P84" s="1"/>
      <c r="Q84" s="1"/>
      <c r="R84" s="1"/>
      <c r="S84" s="1"/>
      <c r="T84" s="1"/>
      <c r="U84" s="1"/>
      <c r="V84" s="1"/>
      <c r="W84" s="1"/>
      <c r="X84" s="1"/>
      <c r="Y84" s="1"/>
      <c r="Z84" s="1"/>
    </row>
    <row r="85" spans="1:26" ht="13.5" customHeight="1">
      <c r="A85" s="1"/>
      <c r="B85" s="1"/>
      <c r="C85" s="1"/>
      <c r="D85" s="298"/>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316"/>
      <c r="D88" s="316"/>
      <c r="E88" s="316"/>
      <c r="F88" s="316"/>
      <c r="G88" s="316"/>
      <c r="H88" s="1"/>
      <c r="I88" s="1"/>
      <c r="J88" s="1"/>
      <c r="K88" s="1"/>
      <c r="L88" s="1"/>
      <c r="M88" s="1"/>
      <c r="N88" s="1"/>
      <c r="O88" s="1"/>
      <c r="P88" s="1"/>
      <c r="Q88" s="1"/>
      <c r="R88" s="1"/>
      <c r="S88" s="1"/>
      <c r="T88" s="1"/>
      <c r="U88" s="1"/>
      <c r="V88" s="1"/>
      <c r="W88" s="1"/>
      <c r="X88" s="1"/>
      <c r="Y88" s="1"/>
      <c r="Z88" s="1"/>
    </row>
    <row r="89" spans="1:26" ht="13.5" customHeight="1">
      <c r="A89" s="1"/>
      <c r="B89" s="1"/>
      <c r="C89" s="316"/>
      <c r="D89" s="316"/>
      <c r="E89" s="316"/>
      <c r="F89" s="316"/>
      <c r="G89" s="316"/>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316"/>
      <c r="D117" s="316"/>
      <c r="E117" s="316"/>
      <c r="F117" s="316"/>
      <c r="G117" s="316"/>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316"/>
      <c r="D118" s="316"/>
      <c r="E118" s="316"/>
      <c r="F118" s="316"/>
      <c r="G118" s="316"/>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316"/>
      <c r="D119" s="316"/>
      <c r="E119" s="316"/>
      <c r="F119" s="316"/>
      <c r="G119" s="316"/>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316"/>
      <c r="D120" s="316"/>
      <c r="E120" s="316"/>
      <c r="F120" s="316"/>
      <c r="G120" s="316"/>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316"/>
      <c r="D121" s="316"/>
      <c r="E121" s="316"/>
      <c r="F121" s="316"/>
      <c r="G121" s="316"/>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316"/>
      <c r="D122" s="316"/>
      <c r="E122" s="316"/>
      <c r="F122" s="316"/>
      <c r="G122" s="316"/>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316"/>
      <c r="D123" s="316"/>
      <c r="E123" s="316"/>
      <c r="F123" s="316"/>
      <c r="G123" s="316"/>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316"/>
      <c r="D124" s="316"/>
      <c r="E124" s="316"/>
      <c r="F124" s="316"/>
      <c r="G124" s="316"/>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316"/>
      <c r="D125" s="316"/>
      <c r="E125" s="316"/>
      <c r="F125" s="316"/>
      <c r="G125" s="316"/>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316"/>
      <c r="D126" s="316"/>
      <c r="E126" s="316"/>
      <c r="F126" s="316"/>
      <c r="G126" s="316"/>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316"/>
      <c r="D127" s="316"/>
      <c r="E127" s="316"/>
      <c r="F127" s="316"/>
      <c r="G127" s="316"/>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316"/>
      <c r="D128" s="316"/>
      <c r="E128" s="316"/>
      <c r="F128" s="316"/>
      <c r="G128" s="316"/>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316"/>
      <c r="D129" s="316"/>
      <c r="E129" s="316"/>
      <c r="F129" s="316"/>
      <c r="G129" s="316"/>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316"/>
      <c r="D130" s="316"/>
      <c r="E130" s="316"/>
      <c r="F130" s="316"/>
      <c r="G130" s="316"/>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316"/>
      <c r="D131" s="316"/>
      <c r="E131" s="316"/>
      <c r="F131" s="316"/>
      <c r="G131" s="316"/>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316"/>
      <c r="D132" s="316"/>
      <c r="E132" s="316"/>
      <c r="F132" s="316"/>
      <c r="G132" s="316"/>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316"/>
      <c r="D133" s="316"/>
      <c r="E133" s="316"/>
      <c r="F133" s="316"/>
      <c r="G133" s="316"/>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316"/>
      <c r="D134" s="316"/>
      <c r="E134" s="316"/>
      <c r="F134" s="316"/>
      <c r="G134" s="316"/>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316"/>
      <c r="D135" s="316"/>
      <c r="E135" s="316"/>
      <c r="F135" s="316"/>
      <c r="G135" s="316"/>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316"/>
      <c r="D136" s="316"/>
      <c r="E136" s="316"/>
      <c r="F136" s="316"/>
      <c r="G136" s="316"/>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316"/>
      <c r="D137" s="316"/>
      <c r="E137" s="316"/>
      <c r="F137" s="316"/>
      <c r="G137" s="316"/>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316"/>
      <c r="D138" s="316"/>
      <c r="E138" s="316"/>
      <c r="F138" s="316"/>
      <c r="G138" s="316"/>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316"/>
      <c r="D139" s="316"/>
      <c r="E139" s="316"/>
      <c r="F139" s="316"/>
      <c r="G139" s="316"/>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316"/>
      <c r="D140" s="316"/>
      <c r="E140" s="316"/>
      <c r="F140" s="316"/>
      <c r="G140" s="316"/>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316"/>
      <c r="D141" s="316"/>
      <c r="E141" s="316"/>
      <c r="F141" s="316"/>
      <c r="G141" s="316"/>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316"/>
      <c r="D142" s="316"/>
      <c r="E142" s="316"/>
      <c r="F142" s="316"/>
      <c r="G142" s="316"/>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316"/>
      <c r="D143" s="316"/>
      <c r="E143" s="316"/>
      <c r="F143" s="316"/>
      <c r="G143" s="316"/>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316"/>
      <c r="D144" s="316"/>
      <c r="E144" s="316"/>
      <c r="F144" s="316"/>
      <c r="G144" s="316"/>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316"/>
      <c r="D145" s="316"/>
      <c r="E145" s="316"/>
      <c r="F145" s="316"/>
      <c r="G145" s="316"/>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316"/>
      <c r="D146" s="316"/>
      <c r="E146" s="316"/>
      <c r="F146" s="316"/>
      <c r="G146" s="316"/>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316"/>
      <c r="D147" s="316"/>
      <c r="E147" s="316"/>
      <c r="F147" s="316"/>
      <c r="G147" s="316"/>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316"/>
      <c r="D148" s="316"/>
      <c r="E148" s="316"/>
      <c r="F148" s="316"/>
      <c r="G148" s="316"/>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316"/>
      <c r="D149" s="316"/>
      <c r="E149" s="316"/>
      <c r="F149" s="316"/>
      <c r="G149" s="316"/>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316"/>
      <c r="D150" s="316"/>
      <c r="E150" s="316"/>
      <c r="F150" s="316"/>
      <c r="G150" s="316"/>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316"/>
      <c r="D151" s="316"/>
      <c r="E151" s="316"/>
      <c r="F151" s="316"/>
      <c r="G151" s="316"/>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316"/>
      <c r="D152" s="316"/>
      <c r="E152" s="316"/>
      <c r="F152" s="316"/>
      <c r="G152" s="316"/>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316"/>
      <c r="D153" s="316"/>
      <c r="E153" s="316"/>
      <c r="F153" s="316"/>
      <c r="G153" s="316"/>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316"/>
      <c r="D154" s="316"/>
      <c r="E154" s="316"/>
      <c r="F154" s="316"/>
      <c r="G154" s="316"/>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316"/>
      <c r="D155" s="316"/>
      <c r="E155" s="316"/>
      <c r="F155" s="316"/>
      <c r="G155" s="316"/>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316"/>
      <c r="D156" s="316"/>
      <c r="E156" s="316"/>
      <c r="F156" s="316"/>
      <c r="G156" s="316"/>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316"/>
      <c r="D157" s="316"/>
      <c r="E157" s="316"/>
      <c r="F157" s="316"/>
      <c r="G157" s="316"/>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316"/>
      <c r="D158" s="316"/>
      <c r="E158" s="316"/>
      <c r="F158" s="316"/>
      <c r="G158" s="316"/>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316"/>
      <c r="D159" s="316"/>
      <c r="E159" s="316"/>
      <c r="F159" s="316"/>
      <c r="G159" s="316"/>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316"/>
      <c r="D160" s="316"/>
      <c r="E160" s="316"/>
      <c r="F160" s="316"/>
      <c r="G160" s="316"/>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316"/>
      <c r="D161" s="316"/>
      <c r="E161" s="316"/>
      <c r="F161" s="316"/>
      <c r="G161" s="316"/>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316"/>
      <c r="D162" s="316"/>
      <c r="E162" s="316"/>
      <c r="F162" s="316"/>
      <c r="G162" s="316"/>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316"/>
      <c r="D163" s="316"/>
      <c r="E163" s="316"/>
      <c r="F163" s="316"/>
      <c r="G163" s="316"/>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316"/>
      <c r="D164" s="316"/>
      <c r="E164" s="316"/>
      <c r="F164" s="316"/>
      <c r="G164" s="316"/>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316"/>
      <c r="D165" s="316"/>
      <c r="E165" s="316"/>
      <c r="F165" s="316"/>
      <c r="G165" s="316"/>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316"/>
      <c r="D166" s="316"/>
      <c r="E166" s="316"/>
      <c r="F166" s="316"/>
      <c r="G166" s="316"/>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316"/>
      <c r="D167" s="316"/>
      <c r="E167" s="316"/>
      <c r="F167" s="316"/>
      <c r="G167" s="316"/>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316"/>
      <c r="D168" s="316"/>
      <c r="E168" s="316"/>
      <c r="F168" s="316"/>
      <c r="G168" s="316"/>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316"/>
      <c r="D169" s="316"/>
      <c r="E169" s="316"/>
      <c r="F169" s="316"/>
      <c r="G169" s="316"/>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316"/>
      <c r="D170" s="316"/>
      <c r="E170" s="316"/>
      <c r="F170" s="316"/>
      <c r="G170" s="316"/>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316"/>
      <c r="D171" s="316"/>
      <c r="E171" s="316"/>
      <c r="F171" s="316"/>
      <c r="G171" s="316"/>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316"/>
      <c r="D172" s="316"/>
      <c r="E172" s="316"/>
      <c r="F172" s="316"/>
      <c r="G172" s="316"/>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316"/>
      <c r="D173" s="316"/>
      <c r="E173" s="316"/>
      <c r="F173" s="316"/>
      <c r="G173" s="316"/>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316"/>
      <c r="D174" s="316"/>
      <c r="E174" s="316"/>
      <c r="F174" s="316"/>
      <c r="G174" s="316"/>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316"/>
      <c r="D175" s="316"/>
      <c r="E175" s="316"/>
      <c r="F175" s="316"/>
      <c r="G175" s="316"/>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316"/>
      <c r="D176" s="316"/>
      <c r="E176" s="316"/>
      <c r="F176" s="316"/>
      <c r="G176" s="316"/>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316"/>
      <c r="D177" s="316"/>
      <c r="E177" s="316"/>
      <c r="F177" s="316"/>
      <c r="G177" s="316"/>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316"/>
      <c r="D178" s="316"/>
      <c r="E178" s="316"/>
      <c r="F178" s="316"/>
      <c r="G178" s="316"/>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316"/>
      <c r="D179" s="316"/>
      <c r="E179" s="316"/>
      <c r="F179" s="316"/>
      <c r="G179" s="316"/>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316"/>
      <c r="D180" s="316"/>
      <c r="E180" s="316"/>
      <c r="F180" s="316"/>
      <c r="G180" s="316"/>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316"/>
      <c r="D181" s="316"/>
      <c r="E181" s="316"/>
      <c r="F181" s="316"/>
      <c r="G181" s="316"/>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316"/>
      <c r="D182" s="316"/>
      <c r="E182" s="316"/>
      <c r="F182" s="316"/>
      <c r="G182" s="316"/>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316"/>
      <c r="D183" s="316"/>
      <c r="E183" s="316"/>
      <c r="F183" s="316"/>
      <c r="G183" s="316"/>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316"/>
      <c r="D184" s="316"/>
      <c r="E184" s="316"/>
      <c r="F184" s="316"/>
      <c r="G184" s="316"/>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316"/>
      <c r="D185" s="316"/>
      <c r="E185" s="316"/>
      <c r="F185" s="316"/>
      <c r="G185" s="316"/>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316"/>
      <c r="D186" s="316"/>
      <c r="E186" s="316"/>
      <c r="F186" s="316"/>
      <c r="G186" s="316"/>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316"/>
      <c r="D187" s="316"/>
      <c r="E187" s="316"/>
      <c r="F187" s="316"/>
      <c r="G187" s="316"/>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316"/>
      <c r="D188" s="316"/>
      <c r="E188" s="316"/>
      <c r="F188" s="316"/>
      <c r="G188" s="316"/>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316"/>
      <c r="D189" s="316"/>
      <c r="E189" s="316"/>
      <c r="F189" s="316"/>
      <c r="G189" s="316"/>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316"/>
      <c r="D190" s="316"/>
      <c r="E190" s="316"/>
      <c r="F190" s="316"/>
      <c r="G190" s="316"/>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316"/>
      <c r="D191" s="316"/>
      <c r="E191" s="316"/>
      <c r="F191" s="316"/>
      <c r="G191" s="316"/>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316"/>
      <c r="D192" s="316"/>
      <c r="E192" s="316"/>
      <c r="F192" s="316"/>
      <c r="G192" s="316"/>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316"/>
      <c r="D193" s="316"/>
      <c r="E193" s="316"/>
      <c r="F193" s="316"/>
      <c r="G193" s="316"/>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316"/>
      <c r="D194" s="316"/>
      <c r="E194" s="316"/>
      <c r="F194" s="316"/>
      <c r="G194" s="316"/>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316"/>
      <c r="D195" s="316"/>
      <c r="E195" s="316"/>
      <c r="F195" s="316"/>
      <c r="G195" s="316"/>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316"/>
      <c r="D196" s="316"/>
      <c r="E196" s="316"/>
      <c r="F196" s="316"/>
      <c r="G196" s="316"/>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316"/>
      <c r="D197" s="316"/>
      <c r="E197" s="316"/>
      <c r="F197" s="316"/>
      <c r="G197" s="316"/>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316"/>
      <c r="D198" s="316"/>
      <c r="E198" s="316"/>
      <c r="F198" s="316"/>
      <c r="G198" s="316"/>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316"/>
      <c r="D199" s="316"/>
      <c r="E199" s="316"/>
      <c r="F199" s="316"/>
      <c r="G199" s="316"/>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316"/>
      <c r="D200" s="316"/>
      <c r="E200" s="316"/>
      <c r="F200" s="316"/>
      <c r="G200" s="316"/>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316"/>
      <c r="D201" s="316"/>
      <c r="E201" s="316"/>
      <c r="F201" s="316"/>
      <c r="G201" s="316"/>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316"/>
      <c r="D202" s="316"/>
      <c r="E202" s="316"/>
      <c r="F202" s="316"/>
      <c r="G202" s="316"/>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316"/>
      <c r="D203" s="316"/>
      <c r="E203" s="316"/>
      <c r="F203" s="316"/>
      <c r="G203" s="316"/>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316"/>
      <c r="D204" s="316"/>
      <c r="E204" s="316"/>
      <c r="F204" s="316"/>
      <c r="G204" s="316"/>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316"/>
      <c r="D205" s="316"/>
      <c r="E205" s="316"/>
      <c r="F205" s="316"/>
      <c r="G205" s="316"/>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316"/>
      <c r="D206" s="316"/>
      <c r="E206" s="316"/>
      <c r="F206" s="316"/>
      <c r="G206" s="316"/>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316"/>
      <c r="D207" s="316"/>
      <c r="E207" s="316"/>
      <c r="F207" s="316"/>
      <c r="G207" s="316"/>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316"/>
      <c r="D208" s="316"/>
      <c r="E208" s="316"/>
      <c r="F208" s="316"/>
      <c r="G208" s="316"/>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316"/>
      <c r="D209" s="316"/>
      <c r="E209" s="316"/>
      <c r="F209" s="316"/>
      <c r="G209" s="316"/>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316"/>
      <c r="D210" s="316"/>
      <c r="E210" s="316"/>
      <c r="F210" s="316"/>
      <c r="G210" s="316"/>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316"/>
      <c r="D211" s="316"/>
      <c r="E211" s="316"/>
      <c r="F211" s="316"/>
      <c r="G211" s="316"/>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316"/>
      <c r="D212" s="316"/>
      <c r="E212" s="316"/>
      <c r="F212" s="316"/>
      <c r="G212" s="316"/>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316"/>
      <c r="D213" s="316"/>
      <c r="E213" s="316"/>
      <c r="F213" s="316"/>
      <c r="G213" s="316"/>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316"/>
      <c r="D214" s="316"/>
      <c r="E214" s="316"/>
      <c r="F214" s="316"/>
      <c r="G214" s="316"/>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316"/>
      <c r="D215" s="316"/>
      <c r="E215" s="316"/>
      <c r="F215" s="316"/>
      <c r="G215" s="316"/>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316"/>
      <c r="D216" s="316"/>
      <c r="E216" s="316"/>
      <c r="F216" s="316"/>
      <c r="G216" s="316"/>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316"/>
      <c r="D217" s="316"/>
      <c r="E217" s="316"/>
      <c r="F217" s="316"/>
      <c r="G217" s="316"/>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316"/>
      <c r="D218" s="316"/>
      <c r="E218" s="316"/>
      <c r="F218" s="316"/>
      <c r="G218" s="316"/>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316"/>
      <c r="D219" s="316"/>
      <c r="E219" s="316"/>
      <c r="F219" s="316"/>
      <c r="G219" s="316"/>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316"/>
      <c r="D220" s="316"/>
      <c r="E220" s="316"/>
      <c r="F220" s="316"/>
      <c r="G220" s="316"/>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316"/>
      <c r="D221" s="316"/>
      <c r="E221" s="316"/>
      <c r="F221" s="316"/>
      <c r="G221" s="316"/>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316"/>
      <c r="D222" s="316"/>
      <c r="E222" s="316"/>
      <c r="F222" s="316"/>
      <c r="G222" s="316"/>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316"/>
      <c r="D223" s="316"/>
      <c r="E223" s="316"/>
      <c r="F223" s="316"/>
      <c r="G223" s="316"/>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316"/>
      <c r="D224" s="316"/>
      <c r="E224" s="316"/>
      <c r="F224" s="316"/>
      <c r="G224" s="316"/>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316"/>
      <c r="D225" s="316"/>
      <c r="E225" s="316"/>
      <c r="F225" s="316"/>
      <c r="G225" s="316"/>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316"/>
      <c r="D226" s="316"/>
      <c r="E226" s="316"/>
      <c r="F226" s="316"/>
      <c r="G226" s="316"/>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316"/>
      <c r="D227" s="316"/>
      <c r="E227" s="316"/>
      <c r="F227" s="316"/>
      <c r="G227" s="316"/>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316"/>
      <c r="D228" s="316"/>
      <c r="E228" s="316"/>
      <c r="F228" s="316"/>
      <c r="G228" s="316"/>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316"/>
      <c r="D229" s="316"/>
      <c r="E229" s="316"/>
      <c r="F229" s="316"/>
      <c r="G229" s="316"/>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316"/>
      <c r="D230" s="316"/>
      <c r="E230" s="316"/>
      <c r="F230" s="316"/>
      <c r="G230" s="316"/>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316"/>
      <c r="D231" s="316"/>
      <c r="E231" s="316"/>
      <c r="F231" s="316"/>
      <c r="G231" s="316"/>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316"/>
      <c r="D232" s="316"/>
      <c r="E232" s="316"/>
      <c r="F232" s="316"/>
      <c r="G232" s="316"/>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316"/>
      <c r="D233" s="316"/>
      <c r="E233" s="316"/>
      <c r="F233" s="316"/>
      <c r="G233" s="316"/>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316"/>
      <c r="D234" s="316"/>
      <c r="E234" s="316"/>
      <c r="F234" s="316"/>
      <c r="G234" s="316"/>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316"/>
      <c r="D235" s="316"/>
      <c r="E235" s="316"/>
      <c r="F235" s="316"/>
      <c r="G235" s="316"/>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316"/>
      <c r="D236" s="316"/>
      <c r="E236" s="316"/>
      <c r="F236" s="316"/>
      <c r="G236" s="316"/>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316"/>
      <c r="D237" s="316"/>
      <c r="E237" s="316"/>
      <c r="F237" s="316"/>
      <c r="G237" s="316"/>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316"/>
      <c r="D238" s="316"/>
      <c r="E238" s="316"/>
      <c r="F238" s="316"/>
      <c r="G238" s="316"/>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316"/>
      <c r="D239" s="316"/>
      <c r="E239" s="316"/>
      <c r="F239" s="316"/>
      <c r="G239" s="316"/>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316"/>
      <c r="D240" s="316"/>
      <c r="E240" s="316"/>
      <c r="F240" s="316"/>
      <c r="G240" s="316"/>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316"/>
      <c r="D241" s="316"/>
      <c r="E241" s="316"/>
      <c r="F241" s="316"/>
      <c r="G241" s="316"/>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316"/>
      <c r="D242" s="316"/>
      <c r="E242" s="316"/>
      <c r="F242" s="316"/>
      <c r="G242" s="316"/>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316"/>
      <c r="D243" s="316"/>
      <c r="E243" s="316"/>
      <c r="F243" s="316"/>
      <c r="G243" s="316"/>
      <c r="H243" s="1"/>
      <c r="I243" s="1"/>
      <c r="J243" s="1"/>
      <c r="K243" s="1"/>
      <c r="L243" s="1"/>
      <c r="M243" s="1"/>
      <c r="N243" s="1"/>
      <c r="O243" s="1"/>
      <c r="P243" s="1"/>
      <c r="Q243" s="1"/>
      <c r="R243" s="1"/>
      <c r="S243" s="1"/>
      <c r="T243" s="1"/>
      <c r="U243" s="1"/>
      <c r="V243" s="1"/>
      <c r="W243" s="1"/>
      <c r="X243" s="1"/>
      <c r="Y243" s="1"/>
      <c r="Z243" s="1"/>
    </row>
    <row r="244" spans="1:26" ht="13.5" customHeight="1">
      <c r="A244" s="1"/>
      <c r="B244" s="1"/>
      <c r="C244" s="316"/>
      <c r="D244" s="316"/>
      <c r="E244" s="316"/>
      <c r="F244" s="316"/>
      <c r="G244" s="316"/>
      <c r="H244" s="1"/>
      <c r="I244" s="1"/>
      <c r="J244" s="1"/>
      <c r="K244" s="1"/>
      <c r="L244" s="1"/>
      <c r="M244" s="1"/>
      <c r="N244" s="1"/>
      <c r="O244" s="1"/>
      <c r="P244" s="1"/>
      <c r="Q244" s="1"/>
      <c r="R244" s="1"/>
      <c r="S244" s="1"/>
      <c r="T244" s="1"/>
      <c r="U244" s="1"/>
      <c r="V244" s="1"/>
      <c r="W244" s="1"/>
      <c r="X244" s="1"/>
      <c r="Y244" s="1"/>
      <c r="Z244" s="1"/>
    </row>
    <row r="245" spans="1:26" ht="13.5" customHeight="1">
      <c r="A245" s="1"/>
      <c r="B245" s="1"/>
      <c r="C245" s="316"/>
      <c r="D245" s="316"/>
      <c r="E245" s="316"/>
      <c r="F245" s="316"/>
      <c r="G245" s="316"/>
      <c r="H245" s="1"/>
      <c r="I245" s="1"/>
      <c r="J245" s="1"/>
      <c r="K245" s="1"/>
      <c r="L245" s="1"/>
      <c r="M245" s="1"/>
      <c r="N245" s="1"/>
      <c r="O245" s="1"/>
      <c r="P245" s="1"/>
      <c r="Q245" s="1"/>
      <c r="R245" s="1"/>
      <c r="S245" s="1"/>
      <c r="T245" s="1"/>
      <c r="U245" s="1"/>
      <c r="V245" s="1"/>
      <c r="W245" s="1"/>
      <c r="X245" s="1"/>
      <c r="Y245" s="1"/>
      <c r="Z245" s="1"/>
    </row>
    <row r="246" spans="1:26" ht="13.5" customHeight="1">
      <c r="A246" s="1"/>
      <c r="B246" s="1"/>
      <c r="C246" s="316"/>
      <c r="D246" s="316"/>
      <c r="E246" s="316"/>
      <c r="F246" s="316"/>
      <c r="G246" s="316"/>
      <c r="H246" s="1"/>
      <c r="I246" s="1"/>
      <c r="J246" s="1"/>
      <c r="K246" s="1"/>
      <c r="L246" s="1"/>
      <c r="M246" s="1"/>
      <c r="N246" s="1"/>
      <c r="O246" s="1"/>
      <c r="P246" s="1"/>
      <c r="Q246" s="1"/>
      <c r="R246" s="1"/>
      <c r="S246" s="1"/>
      <c r="T246" s="1"/>
      <c r="U246" s="1"/>
      <c r="V246" s="1"/>
      <c r="W246" s="1"/>
      <c r="X246" s="1"/>
      <c r="Y246" s="1"/>
      <c r="Z246" s="1"/>
    </row>
    <row r="247" spans="1:26" ht="13.5" customHeight="1">
      <c r="A247" s="1"/>
      <c r="B247" s="1"/>
      <c r="C247" s="316"/>
      <c r="D247" s="316"/>
      <c r="E247" s="316"/>
      <c r="F247" s="316"/>
      <c r="G247" s="316"/>
      <c r="H247" s="1"/>
      <c r="I247" s="1"/>
      <c r="J247" s="1"/>
      <c r="K247" s="1"/>
      <c r="L247" s="1"/>
      <c r="M247" s="1"/>
      <c r="N247" s="1"/>
      <c r="O247" s="1"/>
      <c r="P247" s="1"/>
      <c r="Q247" s="1"/>
      <c r="R247" s="1"/>
      <c r="S247" s="1"/>
      <c r="T247" s="1"/>
      <c r="U247" s="1"/>
      <c r="V247" s="1"/>
      <c r="W247" s="1"/>
      <c r="X247" s="1"/>
      <c r="Y247" s="1"/>
      <c r="Z247" s="1"/>
    </row>
    <row r="248" spans="1:26" ht="13.5" customHeight="1">
      <c r="A248" s="1"/>
      <c r="B248" s="1"/>
      <c r="C248" s="316"/>
      <c r="D248" s="316"/>
      <c r="E248" s="316"/>
      <c r="F248" s="316"/>
      <c r="G248" s="316"/>
      <c r="H248" s="1"/>
      <c r="I248" s="1"/>
      <c r="J248" s="1"/>
      <c r="K248" s="1"/>
      <c r="L248" s="1"/>
      <c r="M248" s="1"/>
      <c r="N248" s="1"/>
      <c r="O248" s="1"/>
      <c r="P248" s="1"/>
      <c r="Q248" s="1"/>
      <c r="R248" s="1"/>
      <c r="S248" s="1"/>
      <c r="T248" s="1"/>
      <c r="U248" s="1"/>
      <c r="V248" s="1"/>
      <c r="W248" s="1"/>
      <c r="X248" s="1"/>
      <c r="Y248" s="1"/>
      <c r="Z248" s="1"/>
    </row>
    <row r="249" spans="1:26" ht="13.5" customHeight="1">
      <c r="A249" s="1"/>
      <c r="B249" s="1"/>
      <c r="C249" s="316"/>
      <c r="D249" s="316"/>
      <c r="E249" s="316"/>
      <c r="F249" s="316"/>
      <c r="G249" s="316"/>
      <c r="H249" s="1"/>
      <c r="I249" s="1"/>
      <c r="J249" s="1"/>
      <c r="K249" s="1"/>
      <c r="L249" s="1"/>
      <c r="M249" s="1"/>
      <c r="N249" s="1"/>
      <c r="O249" s="1"/>
      <c r="P249" s="1"/>
      <c r="Q249" s="1"/>
      <c r="R249" s="1"/>
      <c r="S249" s="1"/>
      <c r="T249" s="1"/>
      <c r="U249" s="1"/>
      <c r="V249" s="1"/>
      <c r="W249" s="1"/>
      <c r="X249" s="1"/>
      <c r="Y249" s="1"/>
      <c r="Z249" s="1"/>
    </row>
    <row r="250" spans="1:26" ht="13.5" customHeight="1">
      <c r="A250" s="1"/>
      <c r="B250" s="1"/>
      <c r="C250" s="316"/>
      <c r="D250" s="316"/>
      <c r="E250" s="316"/>
      <c r="F250" s="316"/>
      <c r="G250" s="316"/>
      <c r="H250" s="1"/>
      <c r="I250" s="1"/>
      <c r="J250" s="1"/>
      <c r="K250" s="1"/>
      <c r="L250" s="1"/>
      <c r="M250" s="1"/>
      <c r="N250" s="1"/>
      <c r="O250" s="1"/>
      <c r="P250" s="1"/>
      <c r="Q250" s="1"/>
      <c r="R250" s="1"/>
      <c r="S250" s="1"/>
      <c r="T250" s="1"/>
      <c r="U250" s="1"/>
      <c r="V250" s="1"/>
      <c r="W250" s="1"/>
      <c r="X250" s="1"/>
      <c r="Y250" s="1"/>
      <c r="Z250" s="1"/>
    </row>
    <row r="251" spans="1:26" ht="13.5" customHeight="1">
      <c r="A251" s="1"/>
      <c r="B251" s="1"/>
      <c r="C251" s="316"/>
      <c r="D251" s="316"/>
      <c r="E251" s="316"/>
      <c r="F251" s="316"/>
      <c r="G251" s="316"/>
      <c r="H251" s="1"/>
      <c r="I251" s="1"/>
      <c r="J251" s="1"/>
      <c r="K251" s="1"/>
      <c r="L251" s="1"/>
      <c r="M251" s="1"/>
      <c r="N251" s="1"/>
      <c r="O251" s="1"/>
      <c r="P251" s="1"/>
      <c r="Q251" s="1"/>
      <c r="R251" s="1"/>
      <c r="S251" s="1"/>
      <c r="T251" s="1"/>
      <c r="U251" s="1"/>
      <c r="V251" s="1"/>
      <c r="W251" s="1"/>
      <c r="X251" s="1"/>
      <c r="Y251" s="1"/>
      <c r="Z251" s="1"/>
    </row>
    <row r="252" spans="1:26" ht="13.5" customHeight="1">
      <c r="A252" s="1"/>
      <c r="B252" s="1"/>
      <c r="C252" s="316"/>
      <c r="D252" s="316"/>
      <c r="E252" s="316"/>
      <c r="F252" s="316"/>
      <c r="G252" s="316"/>
      <c r="H252" s="1"/>
      <c r="I252" s="1"/>
      <c r="J252" s="1"/>
      <c r="K252" s="1"/>
      <c r="L252" s="1"/>
      <c r="M252" s="1"/>
      <c r="N252" s="1"/>
      <c r="O252" s="1"/>
      <c r="P252" s="1"/>
      <c r="Q252" s="1"/>
      <c r="R252" s="1"/>
      <c r="S252" s="1"/>
      <c r="T252" s="1"/>
      <c r="U252" s="1"/>
      <c r="V252" s="1"/>
      <c r="W252" s="1"/>
      <c r="X252" s="1"/>
      <c r="Y252" s="1"/>
      <c r="Z252" s="1"/>
    </row>
    <row r="253" spans="1:26" ht="13.5" customHeight="1">
      <c r="A253" s="1"/>
      <c r="B253" s="1"/>
      <c r="C253" s="316"/>
      <c r="D253" s="316"/>
      <c r="E253" s="316"/>
      <c r="F253" s="316"/>
      <c r="G253" s="316"/>
      <c r="H253" s="1"/>
      <c r="I253" s="1"/>
      <c r="J253" s="1"/>
      <c r="K253" s="1"/>
      <c r="L253" s="1"/>
      <c r="M253" s="1"/>
      <c r="N253" s="1"/>
      <c r="O253" s="1"/>
      <c r="P253" s="1"/>
      <c r="Q253" s="1"/>
      <c r="R253" s="1"/>
      <c r="S253" s="1"/>
      <c r="T253" s="1"/>
      <c r="U253" s="1"/>
      <c r="V253" s="1"/>
      <c r="W253" s="1"/>
      <c r="X253" s="1"/>
      <c r="Y253" s="1"/>
      <c r="Z253" s="1"/>
    </row>
    <row r="254" spans="1:26" ht="13.5" customHeight="1">
      <c r="A254" s="1"/>
      <c r="B254" s="1"/>
      <c r="C254" s="316"/>
      <c r="D254" s="316"/>
      <c r="E254" s="316"/>
      <c r="F254" s="316"/>
      <c r="G254" s="316"/>
      <c r="H254" s="1"/>
      <c r="I254" s="1"/>
      <c r="J254" s="1"/>
      <c r="K254" s="1"/>
      <c r="L254" s="1"/>
      <c r="M254" s="1"/>
      <c r="N254" s="1"/>
      <c r="O254" s="1"/>
      <c r="P254" s="1"/>
      <c r="Q254" s="1"/>
      <c r="R254" s="1"/>
      <c r="S254" s="1"/>
      <c r="T254" s="1"/>
      <c r="U254" s="1"/>
      <c r="V254" s="1"/>
      <c r="W254" s="1"/>
      <c r="X254" s="1"/>
      <c r="Y254" s="1"/>
      <c r="Z254" s="1"/>
    </row>
    <row r="255" spans="1:26" ht="13.5" customHeight="1">
      <c r="A255" s="1"/>
      <c r="B255" s="1"/>
      <c r="C255" s="316"/>
      <c r="D255" s="316"/>
      <c r="E255" s="316"/>
      <c r="F255" s="316"/>
      <c r="G255" s="316"/>
      <c r="H255" s="1"/>
      <c r="I255" s="1"/>
      <c r="J255" s="1"/>
      <c r="K255" s="1"/>
      <c r="L255" s="1"/>
      <c r="M255" s="1"/>
      <c r="N255" s="1"/>
      <c r="O255" s="1"/>
      <c r="P255" s="1"/>
      <c r="Q255" s="1"/>
      <c r="R255" s="1"/>
      <c r="S255" s="1"/>
      <c r="T255" s="1"/>
      <c r="U255" s="1"/>
      <c r="V255" s="1"/>
      <c r="W255" s="1"/>
      <c r="X255" s="1"/>
      <c r="Y255" s="1"/>
      <c r="Z255" s="1"/>
    </row>
    <row r="256" spans="1:26" ht="13.5" customHeight="1">
      <c r="A256" s="1"/>
      <c r="B256" s="1"/>
      <c r="C256" s="316"/>
      <c r="D256" s="316"/>
      <c r="E256" s="316"/>
      <c r="F256" s="316"/>
      <c r="G256" s="316"/>
      <c r="H256" s="1"/>
      <c r="I256" s="1"/>
      <c r="J256" s="1"/>
      <c r="K256" s="1"/>
      <c r="L256" s="1"/>
      <c r="M256" s="1"/>
      <c r="N256" s="1"/>
      <c r="O256" s="1"/>
      <c r="P256" s="1"/>
      <c r="Q256" s="1"/>
      <c r="R256" s="1"/>
      <c r="S256" s="1"/>
      <c r="T256" s="1"/>
      <c r="U256" s="1"/>
      <c r="V256" s="1"/>
      <c r="W256" s="1"/>
      <c r="X256" s="1"/>
      <c r="Y256" s="1"/>
      <c r="Z256" s="1"/>
    </row>
    <row r="257" spans="1:26" ht="13.5" customHeight="1">
      <c r="A257" s="1"/>
      <c r="B257" s="1"/>
      <c r="C257" s="316"/>
      <c r="D257" s="316"/>
      <c r="E257" s="316"/>
      <c r="F257" s="316"/>
      <c r="G257" s="316"/>
      <c r="H257" s="1"/>
      <c r="I257" s="1"/>
      <c r="J257" s="1"/>
      <c r="K257" s="1"/>
      <c r="L257" s="1"/>
      <c r="M257" s="1"/>
      <c r="N257" s="1"/>
      <c r="O257" s="1"/>
      <c r="P257" s="1"/>
      <c r="Q257" s="1"/>
      <c r="R257" s="1"/>
      <c r="S257" s="1"/>
      <c r="T257" s="1"/>
      <c r="U257" s="1"/>
      <c r="V257" s="1"/>
      <c r="W257" s="1"/>
      <c r="X257" s="1"/>
      <c r="Y257" s="1"/>
      <c r="Z257" s="1"/>
    </row>
    <row r="258" spans="1:26" ht="13.5" customHeight="1">
      <c r="A258" s="1"/>
      <c r="B258" s="1"/>
      <c r="C258" s="316"/>
      <c r="D258" s="316"/>
      <c r="E258" s="316"/>
      <c r="F258" s="316"/>
      <c r="G258" s="316"/>
      <c r="H258" s="1"/>
      <c r="I258" s="1"/>
      <c r="J258" s="1"/>
      <c r="K258" s="1"/>
      <c r="L258" s="1"/>
      <c r="M258" s="1"/>
      <c r="N258" s="1"/>
      <c r="O258" s="1"/>
      <c r="P258" s="1"/>
      <c r="Q258" s="1"/>
      <c r="R258" s="1"/>
      <c r="S258" s="1"/>
      <c r="T258" s="1"/>
      <c r="U258" s="1"/>
      <c r="V258" s="1"/>
      <c r="W258" s="1"/>
      <c r="X258" s="1"/>
      <c r="Y258" s="1"/>
      <c r="Z258" s="1"/>
    </row>
    <row r="259" spans="1:26" ht="13.5" customHeight="1">
      <c r="A259" s="1"/>
      <c r="B259" s="1"/>
      <c r="C259" s="316"/>
      <c r="D259" s="316"/>
      <c r="E259" s="316"/>
      <c r="F259" s="316"/>
      <c r="G259" s="316"/>
      <c r="H259" s="1"/>
      <c r="I259" s="1"/>
      <c r="J259" s="1"/>
      <c r="K259" s="1"/>
      <c r="L259" s="1"/>
      <c r="M259" s="1"/>
      <c r="N259" s="1"/>
      <c r="O259" s="1"/>
      <c r="P259" s="1"/>
      <c r="Q259" s="1"/>
      <c r="R259" s="1"/>
      <c r="S259" s="1"/>
      <c r="T259" s="1"/>
      <c r="U259" s="1"/>
      <c r="V259" s="1"/>
      <c r="W259" s="1"/>
      <c r="X259" s="1"/>
      <c r="Y259" s="1"/>
      <c r="Z259" s="1"/>
    </row>
    <row r="260" spans="1:26" ht="13.5" customHeight="1">
      <c r="A260" s="1"/>
      <c r="B260" s="1"/>
      <c r="C260" s="316"/>
      <c r="D260" s="316"/>
      <c r="E260" s="316"/>
      <c r="F260" s="316"/>
      <c r="G260" s="316"/>
      <c r="H260" s="1"/>
      <c r="I260" s="1"/>
      <c r="J260" s="1"/>
      <c r="K260" s="1"/>
      <c r="L260" s="1"/>
      <c r="M260" s="1"/>
      <c r="N260" s="1"/>
      <c r="O260" s="1"/>
      <c r="P260" s="1"/>
      <c r="Q260" s="1"/>
      <c r="R260" s="1"/>
      <c r="S260" s="1"/>
      <c r="T260" s="1"/>
      <c r="U260" s="1"/>
      <c r="V260" s="1"/>
      <c r="W260" s="1"/>
      <c r="X260" s="1"/>
      <c r="Y260" s="1"/>
      <c r="Z260" s="1"/>
    </row>
    <row r="261" spans="1:26" ht="13.5" customHeight="1">
      <c r="A261" s="1"/>
      <c r="B261" s="1"/>
      <c r="C261" s="316"/>
      <c r="D261" s="316"/>
      <c r="E261" s="316"/>
      <c r="F261" s="316"/>
      <c r="G261" s="316"/>
      <c r="H261" s="1"/>
      <c r="I261" s="1"/>
      <c r="J261" s="1"/>
      <c r="K261" s="1"/>
      <c r="L261" s="1"/>
      <c r="M261" s="1"/>
      <c r="N261" s="1"/>
      <c r="O261" s="1"/>
      <c r="P261" s="1"/>
      <c r="Q261" s="1"/>
      <c r="R261" s="1"/>
      <c r="S261" s="1"/>
      <c r="T261" s="1"/>
      <c r="U261" s="1"/>
      <c r="V261" s="1"/>
      <c r="W261" s="1"/>
      <c r="X261" s="1"/>
      <c r="Y261" s="1"/>
      <c r="Z261" s="1"/>
    </row>
    <row r="262" spans="1:26" ht="13.5" customHeight="1">
      <c r="A262" s="1"/>
      <c r="B262" s="1"/>
      <c r="C262" s="316"/>
      <c r="D262" s="316"/>
      <c r="E262" s="316"/>
      <c r="F262" s="316"/>
      <c r="G262" s="316"/>
      <c r="H262" s="1"/>
      <c r="I262" s="1"/>
      <c r="J262" s="1"/>
      <c r="K262" s="1"/>
      <c r="L262" s="1"/>
      <c r="M262" s="1"/>
      <c r="N262" s="1"/>
      <c r="O262" s="1"/>
      <c r="P262" s="1"/>
      <c r="Q262" s="1"/>
      <c r="R262" s="1"/>
      <c r="S262" s="1"/>
      <c r="T262" s="1"/>
      <c r="U262" s="1"/>
      <c r="V262" s="1"/>
      <c r="W262" s="1"/>
      <c r="X262" s="1"/>
      <c r="Y262" s="1"/>
      <c r="Z262" s="1"/>
    </row>
    <row r="263" spans="1:26" ht="13.5" customHeight="1">
      <c r="A263" s="1"/>
      <c r="B263" s="1"/>
      <c r="C263" s="316"/>
      <c r="D263" s="316"/>
      <c r="E263" s="316"/>
      <c r="F263" s="316"/>
      <c r="G263" s="316"/>
      <c r="H263" s="1"/>
      <c r="I263" s="1"/>
      <c r="J263" s="1"/>
      <c r="K263" s="1"/>
      <c r="L263" s="1"/>
      <c r="M263" s="1"/>
      <c r="N263" s="1"/>
      <c r="O263" s="1"/>
      <c r="P263" s="1"/>
      <c r="Q263" s="1"/>
      <c r="R263" s="1"/>
      <c r="S263" s="1"/>
      <c r="T263" s="1"/>
      <c r="U263" s="1"/>
      <c r="V263" s="1"/>
      <c r="W263" s="1"/>
      <c r="X263" s="1"/>
      <c r="Y263" s="1"/>
      <c r="Z263" s="1"/>
    </row>
    <row r="264" spans="1:26" ht="13.5" customHeight="1">
      <c r="A264" s="1"/>
      <c r="B264" s="1"/>
      <c r="C264" s="316"/>
      <c r="D264" s="316"/>
      <c r="E264" s="316"/>
      <c r="F264" s="316"/>
      <c r="G264" s="316"/>
      <c r="H264" s="1"/>
      <c r="I264" s="1"/>
      <c r="J264" s="1"/>
      <c r="K264" s="1"/>
      <c r="L264" s="1"/>
      <c r="M264" s="1"/>
      <c r="N264" s="1"/>
      <c r="O264" s="1"/>
      <c r="P264" s="1"/>
      <c r="Q264" s="1"/>
      <c r="R264" s="1"/>
      <c r="S264" s="1"/>
      <c r="T264" s="1"/>
      <c r="U264" s="1"/>
      <c r="V264" s="1"/>
      <c r="W264" s="1"/>
      <c r="X264" s="1"/>
      <c r="Y264" s="1"/>
      <c r="Z264" s="1"/>
    </row>
    <row r="265" spans="1:26" ht="13.5" customHeight="1">
      <c r="A265" s="1"/>
      <c r="B265" s="1"/>
      <c r="C265" s="316"/>
      <c r="D265" s="316"/>
      <c r="E265" s="316"/>
      <c r="F265" s="316"/>
      <c r="G265" s="316"/>
      <c r="H265" s="1"/>
      <c r="I265" s="1"/>
      <c r="J265" s="1"/>
      <c r="K265" s="1"/>
      <c r="L265" s="1"/>
      <c r="M265" s="1"/>
      <c r="N265" s="1"/>
      <c r="O265" s="1"/>
      <c r="P265" s="1"/>
      <c r="Q265" s="1"/>
      <c r="R265" s="1"/>
      <c r="S265" s="1"/>
      <c r="T265" s="1"/>
      <c r="U265" s="1"/>
      <c r="V265" s="1"/>
      <c r="W265" s="1"/>
      <c r="X265" s="1"/>
      <c r="Y265" s="1"/>
      <c r="Z265" s="1"/>
    </row>
    <row r="266" spans="1:26" ht="13.5" customHeight="1">
      <c r="A266" s="1"/>
      <c r="B266" s="1"/>
      <c r="C266" s="316"/>
      <c r="D266" s="316"/>
      <c r="E266" s="316"/>
      <c r="F266" s="316"/>
      <c r="G266" s="316"/>
      <c r="H266" s="1"/>
      <c r="I266" s="1"/>
      <c r="J266" s="1"/>
      <c r="K266" s="1"/>
      <c r="L266" s="1"/>
      <c r="M266" s="1"/>
      <c r="N266" s="1"/>
      <c r="O266" s="1"/>
      <c r="P266" s="1"/>
      <c r="Q266" s="1"/>
      <c r="R266" s="1"/>
      <c r="S266" s="1"/>
      <c r="T266" s="1"/>
      <c r="U266" s="1"/>
      <c r="V266" s="1"/>
      <c r="W266" s="1"/>
      <c r="X266" s="1"/>
      <c r="Y266" s="1"/>
      <c r="Z266" s="1"/>
    </row>
    <row r="267" spans="1:26" ht="13.5" customHeight="1">
      <c r="A267" s="1"/>
      <c r="B267" s="1"/>
      <c r="C267" s="316"/>
      <c r="D267" s="316"/>
      <c r="E267" s="316"/>
      <c r="F267" s="316"/>
      <c r="G267" s="316"/>
      <c r="H267" s="1"/>
      <c r="I267" s="1"/>
      <c r="J267" s="1"/>
      <c r="K267" s="1"/>
      <c r="L267" s="1"/>
      <c r="M267" s="1"/>
      <c r="N267" s="1"/>
      <c r="O267" s="1"/>
      <c r="P267" s="1"/>
      <c r="Q267" s="1"/>
      <c r="R267" s="1"/>
      <c r="S267" s="1"/>
      <c r="T267" s="1"/>
      <c r="U267" s="1"/>
      <c r="V267" s="1"/>
      <c r="W267" s="1"/>
      <c r="X267" s="1"/>
      <c r="Y267" s="1"/>
      <c r="Z267" s="1"/>
    </row>
    <row r="268" spans="1:26" ht="13.5" customHeight="1">
      <c r="A268" s="1"/>
      <c r="B268" s="1"/>
      <c r="C268" s="316"/>
      <c r="D268" s="316"/>
      <c r="E268" s="316"/>
      <c r="F268" s="316"/>
      <c r="G268" s="316"/>
      <c r="H268" s="1"/>
      <c r="I268" s="1"/>
      <c r="J268" s="1"/>
      <c r="K268" s="1"/>
      <c r="L268" s="1"/>
      <c r="M268" s="1"/>
      <c r="N268" s="1"/>
      <c r="O268" s="1"/>
      <c r="P268" s="1"/>
      <c r="Q268" s="1"/>
      <c r="R268" s="1"/>
      <c r="S268" s="1"/>
      <c r="T268" s="1"/>
      <c r="U268" s="1"/>
      <c r="V268" s="1"/>
      <c r="W268" s="1"/>
      <c r="X268" s="1"/>
      <c r="Y268" s="1"/>
      <c r="Z268" s="1"/>
    </row>
    <row r="269" spans="1:26" ht="13.5" customHeight="1">
      <c r="A269" s="1"/>
      <c r="B269" s="1"/>
      <c r="C269" s="316"/>
      <c r="D269" s="316"/>
      <c r="E269" s="316"/>
      <c r="F269" s="316"/>
      <c r="G269" s="316"/>
      <c r="H269" s="1"/>
      <c r="I269" s="1"/>
      <c r="J269" s="1"/>
      <c r="K269" s="1"/>
      <c r="L269" s="1"/>
      <c r="M269" s="1"/>
      <c r="N269" s="1"/>
      <c r="O269" s="1"/>
      <c r="P269" s="1"/>
      <c r="Q269" s="1"/>
      <c r="R269" s="1"/>
      <c r="S269" s="1"/>
      <c r="T269" s="1"/>
      <c r="U269" s="1"/>
      <c r="V269" s="1"/>
      <c r="W269" s="1"/>
      <c r="X269" s="1"/>
      <c r="Y269" s="1"/>
      <c r="Z269" s="1"/>
    </row>
    <row r="270" spans="1:26" ht="13.5" customHeight="1">
      <c r="A270" s="1"/>
      <c r="B270" s="1"/>
      <c r="C270" s="316"/>
      <c r="D270" s="316"/>
      <c r="E270" s="316"/>
      <c r="F270" s="316"/>
      <c r="G270" s="316"/>
      <c r="H270" s="1"/>
      <c r="I270" s="1"/>
      <c r="J270" s="1"/>
      <c r="K270" s="1"/>
      <c r="L270" s="1"/>
      <c r="M270" s="1"/>
      <c r="N270" s="1"/>
      <c r="O270" s="1"/>
      <c r="P270" s="1"/>
      <c r="Q270" s="1"/>
      <c r="R270" s="1"/>
      <c r="S270" s="1"/>
      <c r="T270" s="1"/>
      <c r="U270" s="1"/>
      <c r="V270" s="1"/>
      <c r="W270" s="1"/>
      <c r="X270" s="1"/>
      <c r="Y270" s="1"/>
      <c r="Z270" s="1"/>
    </row>
    <row r="271" spans="1:26" ht="13.5" customHeight="1">
      <c r="A271" s="1"/>
      <c r="B271" s="1"/>
      <c r="C271" s="316"/>
      <c r="D271" s="316"/>
      <c r="E271" s="316"/>
      <c r="F271" s="316"/>
      <c r="G271" s="316"/>
      <c r="H271" s="1"/>
      <c r="I271" s="1"/>
      <c r="J271" s="1"/>
      <c r="K271" s="1"/>
      <c r="L271" s="1"/>
      <c r="M271" s="1"/>
      <c r="N271" s="1"/>
      <c r="O271" s="1"/>
      <c r="P271" s="1"/>
      <c r="Q271" s="1"/>
      <c r="R271" s="1"/>
      <c r="S271" s="1"/>
      <c r="T271" s="1"/>
      <c r="U271" s="1"/>
      <c r="V271" s="1"/>
      <c r="W271" s="1"/>
      <c r="X271" s="1"/>
      <c r="Y271" s="1"/>
      <c r="Z271" s="1"/>
    </row>
    <row r="272" spans="1:26" ht="13.5" customHeight="1">
      <c r="A272" s="1"/>
      <c r="B272" s="1"/>
      <c r="C272" s="316"/>
      <c r="D272" s="316"/>
      <c r="E272" s="316"/>
      <c r="F272" s="316"/>
      <c r="G272" s="316"/>
      <c r="H272" s="1"/>
      <c r="I272" s="1"/>
      <c r="J272" s="1"/>
      <c r="K272" s="1"/>
      <c r="L272" s="1"/>
      <c r="M272" s="1"/>
      <c r="N272" s="1"/>
      <c r="O272" s="1"/>
      <c r="P272" s="1"/>
      <c r="Q272" s="1"/>
      <c r="R272" s="1"/>
      <c r="S272" s="1"/>
      <c r="T272" s="1"/>
      <c r="U272" s="1"/>
      <c r="V272" s="1"/>
      <c r="W272" s="1"/>
      <c r="X272" s="1"/>
      <c r="Y272" s="1"/>
      <c r="Z272" s="1"/>
    </row>
    <row r="273" spans="1:26" ht="13.5" customHeight="1">
      <c r="A273" s="1"/>
      <c r="B273" s="1"/>
      <c r="C273" s="316"/>
      <c r="D273" s="316"/>
      <c r="E273" s="316"/>
      <c r="F273" s="316"/>
      <c r="G273" s="316"/>
      <c r="H273" s="1"/>
      <c r="I273" s="1"/>
      <c r="J273" s="1"/>
      <c r="K273" s="1"/>
      <c r="L273" s="1"/>
      <c r="M273" s="1"/>
      <c r="N273" s="1"/>
      <c r="O273" s="1"/>
      <c r="P273" s="1"/>
      <c r="Q273" s="1"/>
      <c r="R273" s="1"/>
      <c r="S273" s="1"/>
      <c r="T273" s="1"/>
      <c r="U273" s="1"/>
      <c r="V273" s="1"/>
      <c r="W273" s="1"/>
      <c r="X273" s="1"/>
      <c r="Y273" s="1"/>
      <c r="Z273" s="1"/>
    </row>
    <row r="274" spans="1:26" ht="13.5" customHeight="1">
      <c r="A274" s="1"/>
      <c r="B274" s="1"/>
      <c r="C274" s="316"/>
      <c r="D274" s="316"/>
      <c r="E274" s="316"/>
      <c r="F274" s="316"/>
      <c r="G274" s="316"/>
      <c r="H274" s="1"/>
      <c r="I274" s="1"/>
      <c r="J274" s="1"/>
      <c r="K274" s="1"/>
      <c r="L274" s="1"/>
      <c r="M274" s="1"/>
      <c r="N274" s="1"/>
      <c r="O274" s="1"/>
      <c r="P274" s="1"/>
      <c r="Q274" s="1"/>
      <c r="R274" s="1"/>
      <c r="S274" s="1"/>
      <c r="T274" s="1"/>
      <c r="U274" s="1"/>
      <c r="V274" s="1"/>
      <c r="W274" s="1"/>
      <c r="X274" s="1"/>
      <c r="Y274" s="1"/>
      <c r="Z274" s="1"/>
    </row>
    <row r="275" spans="1:26" ht="13.5" customHeight="1">
      <c r="A275" s="1"/>
      <c r="B275" s="1"/>
      <c r="C275" s="316"/>
      <c r="D275" s="316"/>
      <c r="E275" s="316"/>
      <c r="F275" s="316"/>
      <c r="G275" s="316"/>
      <c r="H275" s="1"/>
      <c r="I275" s="1"/>
      <c r="J275" s="1"/>
      <c r="K275" s="1"/>
      <c r="L275" s="1"/>
      <c r="M275" s="1"/>
      <c r="N275" s="1"/>
      <c r="O275" s="1"/>
      <c r="P275" s="1"/>
      <c r="Q275" s="1"/>
      <c r="R275" s="1"/>
      <c r="S275" s="1"/>
      <c r="T275" s="1"/>
      <c r="U275" s="1"/>
      <c r="V275" s="1"/>
      <c r="W275" s="1"/>
      <c r="X275" s="1"/>
      <c r="Y275" s="1"/>
      <c r="Z275" s="1"/>
    </row>
    <row r="276" spans="1:26" ht="13.5" customHeight="1">
      <c r="A276" s="1"/>
      <c r="B276" s="1"/>
      <c r="C276" s="316"/>
      <c r="D276" s="316"/>
      <c r="E276" s="316"/>
      <c r="F276" s="316"/>
      <c r="G276" s="316"/>
      <c r="H276" s="1"/>
      <c r="I276" s="1"/>
      <c r="J276" s="1"/>
      <c r="K276" s="1"/>
      <c r="L276" s="1"/>
      <c r="M276" s="1"/>
      <c r="N276" s="1"/>
      <c r="O276" s="1"/>
      <c r="P276" s="1"/>
      <c r="Q276" s="1"/>
      <c r="R276" s="1"/>
      <c r="S276" s="1"/>
      <c r="T276" s="1"/>
      <c r="U276" s="1"/>
      <c r="V276" s="1"/>
      <c r="W276" s="1"/>
      <c r="X276" s="1"/>
      <c r="Y276" s="1"/>
      <c r="Z276" s="1"/>
    </row>
    <row r="277" spans="1:26" ht="13.5" customHeight="1">
      <c r="A277" s="1"/>
      <c r="B277" s="1"/>
      <c r="C277" s="316"/>
      <c r="D277" s="316"/>
      <c r="E277" s="316"/>
      <c r="F277" s="316"/>
      <c r="G277" s="316"/>
      <c r="H277" s="1"/>
      <c r="I277" s="1"/>
      <c r="J277" s="1"/>
      <c r="K277" s="1"/>
      <c r="L277" s="1"/>
      <c r="M277" s="1"/>
      <c r="N277" s="1"/>
      <c r="O277" s="1"/>
      <c r="P277" s="1"/>
      <c r="Q277" s="1"/>
      <c r="R277" s="1"/>
      <c r="S277" s="1"/>
      <c r="T277" s="1"/>
      <c r="U277" s="1"/>
      <c r="V277" s="1"/>
      <c r="W277" s="1"/>
      <c r="X277" s="1"/>
      <c r="Y277" s="1"/>
      <c r="Z277" s="1"/>
    </row>
    <row r="278" spans="1:26" ht="13.5" customHeight="1">
      <c r="A278" s="1"/>
      <c r="B278" s="1"/>
      <c r="C278" s="316"/>
      <c r="D278" s="316"/>
      <c r="E278" s="316"/>
      <c r="F278" s="316"/>
      <c r="G278" s="316"/>
      <c r="H278" s="1"/>
      <c r="I278" s="1"/>
      <c r="J278" s="1"/>
      <c r="K278" s="1"/>
      <c r="L278" s="1"/>
      <c r="M278" s="1"/>
      <c r="N278" s="1"/>
      <c r="O278" s="1"/>
      <c r="P278" s="1"/>
      <c r="Q278" s="1"/>
      <c r="R278" s="1"/>
      <c r="S278" s="1"/>
      <c r="T278" s="1"/>
      <c r="U278" s="1"/>
      <c r="V278" s="1"/>
      <c r="W278" s="1"/>
      <c r="X278" s="1"/>
      <c r="Y278" s="1"/>
      <c r="Z278" s="1"/>
    </row>
    <row r="279" spans="1:26" ht="13.5" customHeight="1">
      <c r="A279" s="1"/>
      <c r="B279" s="1"/>
      <c r="C279" s="316"/>
      <c r="D279" s="316"/>
      <c r="E279" s="316"/>
      <c r="F279" s="316"/>
      <c r="G279" s="316"/>
      <c r="H279" s="1"/>
      <c r="I279" s="1"/>
      <c r="J279" s="1"/>
      <c r="K279" s="1"/>
      <c r="L279" s="1"/>
      <c r="M279" s="1"/>
      <c r="N279" s="1"/>
      <c r="O279" s="1"/>
      <c r="P279" s="1"/>
      <c r="Q279" s="1"/>
      <c r="R279" s="1"/>
      <c r="S279" s="1"/>
      <c r="T279" s="1"/>
      <c r="U279" s="1"/>
      <c r="V279" s="1"/>
      <c r="W279" s="1"/>
      <c r="X279" s="1"/>
      <c r="Y279" s="1"/>
      <c r="Z279" s="1"/>
    </row>
    <row r="280" spans="1:26" ht="13.5" customHeight="1">
      <c r="A280" s="1"/>
      <c r="B280" s="1"/>
      <c r="C280" s="316"/>
      <c r="D280" s="316"/>
      <c r="E280" s="316"/>
      <c r="F280" s="316"/>
      <c r="G280" s="316"/>
      <c r="H280" s="1"/>
      <c r="I280" s="1"/>
      <c r="J280" s="1"/>
      <c r="K280" s="1"/>
      <c r="L280" s="1"/>
      <c r="M280" s="1"/>
      <c r="N280" s="1"/>
      <c r="O280" s="1"/>
      <c r="P280" s="1"/>
      <c r="Q280" s="1"/>
      <c r="R280" s="1"/>
      <c r="S280" s="1"/>
      <c r="T280" s="1"/>
      <c r="U280" s="1"/>
      <c r="V280" s="1"/>
      <c r="W280" s="1"/>
      <c r="X280" s="1"/>
      <c r="Y280" s="1"/>
      <c r="Z280" s="1"/>
    </row>
    <row r="281" spans="1:26" ht="13.5" customHeight="1">
      <c r="A281" s="1"/>
      <c r="B281" s="1"/>
      <c r="C281" s="316"/>
      <c r="D281" s="316"/>
      <c r="E281" s="316"/>
      <c r="F281" s="316"/>
      <c r="G281" s="316"/>
      <c r="H281" s="1"/>
      <c r="I281" s="1"/>
      <c r="J281" s="1"/>
      <c r="K281" s="1"/>
      <c r="L281" s="1"/>
      <c r="M281" s="1"/>
      <c r="N281" s="1"/>
      <c r="O281" s="1"/>
      <c r="P281" s="1"/>
      <c r="Q281" s="1"/>
      <c r="R281" s="1"/>
      <c r="S281" s="1"/>
      <c r="T281" s="1"/>
      <c r="U281" s="1"/>
      <c r="V281" s="1"/>
      <c r="W281" s="1"/>
      <c r="X281" s="1"/>
      <c r="Y281" s="1"/>
      <c r="Z281" s="1"/>
    </row>
    <row r="282" spans="1:26" ht="15.75" customHeight="1"/>
    <row r="283" spans="1:26" ht="15.75" customHeight="1"/>
    <row r="284" spans="1:26" ht="15.75" customHeight="1"/>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mergeCells count="3">
    <mergeCell ref="E4:F4"/>
    <mergeCell ref="B65:C65"/>
    <mergeCell ref="B74:C74"/>
  </mergeCells>
  <pageMargins left="0.75" right="0.75" top="1" bottom="1" header="0" footer="0"/>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000"/>
  <sheetViews>
    <sheetView showGridLines="0" workbookViewId="0">
      <selection activeCell="C8" sqref="C8"/>
    </sheetView>
  </sheetViews>
  <sheetFormatPr defaultColWidth="14.453125" defaultRowHeight="15" customHeight="1"/>
  <cols>
    <col min="1" max="1" width="2.08984375" customWidth="1"/>
    <col min="2" max="2" width="30.08984375" customWidth="1"/>
    <col min="3" max="3" width="12.7265625" customWidth="1"/>
    <col min="4" max="4" width="15.08984375" customWidth="1"/>
    <col min="5" max="5" width="24.81640625" customWidth="1"/>
    <col min="6" max="11" width="14.7265625" customWidth="1"/>
    <col min="12" max="12" width="2.81640625" customWidth="1"/>
    <col min="13" max="13" width="2.453125" hidden="1" customWidth="1"/>
    <col min="14" max="14" width="6" hidden="1" customWidth="1"/>
    <col min="15" max="15" width="8.08984375" hidden="1" customWidth="1"/>
    <col min="16" max="20" width="7.08984375" hidden="1" customWidth="1"/>
    <col min="21" max="22" width="2.81640625" hidden="1" customWidth="1"/>
    <col min="23" max="30" width="9" hidden="1" customWidth="1"/>
  </cols>
  <sheetData>
    <row r="1" spans="1:31" ht="18"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1" ht="13.5" customHeight="1">
      <c r="A2" s="1"/>
      <c r="B2" s="181" t="s">
        <v>20</v>
      </c>
      <c r="C2" s="182">
        <f>Summary!F18</f>
        <v>119.28</v>
      </c>
      <c r="D2" s="1"/>
      <c r="E2" s="1"/>
      <c r="F2" s="1"/>
      <c r="G2" s="685" t="s">
        <v>61</v>
      </c>
      <c r="H2" s="686"/>
      <c r="I2" s="686"/>
      <c r="J2" s="686"/>
      <c r="K2" s="687"/>
      <c r="L2" s="1"/>
      <c r="M2" s="1"/>
      <c r="N2" s="1"/>
      <c r="O2" s="1"/>
      <c r="P2" s="1"/>
      <c r="Q2" s="1"/>
      <c r="R2" s="1"/>
      <c r="S2" s="1"/>
      <c r="T2" s="1"/>
      <c r="U2" s="1"/>
      <c r="V2" s="1"/>
      <c r="W2" s="1"/>
      <c r="X2" s="1"/>
      <c r="Y2" s="1"/>
      <c r="Z2" s="1"/>
      <c r="AA2" s="1"/>
      <c r="AB2" s="1"/>
      <c r="AC2" s="1"/>
      <c r="AD2" s="1"/>
    </row>
    <row r="3" spans="1:31" ht="13.5" customHeight="1">
      <c r="A3" s="1"/>
      <c r="B3" s="1"/>
      <c r="C3" s="1"/>
      <c r="D3" s="1"/>
      <c r="E3" s="1"/>
      <c r="F3" s="1"/>
      <c r="G3" s="688"/>
      <c r="H3" s="689"/>
      <c r="I3" s="689"/>
      <c r="J3" s="689"/>
      <c r="K3" s="690"/>
      <c r="L3" s="1"/>
      <c r="M3" s="1"/>
      <c r="N3" s="1"/>
      <c r="O3" s="1"/>
      <c r="P3" s="1"/>
      <c r="Q3" s="1"/>
      <c r="R3" s="1"/>
      <c r="S3" s="1"/>
      <c r="T3" s="1"/>
      <c r="U3" s="1"/>
      <c r="V3" s="1"/>
      <c r="W3" s="1"/>
      <c r="X3" s="1"/>
      <c r="Y3" s="1"/>
      <c r="Z3" s="1"/>
      <c r="AA3" s="1"/>
      <c r="AB3" s="1"/>
      <c r="AC3" s="1"/>
      <c r="AD3" s="1"/>
    </row>
    <row r="4" spans="1:31" ht="13.5" customHeight="1">
      <c r="A4" s="1"/>
      <c r="B4" s="691" t="s">
        <v>116</v>
      </c>
      <c r="C4" s="618"/>
      <c r="D4" s="1"/>
      <c r="E4" s="1"/>
      <c r="F4" s="1"/>
      <c r="G4" s="183">
        <f>IS!H23</f>
        <v>0.18631711778980797</v>
      </c>
      <c r="H4" s="184">
        <v>5.5E-2</v>
      </c>
      <c r="I4" s="184">
        <v>0.06</v>
      </c>
      <c r="J4" s="184">
        <v>7.0000000000000007E-2</v>
      </c>
      <c r="K4" s="184">
        <v>0.06</v>
      </c>
      <c r="L4" s="1"/>
      <c r="M4" s="692" t="s">
        <v>117</v>
      </c>
      <c r="N4" s="693"/>
      <c r="O4" s="693"/>
      <c r="P4" s="693"/>
      <c r="Q4" s="693"/>
      <c r="R4" s="693"/>
      <c r="S4" s="693"/>
      <c r="T4" s="693"/>
      <c r="U4" s="693"/>
      <c r="V4" s="693"/>
      <c r="W4" s="693"/>
      <c r="X4" s="693"/>
      <c r="Y4" s="693"/>
      <c r="Z4" s="693"/>
      <c r="AA4" s="693"/>
      <c r="AB4" s="693"/>
      <c r="AC4" s="693"/>
      <c r="AD4" s="694"/>
    </row>
    <row r="5" spans="1:31" ht="13.5" customHeight="1">
      <c r="A5" s="1"/>
      <c r="B5" s="185" t="s">
        <v>118</v>
      </c>
      <c r="C5" s="186">
        <v>0.03</v>
      </c>
      <c r="D5" s="1"/>
      <c r="E5" s="1"/>
      <c r="F5" s="1"/>
      <c r="G5" s="1"/>
      <c r="H5" s="1"/>
      <c r="I5" s="1"/>
      <c r="J5" s="1"/>
      <c r="K5" s="1"/>
      <c r="L5" s="1"/>
      <c r="M5" s="695"/>
      <c r="N5" s="696"/>
      <c r="O5" s="696"/>
      <c r="P5" s="696"/>
      <c r="Q5" s="696"/>
      <c r="R5" s="696"/>
      <c r="S5" s="696"/>
      <c r="T5" s="696"/>
      <c r="U5" s="696"/>
      <c r="V5" s="696"/>
      <c r="W5" s="696"/>
      <c r="X5" s="696"/>
      <c r="Y5" s="696"/>
      <c r="Z5" s="696"/>
      <c r="AA5" s="696"/>
      <c r="AB5" s="696"/>
      <c r="AC5" s="696"/>
      <c r="AD5" s="697"/>
    </row>
    <row r="6" spans="1:31" ht="15" customHeight="1">
      <c r="A6" s="1"/>
      <c r="B6" s="1"/>
      <c r="C6" s="1"/>
      <c r="D6" s="1"/>
      <c r="E6" s="187" t="s">
        <v>119</v>
      </c>
      <c r="F6" s="188"/>
      <c r="G6" s="189"/>
      <c r="H6" s="189"/>
      <c r="I6" s="189"/>
      <c r="J6" s="189"/>
      <c r="K6" s="190"/>
      <c r="L6" s="1"/>
      <c r="M6" s="1"/>
      <c r="N6" s="1"/>
      <c r="O6" s="44"/>
      <c r="P6" s="44"/>
      <c r="Q6" s="44"/>
      <c r="R6" s="44"/>
      <c r="S6" s="44"/>
      <c r="T6" s="44"/>
      <c r="U6" s="44"/>
      <c r="V6" s="1"/>
      <c r="W6" s="1"/>
      <c r="X6" s="1"/>
      <c r="Y6" s="1"/>
      <c r="Z6" s="1"/>
      <c r="AA6" s="1"/>
      <c r="AB6" s="1"/>
      <c r="AC6" s="1"/>
      <c r="AD6" s="1"/>
    </row>
    <row r="7" spans="1:31" ht="15" customHeight="1">
      <c r="A7" s="1"/>
      <c r="B7" s="191" t="s">
        <v>120</v>
      </c>
      <c r="C7" s="192">
        <f>'Quarterly Forecast'!Z28</f>
        <v>933.49368000000004</v>
      </c>
      <c r="D7" s="1"/>
      <c r="E7" s="193" t="s">
        <v>121</v>
      </c>
      <c r="F7" s="51">
        <f>IS!G7</f>
        <v>2020</v>
      </c>
      <c r="G7" s="194">
        <f t="shared" ref="G7:K7" si="0">F7+1</f>
        <v>2021</v>
      </c>
      <c r="H7" s="194">
        <f t="shared" si="0"/>
        <v>2022</v>
      </c>
      <c r="I7" s="194">
        <f t="shared" si="0"/>
        <v>2023</v>
      </c>
      <c r="J7" s="194">
        <f t="shared" si="0"/>
        <v>2024</v>
      </c>
      <c r="K7" s="195">
        <f t="shared" si="0"/>
        <v>2025</v>
      </c>
      <c r="L7" s="1"/>
      <c r="M7" s="196"/>
      <c r="N7" s="197"/>
      <c r="O7" s="198"/>
      <c r="P7" s="198"/>
      <c r="Q7" s="198"/>
      <c r="R7" s="198"/>
      <c r="S7" s="198"/>
      <c r="T7" s="198"/>
      <c r="U7" s="199"/>
      <c r="V7" s="196"/>
      <c r="W7" s="197"/>
      <c r="X7" s="198"/>
      <c r="Y7" s="198"/>
      <c r="Z7" s="198"/>
      <c r="AA7" s="198"/>
      <c r="AB7" s="198"/>
      <c r="AC7" s="198"/>
      <c r="AD7" s="199"/>
    </row>
    <row r="8" spans="1:31" ht="13.5" customHeight="1">
      <c r="A8" s="1"/>
      <c r="B8" s="200" t="s">
        <v>122</v>
      </c>
      <c r="C8" s="201">
        <f>C2*C7</f>
        <v>111347.1261504</v>
      </c>
      <c r="D8" s="1"/>
      <c r="E8" s="193" t="s">
        <v>123</v>
      </c>
      <c r="F8" s="50">
        <f>IS!G8</f>
        <v>48212.999999999993</v>
      </c>
      <c r="G8" s="202">
        <f t="shared" ref="G8:K8" si="1">F8*(1+G4)</f>
        <v>57195.907200000001</v>
      </c>
      <c r="H8" s="202">
        <f t="shared" si="1"/>
        <v>60341.682095999997</v>
      </c>
      <c r="I8" s="202">
        <f t="shared" si="1"/>
        <v>63962.18302176</v>
      </c>
      <c r="J8" s="202">
        <f t="shared" si="1"/>
        <v>68439.535833283211</v>
      </c>
      <c r="K8" s="203">
        <f t="shared" si="1"/>
        <v>72545.907983280209</v>
      </c>
      <c r="L8" s="1"/>
      <c r="M8" s="204"/>
      <c r="N8" s="1"/>
      <c r="O8" s="44"/>
      <c r="P8" s="663">
        <f>G7</f>
        <v>2021</v>
      </c>
      <c r="Q8" s="664"/>
      <c r="R8" s="664"/>
      <c r="S8" s="664"/>
      <c r="T8" s="665"/>
      <c r="U8" s="205"/>
      <c r="V8" s="204"/>
      <c r="W8" s="1"/>
      <c r="X8" s="44"/>
      <c r="Y8" s="663">
        <f>H7</f>
        <v>2022</v>
      </c>
      <c r="Z8" s="664"/>
      <c r="AA8" s="664"/>
      <c r="AB8" s="664"/>
      <c r="AC8" s="665"/>
      <c r="AD8" s="205"/>
      <c r="AE8" s="596"/>
    </row>
    <row r="9" spans="1:31" ht="13.5" customHeight="1">
      <c r="A9" s="1"/>
      <c r="B9" s="206" t="s">
        <v>124</v>
      </c>
      <c r="C9" s="201">
        <f>BS!J43+BS!J44</f>
        <v>10869.234584923035</v>
      </c>
      <c r="D9" s="207"/>
      <c r="E9" s="193" t="s">
        <v>125</v>
      </c>
      <c r="F9" s="50">
        <f>IS!G13</f>
        <v>20404.583999999992</v>
      </c>
      <c r="G9" s="202">
        <f t="shared" ref="G9:H9" si="2">G$29*G8</f>
        <v>23182.903092282988</v>
      </c>
      <c r="H9" s="202">
        <f t="shared" si="2"/>
        <v>24457.962762358547</v>
      </c>
      <c r="I9" s="202">
        <f t="shared" ref="I9:K9" si="3">$I$29*I8</f>
        <v>25925.440528100062</v>
      </c>
      <c r="J9" s="202">
        <f t="shared" si="3"/>
        <v>27740.221365067071</v>
      </c>
      <c r="K9" s="203">
        <f t="shared" si="3"/>
        <v>29404.634646971099</v>
      </c>
      <c r="L9" s="1"/>
      <c r="M9" s="204"/>
      <c r="N9" s="1"/>
      <c r="O9" s="44"/>
      <c r="P9" s="669" t="str">
        <f>$E$28</f>
        <v>Depreciation as a % of Sales</v>
      </c>
      <c r="Q9" s="670"/>
      <c r="R9" s="670"/>
      <c r="S9" s="670"/>
      <c r="T9" s="671"/>
      <c r="U9" s="205"/>
      <c r="V9" s="204"/>
      <c r="W9" s="1"/>
      <c r="X9" s="44"/>
      <c r="Y9" s="669" t="str">
        <f>$E$28</f>
        <v>Depreciation as a % of Sales</v>
      </c>
      <c r="Z9" s="670"/>
      <c r="AA9" s="670"/>
      <c r="AB9" s="670"/>
      <c r="AC9" s="671"/>
      <c r="AD9" s="205"/>
      <c r="AE9" s="596"/>
    </row>
    <row r="10" spans="1:31" ht="13.5" customHeight="1">
      <c r="A10" s="1"/>
      <c r="B10" s="191" t="s">
        <v>126</v>
      </c>
      <c r="C10" s="208">
        <v>1.01</v>
      </c>
      <c r="D10" s="209"/>
      <c r="E10" s="193" t="s">
        <v>127</v>
      </c>
      <c r="F10" s="50">
        <f>F9*(1-$C$18)</f>
        <v>18338.651387789181</v>
      </c>
      <c r="G10" s="202">
        <f t="shared" ref="G10:K10" si="4">G9*(1-$C$18)</f>
        <v>20835.669963488483</v>
      </c>
      <c r="H10" s="202">
        <f t="shared" si="4"/>
        <v>21981.631811480343</v>
      </c>
      <c r="I10" s="202">
        <f t="shared" si="4"/>
        <v>23300.529720169165</v>
      </c>
      <c r="J10" s="202">
        <f t="shared" si="4"/>
        <v>24931.566800581011</v>
      </c>
      <c r="K10" s="203">
        <f t="shared" si="4"/>
        <v>26427.460808615877</v>
      </c>
      <c r="L10" s="1"/>
      <c r="M10" s="204"/>
      <c r="N10" s="1"/>
      <c r="O10" s="210">
        <f>$F$25</f>
        <v>272.87205368716877</v>
      </c>
      <c r="P10" s="211"/>
      <c r="Q10" s="211"/>
      <c r="R10" s="211">
        <f>G28</f>
        <v>0.24232816875116675</v>
      </c>
      <c r="S10" s="211"/>
      <c r="T10" s="211"/>
      <c r="U10" s="205"/>
      <c r="V10" s="204"/>
      <c r="W10" s="1"/>
      <c r="X10" s="210">
        <f>$F$25</f>
        <v>272.87205368716877</v>
      </c>
      <c r="Y10" s="211"/>
      <c r="Z10" s="211"/>
      <c r="AA10" s="211"/>
      <c r="AB10" s="211"/>
      <c r="AC10" s="211"/>
      <c r="AD10" s="205"/>
      <c r="AE10" s="596"/>
    </row>
    <row r="11" spans="1:31" ht="13.5" customHeight="1">
      <c r="A11" s="1"/>
      <c r="B11" s="200" t="s">
        <v>128</v>
      </c>
      <c r="C11" s="212">
        <v>1.43E-2</v>
      </c>
      <c r="D11" s="1"/>
      <c r="E11" s="193" t="s">
        <v>129</v>
      </c>
      <c r="F11" s="50">
        <f>CF!G8</f>
        <v>11683.368</v>
      </c>
      <c r="G11" s="202">
        <f t="shared" ref="G11:H11" si="5">G8*G$28</f>
        <v>13860.179451837674</v>
      </c>
      <c r="H11" s="202">
        <f t="shared" si="5"/>
        <v>14622.489321688745</v>
      </c>
      <c r="I11" s="202">
        <f t="shared" ref="I11:K11" si="6">I8*$I$28</f>
        <v>15499.838680990069</v>
      </c>
      <c r="J11" s="202">
        <f t="shared" si="6"/>
        <v>16584.827388659378</v>
      </c>
      <c r="K11" s="203">
        <f t="shared" si="6"/>
        <v>17579.917031978941</v>
      </c>
      <c r="L11" s="1"/>
      <c r="M11" s="213"/>
      <c r="N11" s="666" t="s">
        <v>130</v>
      </c>
      <c r="O11" s="211"/>
      <c r="P11" s="214"/>
      <c r="Q11" s="214"/>
      <c r="R11" s="214"/>
      <c r="S11" s="214"/>
      <c r="T11" s="214"/>
      <c r="U11" s="205"/>
      <c r="V11" s="213"/>
      <c r="W11" s="666" t="str">
        <f>N11</f>
        <v>CAPEX</v>
      </c>
      <c r="X11" s="211"/>
      <c r="Y11" s="214"/>
      <c r="Z11" s="214"/>
      <c r="AA11" s="214"/>
      <c r="AB11" s="214"/>
      <c r="AC11" s="214"/>
      <c r="AD11" s="205"/>
      <c r="AE11" s="596"/>
    </row>
    <row r="12" spans="1:31" ht="13.5" customHeight="1">
      <c r="A12" s="1"/>
      <c r="B12" s="200" t="s">
        <v>131</v>
      </c>
      <c r="C12" s="600">
        <v>9.5000000000000001E-2</v>
      </c>
      <c r="D12" s="1"/>
      <c r="E12" s="193" t="s">
        <v>132</v>
      </c>
      <c r="F12" s="50">
        <f>CF!G80</f>
        <v>18260.603999999999</v>
      </c>
      <c r="G12" s="202">
        <f t="shared" ref="G12:H12" si="7">G$30*G8</f>
        <v>21662.86710638104</v>
      </c>
      <c r="H12" s="202">
        <f t="shared" si="7"/>
        <v>22854.324797231995</v>
      </c>
      <c r="I12" s="202">
        <f t="shared" ref="I12:K12" si="8">$I$30*I8</f>
        <v>24225.584285065914</v>
      </c>
      <c r="J12" s="202">
        <f t="shared" si="8"/>
        <v>25921.375185020534</v>
      </c>
      <c r="K12" s="203">
        <f t="shared" si="8"/>
        <v>27476.657696121769</v>
      </c>
      <c r="L12" s="1"/>
      <c r="M12" s="213"/>
      <c r="N12" s="667"/>
      <c r="O12" s="211"/>
      <c r="P12" s="214"/>
      <c r="Q12" s="215"/>
      <c r="R12" s="215"/>
      <c r="S12" s="215"/>
      <c r="T12" s="214"/>
      <c r="U12" s="205"/>
      <c r="V12" s="213"/>
      <c r="W12" s="667"/>
      <c r="X12" s="211"/>
      <c r="Y12" s="214"/>
      <c r="Z12" s="215"/>
      <c r="AA12" s="215"/>
      <c r="AB12" s="215"/>
      <c r="AC12" s="214"/>
      <c r="AD12" s="205"/>
      <c r="AE12" s="596"/>
    </row>
    <row r="13" spans="1:31" ht="13.5" customHeight="1">
      <c r="A13" s="1"/>
      <c r="B13" s="216" t="s">
        <v>133</v>
      </c>
      <c r="C13" s="217">
        <f>C11+(C10*C12)</f>
        <v>0.11025000000000001</v>
      </c>
      <c r="D13" s="1"/>
      <c r="E13" s="218" t="s">
        <v>134</v>
      </c>
      <c r="F13" s="53">
        <f>BS!I82</f>
        <v>-852.12000000000444</v>
      </c>
      <c r="G13" s="219">
        <f t="shared" ref="G13:H13" si="9">G8*G$31</f>
        <v>-976.21436110159266</v>
      </c>
      <c r="H13" s="219">
        <f t="shared" si="9"/>
        <v>-1029.9061509621802</v>
      </c>
      <c r="I13" s="219">
        <f t="shared" ref="I13:K13" si="10">I8*$I$31</f>
        <v>-1091.700520019911</v>
      </c>
      <c r="J13" s="219">
        <f t="shared" si="10"/>
        <v>-1168.1195564213049</v>
      </c>
      <c r="K13" s="220">
        <f t="shared" si="10"/>
        <v>-1238.2067298065833</v>
      </c>
      <c r="L13" s="1"/>
      <c r="M13" s="213"/>
      <c r="N13" s="667"/>
      <c r="O13" s="211">
        <f>G30</f>
        <v>0.3787485532947546</v>
      </c>
      <c r="P13" s="214"/>
      <c r="Q13" s="215"/>
      <c r="R13" s="221"/>
      <c r="S13" s="215"/>
      <c r="T13" s="214"/>
      <c r="U13" s="205"/>
      <c r="V13" s="213"/>
      <c r="W13" s="667"/>
      <c r="X13" s="211"/>
      <c r="Y13" s="214"/>
      <c r="Z13" s="215"/>
      <c r="AA13" s="221"/>
      <c r="AB13" s="215"/>
      <c r="AC13" s="214"/>
      <c r="AD13" s="205"/>
      <c r="AE13" s="596"/>
    </row>
    <row r="14" spans="1:31" ht="13.5" customHeight="1">
      <c r="A14" s="1"/>
      <c r="B14" s="191" t="s">
        <v>135</v>
      </c>
      <c r="C14" s="222">
        <f>C8/(C8+C9)</f>
        <v>0.91106563377008165</v>
      </c>
      <c r="D14" s="1"/>
      <c r="E14" s="223" t="s">
        <v>136</v>
      </c>
      <c r="F14" s="50">
        <f t="shared" ref="F14:K14" si="11">F10+F11-F12-F13</f>
        <v>12613.535387789185</v>
      </c>
      <c r="G14" s="202">
        <f t="shared" si="11"/>
        <v>14009.196670046709</v>
      </c>
      <c r="H14" s="202">
        <f t="shared" si="11"/>
        <v>14779.702486899272</v>
      </c>
      <c r="I14" s="202">
        <f t="shared" si="11"/>
        <v>15666.484636113231</v>
      </c>
      <c r="J14" s="202">
        <f t="shared" si="11"/>
        <v>16763.13856064116</v>
      </c>
      <c r="K14" s="203">
        <f t="shared" si="11"/>
        <v>17768.926874279634</v>
      </c>
      <c r="L14" s="1"/>
      <c r="M14" s="213"/>
      <c r="N14" s="667"/>
      <c r="O14" s="211"/>
      <c r="P14" s="214"/>
      <c r="Q14" s="215"/>
      <c r="R14" s="215"/>
      <c r="S14" s="215"/>
      <c r="T14" s="214"/>
      <c r="U14" s="205"/>
      <c r="V14" s="213"/>
      <c r="W14" s="667"/>
      <c r="X14" s="211"/>
      <c r="Y14" s="214"/>
      <c r="Z14" s="215"/>
      <c r="AA14" s="215"/>
      <c r="AB14" s="215"/>
      <c r="AC14" s="214"/>
      <c r="AD14" s="205"/>
    </row>
    <row r="15" spans="1:31" ht="13.5" customHeight="1">
      <c r="A15" s="1"/>
      <c r="B15" s="206" t="s">
        <v>137</v>
      </c>
      <c r="C15" s="224">
        <f>1-C14</f>
        <v>8.8934366229918349E-2</v>
      </c>
      <c r="D15" s="1"/>
      <c r="E15" s="193" t="s">
        <v>138</v>
      </c>
      <c r="F15" s="50"/>
      <c r="G15" s="202"/>
      <c r="H15" s="202"/>
      <c r="I15" s="202"/>
      <c r="J15" s="202"/>
      <c r="K15" s="203">
        <f>K14*(1+C5)/(C22-C5)</f>
        <v>254884.13938427519</v>
      </c>
      <c r="L15" s="1"/>
      <c r="M15" s="213"/>
      <c r="N15" s="668"/>
      <c r="O15" s="211"/>
      <c r="P15" s="214"/>
      <c r="Q15" s="214"/>
      <c r="R15" s="214"/>
      <c r="S15" s="214"/>
      <c r="T15" s="214"/>
      <c r="U15" s="205"/>
      <c r="V15" s="213"/>
      <c r="W15" s="668"/>
      <c r="X15" s="211"/>
      <c r="Y15" s="214"/>
      <c r="Z15" s="214"/>
      <c r="AA15" s="214"/>
      <c r="AB15" s="214"/>
      <c r="AC15" s="214"/>
      <c r="AD15" s="205"/>
    </row>
    <row r="16" spans="1:31" ht="12.75" customHeight="1">
      <c r="A16" s="1"/>
      <c r="B16" s="191" t="s">
        <v>139</v>
      </c>
      <c r="C16" s="601">
        <v>1.19</v>
      </c>
      <c r="D16" s="1"/>
      <c r="E16" s="223" t="s">
        <v>140</v>
      </c>
      <c r="F16" s="50"/>
      <c r="G16" s="202">
        <f t="shared" ref="G16:K16" si="12">SUM(G14:G15)</f>
        <v>14009.196670046709</v>
      </c>
      <c r="H16" s="202">
        <f t="shared" si="12"/>
        <v>14779.702486899272</v>
      </c>
      <c r="I16" s="202">
        <f t="shared" si="12"/>
        <v>15666.484636113231</v>
      </c>
      <c r="J16" s="202">
        <f t="shared" si="12"/>
        <v>16763.13856064116</v>
      </c>
      <c r="K16" s="203">
        <f t="shared" si="12"/>
        <v>272653.06625855481</v>
      </c>
      <c r="L16" s="1"/>
      <c r="M16" s="204"/>
      <c r="N16" s="1"/>
      <c r="O16" s="44"/>
      <c r="P16" s="44"/>
      <c r="Q16" s="44"/>
      <c r="R16" s="44"/>
      <c r="S16" s="44"/>
      <c r="T16" s="44"/>
      <c r="U16" s="205"/>
      <c r="V16" s="204"/>
      <c r="W16" s="1"/>
      <c r="X16" s="44"/>
      <c r="Y16" s="44"/>
      <c r="Z16" s="44"/>
      <c r="AA16" s="44"/>
      <c r="AB16" s="44"/>
      <c r="AC16" s="44"/>
      <c r="AD16" s="205"/>
    </row>
    <row r="17" spans="1:30" ht="12.75" customHeight="1">
      <c r="A17" s="1"/>
      <c r="B17" s="200" t="s">
        <v>141</v>
      </c>
      <c r="C17" s="224">
        <f>C16*C11</f>
        <v>1.7017000000000001E-2</v>
      </c>
      <c r="D17" s="1"/>
      <c r="E17" s="223"/>
      <c r="F17" s="50"/>
      <c r="G17" s="202"/>
      <c r="H17" s="202"/>
      <c r="I17" s="202"/>
      <c r="J17" s="202"/>
      <c r="K17" s="203"/>
      <c r="L17" s="1"/>
      <c r="M17" s="204"/>
      <c r="N17" s="1"/>
      <c r="O17" s="44"/>
      <c r="P17" s="44"/>
      <c r="Q17" s="44"/>
      <c r="R17" s="44"/>
      <c r="S17" s="44"/>
      <c r="T17" s="44"/>
      <c r="U17" s="205"/>
      <c r="V17" s="204"/>
      <c r="W17" s="1"/>
      <c r="X17" s="44"/>
      <c r="Y17" s="44"/>
      <c r="Z17" s="44"/>
      <c r="AA17" s="44"/>
      <c r="AB17" s="44"/>
      <c r="AC17" s="44"/>
      <c r="AD17" s="205"/>
    </row>
    <row r="18" spans="1:30" ht="13.5" customHeight="1">
      <c r="A18" s="1"/>
      <c r="B18" s="200" t="s">
        <v>142</v>
      </c>
      <c r="C18" s="225">
        <f>IS!H17/IS!H16</f>
        <v>0.10124845535742424</v>
      </c>
      <c r="D18" s="1"/>
      <c r="E18" s="193"/>
      <c r="F18" s="50"/>
      <c r="G18" s="50"/>
      <c r="H18" s="50"/>
      <c r="I18" s="50"/>
      <c r="J18" s="50"/>
      <c r="K18" s="226"/>
      <c r="L18" s="1"/>
      <c r="M18" s="204"/>
      <c r="N18" s="1"/>
      <c r="O18" s="44"/>
      <c r="P18" s="44"/>
      <c r="Q18" s="44"/>
      <c r="R18" s="44"/>
      <c r="S18" s="44"/>
      <c r="T18" s="44"/>
      <c r="U18" s="205"/>
      <c r="V18" s="204"/>
      <c r="W18" s="1"/>
      <c r="X18" s="44"/>
      <c r="Y18" s="44"/>
      <c r="Z18" s="44"/>
      <c r="AA18" s="44"/>
      <c r="AB18" s="44"/>
      <c r="AC18" s="44"/>
      <c r="AD18" s="205"/>
    </row>
    <row r="19" spans="1:30" ht="13.5" customHeight="1">
      <c r="A19" s="1"/>
      <c r="B19" s="216" t="s">
        <v>143</v>
      </c>
      <c r="C19" s="227">
        <f>(1-C18)*C17</f>
        <v>1.5294055035182713E-2</v>
      </c>
      <c r="D19" s="1"/>
      <c r="E19" s="223" t="s">
        <v>144</v>
      </c>
      <c r="F19" s="228">
        <f t="array" ref="F19">NPV(C22,G16:K16)</f>
        <v>215890.51057771768</v>
      </c>
      <c r="G19" s="50"/>
      <c r="H19" s="50"/>
      <c r="I19" s="50"/>
      <c r="J19" s="50"/>
      <c r="K19" s="226"/>
      <c r="L19" s="1"/>
      <c r="M19" s="204"/>
      <c r="N19" s="1"/>
      <c r="O19" s="44"/>
      <c r="P19" s="663">
        <f>P8</f>
        <v>2021</v>
      </c>
      <c r="Q19" s="664"/>
      <c r="R19" s="664"/>
      <c r="S19" s="664"/>
      <c r="T19" s="665"/>
      <c r="U19" s="205"/>
      <c r="V19" s="204"/>
      <c r="W19" s="1"/>
      <c r="X19" s="44"/>
      <c r="Y19" s="663">
        <f>Y8</f>
        <v>2022</v>
      </c>
      <c r="Z19" s="664"/>
      <c r="AA19" s="664"/>
      <c r="AB19" s="664"/>
      <c r="AC19" s="665"/>
      <c r="AD19" s="205"/>
    </row>
    <row r="20" spans="1:30" ht="13.5" customHeight="1">
      <c r="A20" s="1"/>
      <c r="B20" s="1"/>
      <c r="C20" s="1"/>
      <c r="D20" s="1"/>
      <c r="E20" s="193" t="s">
        <v>145</v>
      </c>
      <c r="F20" s="229">
        <f>BS!I10+BS!I13</f>
        <v>28877.472000000002</v>
      </c>
      <c r="G20" s="50"/>
      <c r="H20" s="50"/>
      <c r="I20" s="50"/>
      <c r="J20" s="50"/>
      <c r="K20" s="226"/>
      <c r="L20" s="1"/>
      <c r="M20" s="204"/>
      <c r="N20" s="1"/>
      <c r="O20" s="44"/>
      <c r="P20" s="669" t="str">
        <f>$E$29</f>
        <v>Operating Margin</v>
      </c>
      <c r="Q20" s="670"/>
      <c r="R20" s="670"/>
      <c r="S20" s="670"/>
      <c r="T20" s="671"/>
      <c r="U20" s="205"/>
      <c r="V20" s="204"/>
      <c r="W20" s="1"/>
      <c r="X20" s="44"/>
      <c r="Y20" s="669" t="str">
        <f>$E$29</f>
        <v>Operating Margin</v>
      </c>
      <c r="Z20" s="670"/>
      <c r="AA20" s="670"/>
      <c r="AB20" s="670"/>
      <c r="AC20" s="671"/>
      <c r="AD20" s="205"/>
    </row>
    <row r="21" spans="1:30" ht="13.5" customHeight="1">
      <c r="A21" s="1"/>
      <c r="B21" s="1"/>
      <c r="C21" s="1"/>
      <c r="D21" s="1"/>
      <c r="E21" s="223" t="s">
        <v>146</v>
      </c>
      <c r="F21" s="50">
        <f>F19+F20</f>
        <v>244767.98257771769</v>
      </c>
      <c r="G21" s="50"/>
      <c r="H21" s="50"/>
      <c r="I21" s="50"/>
      <c r="J21" s="50"/>
      <c r="K21" s="226"/>
      <c r="L21" s="1"/>
      <c r="M21" s="204"/>
      <c r="N21" s="1"/>
      <c r="O21" s="44"/>
      <c r="P21" s="230"/>
      <c r="Q21" s="230"/>
      <c r="R21" s="230"/>
      <c r="S21" s="230"/>
      <c r="T21" s="230"/>
      <c r="U21" s="205"/>
      <c r="V21" s="204"/>
      <c r="W21" s="1"/>
      <c r="X21" s="44"/>
      <c r="Y21" s="230"/>
      <c r="Z21" s="230"/>
      <c r="AA21" s="230"/>
      <c r="AB21" s="230"/>
      <c r="AC21" s="230"/>
      <c r="AD21" s="205"/>
    </row>
    <row r="22" spans="1:30" ht="13.5" customHeight="1">
      <c r="A22" s="1"/>
      <c r="B22" s="231" t="s">
        <v>147</v>
      </c>
      <c r="C22" s="232">
        <f>(C15*C19)+(C14*C13)</f>
        <v>0.10180515321479099</v>
      </c>
      <c r="D22" s="1"/>
      <c r="E22" s="193" t="s">
        <v>148</v>
      </c>
      <c r="F22" s="229">
        <f>BS!J49+BS!J43+BS!J35+BS!J36+BS!J37+BS!J44</f>
        <v>15338.270742011555</v>
      </c>
      <c r="G22" s="50"/>
      <c r="H22" s="50"/>
      <c r="I22" s="50"/>
      <c r="J22" s="50"/>
      <c r="K22" s="226"/>
      <c r="L22" s="1"/>
      <c r="M22" s="204"/>
      <c r="N22" s="1"/>
      <c r="O22" s="210">
        <f>$F$25</f>
        <v>272.87205368716877</v>
      </c>
      <c r="P22" s="211"/>
      <c r="Q22" s="211"/>
      <c r="R22" s="211"/>
      <c r="S22" s="211"/>
      <c r="T22" s="211"/>
      <c r="U22" s="205"/>
      <c r="V22" s="204"/>
      <c r="W22" s="1"/>
      <c r="X22" s="210">
        <f>$F$25</f>
        <v>272.87205368716877</v>
      </c>
      <c r="Y22" s="211"/>
      <c r="Z22" s="211"/>
      <c r="AA22" s="211"/>
      <c r="AB22" s="211"/>
      <c r="AC22" s="211"/>
      <c r="AD22" s="205"/>
    </row>
    <row r="23" spans="1:30" ht="13.5" customHeight="1">
      <c r="A23" s="1"/>
      <c r="B23" s="1"/>
      <c r="C23" s="1"/>
      <c r="D23" s="1"/>
      <c r="E23" s="223" t="s">
        <v>149</v>
      </c>
      <c r="F23" s="55">
        <f>F21-F22</f>
        <v>229429.71183570614</v>
      </c>
      <c r="G23" s="50"/>
      <c r="H23" s="50"/>
      <c r="I23" s="50"/>
      <c r="J23" s="50"/>
      <c r="K23" s="226"/>
      <c r="L23" s="1"/>
      <c r="M23" s="204"/>
      <c r="N23" s="666" t="s">
        <v>150</v>
      </c>
      <c r="O23" s="211"/>
      <c r="P23" s="214"/>
      <c r="Q23" s="214"/>
      <c r="R23" s="214"/>
      <c r="S23" s="214"/>
      <c r="T23" s="214"/>
      <c r="U23" s="205"/>
      <c r="V23" s="204"/>
      <c r="W23" s="666" t="str">
        <f>N23</f>
        <v>WC</v>
      </c>
      <c r="X23" s="211"/>
      <c r="Y23" s="214"/>
      <c r="Z23" s="214"/>
      <c r="AA23" s="214"/>
      <c r="AB23" s="214"/>
      <c r="AC23" s="214"/>
      <c r="AD23" s="205"/>
    </row>
    <row r="24" spans="1:30" ht="13.5" customHeight="1">
      <c r="A24" s="1"/>
      <c r="B24" s="577" t="s">
        <v>379</v>
      </c>
      <c r="C24" s="57"/>
      <c r="D24" s="1"/>
      <c r="E24" s="193" t="s">
        <v>151</v>
      </c>
      <c r="F24" s="233">
        <f>C7</f>
        <v>933.49368000000004</v>
      </c>
      <c r="G24" s="1"/>
      <c r="H24" s="233"/>
      <c r="I24" s="1"/>
      <c r="J24" s="1"/>
      <c r="K24" s="234"/>
      <c r="L24" s="1"/>
      <c r="M24" s="204"/>
      <c r="N24" s="667"/>
      <c r="O24" s="211"/>
      <c r="P24" s="214"/>
      <c r="Q24" s="215"/>
      <c r="R24" s="215"/>
      <c r="S24" s="215"/>
      <c r="T24" s="214"/>
      <c r="U24" s="205"/>
      <c r="V24" s="204"/>
      <c r="W24" s="667"/>
      <c r="X24" s="211"/>
      <c r="Y24" s="214"/>
      <c r="Z24" s="215"/>
      <c r="AA24" s="215"/>
      <c r="AB24" s="215"/>
      <c r="AC24" s="214"/>
      <c r="AD24" s="205"/>
    </row>
    <row r="25" spans="1:30" ht="13.5" customHeight="1">
      <c r="A25" s="1"/>
      <c r="B25" s="1" t="s">
        <v>128</v>
      </c>
      <c r="C25" s="1"/>
      <c r="D25" s="1"/>
      <c r="E25" s="235" t="s">
        <v>152</v>
      </c>
      <c r="F25" s="236">
        <f>(F23/F24)*(1+C13)</f>
        <v>272.87205368716877</v>
      </c>
      <c r="G25" s="566"/>
      <c r="H25" s="237"/>
      <c r="I25" s="237"/>
      <c r="J25" s="237"/>
      <c r="K25" s="238"/>
      <c r="L25" s="1"/>
      <c r="M25" s="204"/>
      <c r="N25" s="667"/>
      <c r="O25" s="211"/>
      <c r="P25" s="214"/>
      <c r="Q25" s="215"/>
      <c r="R25" s="221"/>
      <c r="S25" s="215"/>
      <c r="T25" s="214"/>
      <c r="U25" s="205"/>
      <c r="V25" s="204"/>
      <c r="W25" s="667"/>
      <c r="X25" s="211"/>
      <c r="Y25" s="214"/>
      <c r="Z25" s="215"/>
      <c r="AA25" s="221"/>
      <c r="AB25" s="215"/>
      <c r="AC25" s="214"/>
      <c r="AD25" s="205"/>
    </row>
    <row r="26" spans="1:30" ht="13.5" customHeight="1">
      <c r="A26" s="1"/>
      <c r="B26" s="1"/>
      <c r="C26" s="1"/>
      <c r="D26" s="1"/>
      <c r="E26" s="1"/>
      <c r="F26" s="1"/>
      <c r="G26" s="1"/>
      <c r="H26" s="1"/>
      <c r="I26" s="1"/>
      <c r="J26" s="1"/>
      <c r="K26" s="1"/>
      <c r="L26" s="1"/>
      <c r="M26" s="204"/>
      <c r="N26" s="667"/>
      <c r="O26" s="211"/>
      <c r="P26" s="214"/>
      <c r="Q26" s="215"/>
      <c r="R26" s="215"/>
      <c r="S26" s="215"/>
      <c r="T26" s="214"/>
      <c r="U26" s="205"/>
      <c r="V26" s="204"/>
      <c r="W26" s="667"/>
      <c r="X26" s="211"/>
      <c r="Y26" s="214"/>
      <c r="Z26" s="215"/>
      <c r="AA26" s="215"/>
      <c r="AB26" s="215"/>
      <c r="AC26" s="214"/>
      <c r="AD26" s="205"/>
    </row>
    <row r="27" spans="1:30" ht="13.5" customHeight="1">
      <c r="A27" s="1"/>
      <c r="B27" s="1"/>
      <c r="C27" s="1"/>
      <c r="D27" s="1"/>
      <c r="E27" s="1"/>
      <c r="F27" s="1"/>
      <c r="G27" s="239">
        <f t="shared" ref="G27:K27" si="13">G7</f>
        <v>2021</v>
      </c>
      <c r="H27" s="240">
        <f t="shared" si="13"/>
        <v>2022</v>
      </c>
      <c r="I27" s="241">
        <f t="shared" si="13"/>
        <v>2023</v>
      </c>
      <c r="J27" s="242">
        <f t="shared" si="13"/>
        <v>2024</v>
      </c>
      <c r="K27" s="243">
        <f t="shared" si="13"/>
        <v>2025</v>
      </c>
      <c r="L27" s="1"/>
      <c r="M27" s="204"/>
      <c r="N27" s="668"/>
      <c r="O27" s="211"/>
      <c r="P27" s="214"/>
      <c r="Q27" s="214"/>
      <c r="R27" s="214"/>
      <c r="S27" s="214"/>
      <c r="T27" s="214"/>
      <c r="U27" s="205"/>
      <c r="V27" s="204"/>
      <c r="W27" s="668"/>
      <c r="X27" s="211"/>
      <c r="Y27" s="214"/>
      <c r="Z27" s="214"/>
      <c r="AA27" s="214"/>
      <c r="AB27" s="214"/>
      <c r="AC27" s="214"/>
      <c r="AD27" s="205"/>
    </row>
    <row r="28" spans="1:30" ht="12.75" customHeight="1">
      <c r="A28" s="1"/>
      <c r="B28" s="244"/>
      <c r="C28" s="63"/>
      <c r="D28" s="63"/>
      <c r="E28" s="680" t="s">
        <v>153</v>
      </c>
      <c r="F28" s="665"/>
      <c r="G28" s="245">
        <f>CF!H77</f>
        <v>0.24232816875116675</v>
      </c>
      <c r="H28" s="246">
        <f t="shared" ref="H28:I28" si="14">G28</f>
        <v>0.24232816875116675</v>
      </c>
      <c r="I28" s="681">
        <f t="shared" si="14"/>
        <v>0.24232816875116675</v>
      </c>
      <c r="J28" s="664"/>
      <c r="K28" s="682"/>
      <c r="L28" s="63"/>
      <c r="M28" s="204"/>
      <c r="N28" s="1"/>
      <c r="O28" s="44"/>
      <c r="P28" s="44"/>
      <c r="Q28" s="44"/>
      <c r="R28" s="44"/>
      <c r="S28" s="44"/>
      <c r="T28" s="44"/>
      <c r="U28" s="205"/>
      <c r="V28" s="204"/>
      <c r="W28" s="1"/>
      <c r="X28" s="44"/>
      <c r="Y28" s="44"/>
      <c r="Z28" s="44"/>
      <c r="AA28" s="44"/>
      <c r="AB28" s="44"/>
      <c r="AC28" s="44"/>
      <c r="AD28" s="205"/>
    </row>
    <row r="29" spans="1:30" ht="13.5" customHeight="1">
      <c r="A29" s="1"/>
      <c r="B29" s="1"/>
      <c r="C29" s="63"/>
      <c r="D29" s="63"/>
      <c r="E29" s="680" t="s">
        <v>154</v>
      </c>
      <c r="F29" s="665"/>
      <c r="G29" s="245">
        <f>IS!H13/IS!H8</f>
        <v>0.40532451056712998</v>
      </c>
      <c r="H29" s="247">
        <f t="shared" ref="H29:I29" si="15">G29</f>
        <v>0.40532451056712998</v>
      </c>
      <c r="I29" s="681">
        <f t="shared" si="15"/>
        <v>0.40532451056712998</v>
      </c>
      <c r="J29" s="664"/>
      <c r="K29" s="682"/>
      <c r="L29" s="63"/>
      <c r="M29" s="204"/>
      <c r="N29" s="1"/>
      <c r="O29" s="1"/>
      <c r="P29" s="1"/>
      <c r="Q29" s="1"/>
      <c r="R29" s="1"/>
      <c r="S29" s="1"/>
      <c r="T29" s="1"/>
      <c r="U29" s="248"/>
      <c r="V29" s="204"/>
      <c r="W29" s="1"/>
      <c r="X29" s="1"/>
      <c r="Y29" s="1"/>
      <c r="Z29" s="1"/>
      <c r="AA29" s="1"/>
      <c r="AB29" s="1"/>
      <c r="AC29" s="1"/>
      <c r="AD29" s="248"/>
    </row>
    <row r="30" spans="1:30" ht="13.5" customHeight="1">
      <c r="A30" s="1"/>
      <c r="B30" s="1"/>
      <c r="C30" s="249"/>
      <c r="D30" s="63"/>
      <c r="E30" s="680" t="s">
        <v>155</v>
      </c>
      <c r="F30" s="665"/>
      <c r="G30" s="245">
        <f>CF!H81</f>
        <v>0.3787485532947546</v>
      </c>
      <c r="H30" s="247">
        <f t="shared" ref="H30:I30" si="16">G30</f>
        <v>0.3787485532947546</v>
      </c>
      <c r="I30" s="681">
        <f t="shared" si="16"/>
        <v>0.3787485532947546</v>
      </c>
      <c r="J30" s="664"/>
      <c r="K30" s="682"/>
      <c r="L30" s="63"/>
      <c r="M30" s="204"/>
      <c r="N30" s="1"/>
      <c r="O30" s="44"/>
      <c r="P30" s="663">
        <f>P19</f>
        <v>2021</v>
      </c>
      <c r="Q30" s="664"/>
      <c r="R30" s="665"/>
      <c r="S30" s="1"/>
      <c r="T30" s="1"/>
      <c r="U30" s="248"/>
      <c r="V30" s="204"/>
      <c r="W30" s="1"/>
      <c r="X30" s="44"/>
      <c r="Y30" s="663">
        <f>Y19</f>
        <v>2022</v>
      </c>
      <c r="Z30" s="664"/>
      <c r="AA30" s="665"/>
      <c r="AB30" s="1"/>
      <c r="AC30" s="1"/>
      <c r="AD30" s="248"/>
    </row>
    <row r="31" spans="1:30" ht="13.5" customHeight="1">
      <c r="A31" s="1"/>
      <c r="B31" s="63"/>
      <c r="C31" s="250"/>
      <c r="D31" s="63"/>
      <c r="E31" s="683" t="s">
        <v>156</v>
      </c>
      <c r="F31" s="684"/>
      <c r="G31" s="245">
        <f>BS!J84</f>
        <v>-1.70679058850839E-2</v>
      </c>
      <c r="H31" s="247">
        <f t="shared" ref="H31:I31" si="17">G31</f>
        <v>-1.70679058850839E-2</v>
      </c>
      <c r="I31" s="681">
        <f t="shared" si="17"/>
        <v>-1.70679058850839E-2</v>
      </c>
      <c r="J31" s="664"/>
      <c r="K31" s="682"/>
      <c r="L31" s="251"/>
      <c r="M31" s="204"/>
      <c r="N31" s="1"/>
      <c r="O31" s="44"/>
      <c r="P31" s="663" t="str">
        <f>B5</f>
        <v>Terminal Growth Rate</v>
      </c>
      <c r="Q31" s="664"/>
      <c r="R31" s="665"/>
      <c r="S31" s="1"/>
      <c r="T31" s="1"/>
      <c r="U31" s="248"/>
      <c r="V31" s="204"/>
      <c r="W31" s="1"/>
      <c r="X31" s="44"/>
      <c r="Y31" s="663" t="str">
        <f>P31</f>
        <v>Terminal Growth Rate</v>
      </c>
      <c r="Z31" s="664"/>
      <c r="AA31" s="665"/>
      <c r="AB31" s="1"/>
      <c r="AC31" s="1"/>
      <c r="AD31" s="248"/>
    </row>
    <row r="32" spans="1:30" ht="13.5" customHeight="1">
      <c r="A32" s="1"/>
      <c r="B32" s="63"/>
      <c r="C32" s="252"/>
      <c r="D32" s="63"/>
      <c r="E32" s="63"/>
      <c r="F32" s="253"/>
      <c r="G32" s="253"/>
      <c r="H32" s="253"/>
      <c r="I32" s="253"/>
      <c r="J32" s="253"/>
      <c r="K32" s="253"/>
      <c r="L32" s="251"/>
      <c r="M32" s="204"/>
      <c r="N32" s="1"/>
      <c r="O32" s="210">
        <f>$F$25</f>
        <v>272.87205368716877</v>
      </c>
      <c r="P32" s="211">
        <f t="shared" ref="P32:Q32" si="18">Q32-1%</f>
        <v>9.9999999999999967E-3</v>
      </c>
      <c r="Q32" s="211">
        <f t="shared" si="18"/>
        <v>1.9999999999999997E-2</v>
      </c>
      <c r="R32" s="211">
        <f>C5</f>
        <v>0.03</v>
      </c>
      <c r="S32" s="1"/>
      <c r="T32" s="1"/>
      <c r="U32" s="248"/>
      <c r="V32" s="204"/>
      <c r="W32" s="1"/>
      <c r="X32" s="210">
        <f>$F$25</f>
        <v>272.87205368716877</v>
      </c>
      <c r="Y32" s="211">
        <f t="shared" ref="Y32:Z32" si="19">Z32-1%</f>
        <v>-0.02</v>
      </c>
      <c r="Z32" s="211">
        <f t="shared" si="19"/>
        <v>-0.01</v>
      </c>
      <c r="AA32" s="211">
        <f>L5</f>
        <v>0</v>
      </c>
      <c r="AB32" s="1"/>
      <c r="AC32" s="1"/>
      <c r="AD32" s="248"/>
    </row>
    <row r="33" spans="1:30" ht="13.5" customHeight="1">
      <c r="A33" s="1"/>
      <c r="B33" s="254"/>
      <c r="C33" s="63"/>
      <c r="D33" s="63"/>
      <c r="E33" s="63"/>
      <c r="F33" s="255"/>
      <c r="G33" s="255"/>
      <c r="H33" s="255"/>
      <c r="I33" s="255"/>
      <c r="J33" s="255"/>
      <c r="K33" s="255"/>
      <c r="L33" s="256"/>
      <c r="M33" s="257"/>
      <c r="N33" s="666" t="str">
        <f>B22</f>
        <v>WACC</v>
      </c>
      <c r="O33" s="258">
        <f t="shared" ref="O33:O34" si="20">O34-1%</f>
        <v>8.1805153214790996E-2</v>
      </c>
      <c r="P33" s="214"/>
      <c r="Q33" s="214"/>
      <c r="R33" s="214"/>
      <c r="S33" s="1"/>
      <c r="T33" s="1"/>
      <c r="U33" s="248"/>
      <c r="V33" s="257"/>
      <c r="W33" s="666" t="str">
        <f>B22</f>
        <v>WACC</v>
      </c>
      <c r="X33" s="258">
        <f t="shared" ref="X33:X34" si="21">X34-1%</f>
        <v>-0.02</v>
      </c>
      <c r="Y33" s="214"/>
      <c r="Z33" s="214"/>
      <c r="AA33" s="214"/>
      <c r="AB33" s="1"/>
      <c r="AC33" s="1"/>
      <c r="AD33" s="248"/>
    </row>
    <row r="34" spans="1:30" ht="12.75" customHeight="1">
      <c r="A34" s="1"/>
      <c r="B34" s="672" t="s">
        <v>157</v>
      </c>
      <c r="C34" s="673"/>
      <c r="D34" s="673"/>
      <c r="E34" s="673"/>
      <c r="F34" s="673"/>
      <c r="G34" s="673"/>
      <c r="H34" s="673"/>
      <c r="I34" s="673"/>
      <c r="J34" s="673"/>
      <c r="K34" s="674"/>
      <c r="L34" s="256"/>
      <c r="M34" s="257"/>
      <c r="N34" s="667"/>
      <c r="O34" s="258">
        <f t="shared" si="20"/>
        <v>9.1805153214790991E-2</v>
      </c>
      <c r="P34" s="214"/>
      <c r="Q34" s="214"/>
      <c r="R34" s="214"/>
      <c r="S34" s="1"/>
      <c r="T34" s="1"/>
      <c r="U34" s="248"/>
      <c r="V34" s="257"/>
      <c r="W34" s="667"/>
      <c r="X34" s="258">
        <f t="shared" si="21"/>
        <v>-0.01</v>
      </c>
      <c r="Y34" s="214"/>
      <c r="Z34" s="214"/>
      <c r="AA34" s="214"/>
      <c r="AB34" s="1"/>
      <c r="AC34" s="1"/>
      <c r="AD34" s="248"/>
    </row>
    <row r="35" spans="1:30" ht="13.5" customHeight="1">
      <c r="A35" s="1"/>
      <c r="B35" s="675"/>
      <c r="C35" s="625"/>
      <c r="D35" s="625"/>
      <c r="E35" s="625"/>
      <c r="F35" s="625"/>
      <c r="G35" s="625"/>
      <c r="H35" s="625"/>
      <c r="I35" s="625"/>
      <c r="J35" s="625"/>
      <c r="K35" s="676"/>
      <c r="L35" s="256"/>
      <c r="M35" s="257"/>
      <c r="N35" s="667"/>
      <c r="O35" s="258">
        <f>C22</f>
        <v>0.10180515321479099</v>
      </c>
      <c r="P35" s="214"/>
      <c r="Q35" s="214"/>
      <c r="R35" s="259"/>
      <c r="S35" s="1"/>
      <c r="T35" s="1"/>
      <c r="U35" s="248"/>
      <c r="V35" s="257"/>
      <c r="W35" s="667"/>
      <c r="X35" s="258">
        <f>L23</f>
        <v>0</v>
      </c>
      <c r="Y35" s="214"/>
      <c r="Z35" s="214"/>
      <c r="AA35" s="259"/>
      <c r="AB35" s="1"/>
      <c r="AC35" s="1"/>
      <c r="AD35" s="248"/>
    </row>
    <row r="36" spans="1:30" ht="13.5" customHeight="1">
      <c r="A36" s="1"/>
      <c r="B36" s="675"/>
      <c r="C36" s="625"/>
      <c r="D36" s="625"/>
      <c r="E36" s="625"/>
      <c r="F36" s="625"/>
      <c r="G36" s="625"/>
      <c r="H36" s="625"/>
      <c r="I36" s="625"/>
      <c r="J36" s="625"/>
      <c r="K36" s="676"/>
      <c r="L36" s="256"/>
      <c r="M36" s="257"/>
      <c r="N36" s="667"/>
      <c r="O36" s="258">
        <f>O35+1%</f>
        <v>0.11180515321479098</v>
      </c>
      <c r="P36" s="214"/>
      <c r="Q36" s="214"/>
      <c r="R36" s="214"/>
      <c r="S36" s="1"/>
      <c r="T36" s="1"/>
      <c r="U36" s="248"/>
      <c r="V36" s="257"/>
      <c r="W36" s="667"/>
      <c r="X36" s="258">
        <f>X35+1%</f>
        <v>0.01</v>
      </c>
      <c r="Y36" s="214"/>
      <c r="Z36" s="214"/>
      <c r="AA36" s="214"/>
      <c r="AB36" s="1"/>
      <c r="AC36" s="1"/>
      <c r="AD36" s="248"/>
    </row>
    <row r="37" spans="1:30" ht="13.5" customHeight="1">
      <c r="A37" s="1"/>
      <c r="B37" s="675"/>
      <c r="C37" s="625"/>
      <c r="D37" s="625"/>
      <c r="E37" s="625"/>
      <c r="F37" s="625"/>
      <c r="G37" s="625"/>
      <c r="H37" s="625"/>
      <c r="I37" s="625"/>
      <c r="J37" s="625"/>
      <c r="K37" s="676"/>
      <c r="L37" s="256"/>
      <c r="M37" s="257"/>
      <c r="N37" s="668"/>
      <c r="O37" s="258">
        <f>O35+1%</f>
        <v>0.11180515321479098</v>
      </c>
      <c r="P37" s="214"/>
      <c r="Q37" s="214"/>
      <c r="R37" s="214"/>
      <c r="S37" s="1"/>
      <c r="T37" s="1"/>
      <c r="U37" s="248"/>
      <c r="V37" s="257"/>
      <c r="W37" s="668"/>
      <c r="X37" s="258">
        <f>X35+1%</f>
        <v>0.01</v>
      </c>
      <c r="Y37" s="214"/>
      <c r="Z37" s="214"/>
      <c r="AA37" s="214"/>
      <c r="AB37" s="1"/>
      <c r="AC37" s="1"/>
      <c r="AD37" s="248"/>
    </row>
    <row r="38" spans="1:30" ht="12.75" customHeight="1">
      <c r="A38" s="1"/>
      <c r="B38" s="675"/>
      <c r="C38" s="625"/>
      <c r="D38" s="625"/>
      <c r="E38" s="625"/>
      <c r="F38" s="625"/>
      <c r="G38" s="625"/>
      <c r="H38" s="625"/>
      <c r="I38" s="625"/>
      <c r="J38" s="625"/>
      <c r="K38" s="676"/>
      <c r="L38" s="256"/>
      <c r="M38" s="260"/>
      <c r="N38" s="261"/>
      <c r="O38" s="261"/>
      <c r="P38" s="261"/>
      <c r="Q38" s="261"/>
      <c r="R38" s="261"/>
      <c r="S38" s="262"/>
      <c r="T38" s="262"/>
      <c r="U38" s="263"/>
      <c r="V38" s="260"/>
      <c r="W38" s="261"/>
      <c r="X38" s="261"/>
      <c r="Y38" s="261"/>
      <c r="Z38" s="261"/>
      <c r="AA38" s="261"/>
      <c r="AB38" s="262"/>
      <c r="AC38" s="262"/>
      <c r="AD38" s="263"/>
    </row>
    <row r="39" spans="1:30" ht="13.5" customHeight="1">
      <c r="A39" s="1"/>
      <c r="B39" s="675"/>
      <c r="C39" s="625"/>
      <c r="D39" s="625"/>
      <c r="E39" s="625"/>
      <c r="F39" s="625"/>
      <c r="G39" s="625"/>
      <c r="H39" s="625"/>
      <c r="I39" s="625"/>
      <c r="J39" s="625"/>
      <c r="K39" s="676"/>
      <c r="L39" s="256"/>
      <c r="M39" s="63"/>
      <c r="N39" s="63"/>
      <c r="O39" s="63"/>
      <c r="P39" s="63"/>
      <c r="Q39" s="63"/>
      <c r="R39" s="63"/>
      <c r="S39" s="1"/>
      <c r="T39" s="1"/>
      <c r="U39" s="1"/>
      <c r="V39" s="1"/>
      <c r="W39" s="1"/>
      <c r="X39" s="1"/>
      <c r="Y39" s="1"/>
      <c r="Z39" s="1"/>
      <c r="AA39" s="1"/>
      <c r="AB39" s="1"/>
      <c r="AC39" s="1"/>
      <c r="AD39" s="1"/>
    </row>
    <row r="40" spans="1:30" ht="12.75" customHeight="1">
      <c r="A40" s="1"/>
      <c r="B40" s="675"/>
      <c r="C40" s="625"/>
      <c r="D40" s="625"/>
      <c r="E40" s="625"/>
      <c r="F40" s="625"/>
      <c r="G40" s="625"/>
      <c r="H40" s="625"/>
      <c r="I40" s="625"/>
      <c r="J40" s="625"/>
      <c r="K40" s="676"/>
      <c r="L40" s="256"/>
      <c r="M40" s="63"/>
      <c r="N40" s="63"/>
      <c r="O40" s="63"/>
      <c r="P40" s="63"/>
      <c r="Q40" s="63"/>
      <c r="R40" s="63"/>
      <c r="S40" s="1"/>
      <c r="T40" s="1"/>
      <c r="U40" s="1"/>
      <c r="V40" s="1"/>
      <c r="W40" s="1"/>
      <c r="X40" s="1"/>
      <c r="Y40" s="1"/>
      <c r="Z40" s="1"/>
      <c r="AA40" s="1"/>
      <c r="AB40" s="1"/>
      <c r="AC40" s="1"/>
      <c r="AD40" s="1"/>
    </row>
    <row r="41" spans="1:30" ht="13.5" customHeight="1">
      <c r="A41" s="1"/>
      <c r="B41" s="675"/>
      <c r="C41" s="625"/>
      <c r="D41" s="625"/>
      <c r="E41" s="625"/>
      <c r="F41" s="625"/>
      <c r="G41" s="625"/>
      <c r="H41" s="625"/>
      <c r="I41" s="625"/>
      <c r="J41" s="625"/>
      <c r="K41" s="676"/>
      <c r="L41" s="256"/>
      <c r="M41" s="63"/>
      <c r="N41" s="63"/>
      <c r="O41" s="63"/>
      <c r="P41" s="63"/>
      <c r="Q41" s="63"/>
      <c r="R41" s="63"/>
      <c r="S41" s="1"/>
      <c r="T41" s="1"/>
      <c r="U41" s="1"/>
      <c r="V41" s="1"/>
      <c r="W41" s="1"/>
      <c r="X41" s="1"/>
      <c r="Y41" s="1"/>
      <c r="Z41" s="1"/>
      <c r="AA41" s="1"/>
      <c r="AB41" s="1"/>
      <c r="AC41" s="1"/>
      <c r="AD41" s="1"/>
    </row>
    <row r="42" spans="1:30" ht="13.5" customHeight="1">
      <c r="A42" s="1"/>
      <c r="B42" s="675"/>
      <c r="C42" s="625"/>
      <c r="D42" s="625"/>
      <c r="E42" s="625"/>
      <c r="F42" s="625"/>
      <c r="G42" s="625"/>
      <c r="H42" s="625"/>
      <c r="I42" s="625"/>
      <c r="J42" s="625"/>
      <c r="K42" s="676"/>
      <c r="L42" s="1"/>
      <c r="M42" s="63"/>
      <c r="N42" s="63"/>
      <c r="O42" s="63"/>
      <c r="P42" s="63"/>
      <c r="Q42" s="63"/>
      <c r="R42" s="63"/>
      <c r="S42" s="1"/>
      <c r="T42" s="1"/>
      <c r="U42" s="1"/>
      <c r="V42" s="1"/>
      <c r="W42" s="1"/>
      <c r="X42" s="1"/>
      <c r="Y42" s="1"/>
      <c r="Z42" s="1"/>
      <c r="AA42" s="1"/>
      <c r="AB42" s="1"/>
      <c r="AC42" s="1"/>
      <c r="AD42" s="1"/>
    </row>
    <row r="43" spans="1:30" ht="12.75" customHeight="1">
      <c r="A43" s="1"/>
      <c r="B43" s="677"/>
      <c r="C43" s="678"/>
      <c r="D43" s="678"/>
      <c r="E43" s="678"/>
      <c r="F43" s="678"/>
      <c r="G43" s="678"/>
      <c r="H43" s="678"/>
      <c r="I43" s="678"/>
      <c r="J43" s="678"/>
      <c r="K43" s="679"/>
      <c r="L43" s="63"/>
      <c r="M43" s="1"/>
      <c r="N43" s="1"/>
      <c r="O43" s="1"/>
      <c r="P43" s="1"/>
      <c r="Q43" s="1"/>
      <c r="R43" s="1"/>
      <c r="S43" s="1"/>
      <c r="T43" s="1"/>
      <c r="U43" s="1"/>
      <c r="V43" s="1"/>
      <c r="W43" s="1"/>
      <c r="X43" s="1"/>
      <c r="Y43" s="1"/>
      <c r="Z43" s="1"/>
      <c r="AA43" s="1"/>
      <c r="AB43" s="1"/>
      <c r="AC43" s="1"/>
      <c r="AD43" s="1"/>
    </row>
    <row r="44" spans="1:30" ht="12.75" customHeight="1">
      <c r="A44" s="1"/>
      <c r="B44" s="264"/>
      <c r="C44" s="264"/>
      <c r="D44" s="264"/>
      <c r="E44" s="264"/>
      <c r="F44" s="264"/>
      <c r="G44" s="264"/>
      <c r="H44" s="264"/>
      <c r="I44" s="264"/>
      <c r="J44" s="255"/>
      <c r="K44" s="255"/>
      <c r="L44" s="63"/>
      <c r="M44" s="1"/>
      <c r="N44" s="1"/>
      <c r="O44" s="1"/>
      <c r="P44" s="1"/>
      <c r="Q44" s="1"/>
      <c r="R44" s="1"/>
      <c r="S44" s="1"/>
      <c r="T44" s="1"/>
      <c r="U44" s="1"/>
      <c r="V44" s="1"/>
      <c r="W44" s="1"/>
      <c r="X44" s="1"/>
      <c r="Y44" s="1"/>
      <c r="Z44" s="1"/>
      <c r="AA44" s="1"/>
      <c r="AB44" s="1"/>
      <c r="AC44" s="1"/>
      <c r="AD44" s="1"/>
    </row>
    <row r="45" spans="1:30" ht="12.75" hidden="1" customHeight="1">
      <c r="A45" s="1"/>
      <c r="B45" s="265"/>
      <c r="C45" s="265"/>
      <c r="D45" s="265"/>
      <c r="E45" s="265"/>
      <c r="F45" s="265"/>
      <c r="G45" s="265"/>
      <c r="H45" s="265"/>
      <c r="I45" s="265"/>
      <c r="J45" s="265"/>
      <c r="K45" s="265"/>
      <c r="L45" s="63"/>
      <c r="M45" s="63"/>
      <c r="N45" s="63"/>
      <c r="O45" s="63"/>
      <c r="P45" s="63"/>
      <c r="Q45" s="63"/>
      <c r="R45" s="63"/>
      <c r="S45" s="1"/>
      <c r="T45" s="1"/>
      <c r="U45" s="1"/>
      <c r="V45" s="1"/>
      <c r="W45" s="1"/>
      <c r="X45" s="1"/>
      <c r="Y45" s="1"/>
      <c r="Z45" s="1"/>
      <c r="AA45" s="1"/>
      <c r="AB45" s="1"/>
      <c r="AC45" s="1"/>
      <c r="AD45" s="1"/>
    </row>
    <row r="46" spans="1:30" ht="12.75" hidden="1" customHeight="1">
      <c r="A46" s="1"/>
      <c r="B46" s="265"/>
      <c r="C46" s="265"/>
      <c r="D46" s="265"/>
      <c r="E46" s="265"/>
      <c r="F46" s="265"/>
      <c r="G46" s="265"/>
      <c r="H46" s="265"/>
      <c r="I46" s="265"/>
      <c r="J46" s="265"/>
      <c r="K46" s="265"/>
      <c r="L46" s="63"/>
      <c r="M46" s="63"/>
      <c r="N46" s="1"/>
      <c r="O46" s="1"/>
      <c r="P46" s="1"/>
      <c r="Q46" s="1"/>
      <c r="R46" s="1"/>
      <c r="S46" s="1"/>
      <c r="T46" s="1"/>
      <c r="U46" s="1"/>
      <c r="V46" s="1"/>
      <c r="W46" s="1"/>
      <c r="X46" s="1"/>
      <c r="Y46" s="1"/>
      <c r="Z46" s="1"/>
      <c r="AA46" s="1"/>
      <c r="AB46" s="1"/>
      <c r="AC46" s="1"/>
      <c r="AD46" s="1"/>
    </row>
    <row r="47" spans="1:30" ht="14.25" hidden="1" customHeight="1">
      <c r="A47" s="1"/>
      <c r="B47" s="265"/>
      <c r="C47" s="265"/>
      <c r="D47" s="265"/>
      <c r="E47" s="265"/>
      <c r="F47" s="265"/>
      <c r="G47" s="265"/>
      <c r="H47" s="265"/>
      <c r="I47" s="265"/>
      <c r="J47" s="265"/>
      <c r="K47" s="265"/>
      <c r="L47" s="63"/>
      <c r="M47" s="63"/>
      <c r="N47" s="1"/>
      <c r="O47" s="1"/>
      <c r="P47" s="1"/>
      <c r="Q47" s="1"/>
      <c r="R47" s="1"/>
      <c r="S47" s="1"/>
      <c r="T47" s="1"/>
      <c r="U47" s="1"/>
      <c r="V47" s="1"/>
      <c r="W47" s="1"/>
      <c r="X47" s="1"/>
      <c r="Y47" s="1"/>
      <c r="Z47" s="1"/>
      <c r="AA47" s="1"/>
      <c r="AB47" s="1"/>
      <c r="AC47" s="1"/>
      <c r="AD47" s="1"/>
    </row>
    <row r="48" spans="1:30" ht="12.75" hidden="1" customHeight="1">
      <c r="A48" s="1"/>
      <c r="B48" s="265"/>
      <c r="C48" s="265"/>
      <c r="D48" s="265"/>
      <c r="E48" s="265"/>
      <c r="F48" s="265"/>
      <c r="G48" s="265"/>
      <c r="H48" s="265"/>
      <c r="I48" s="265"/>
      <c r="J48" s="265"/>
      <c r="K48" s="265"/>
      <c r="L48" s="63"/>
      <c r="M48" s="63"/>
      <c r="N48" s="1"/>
      <c r="O48" s="1"/>
      <c r="P48" s="1"/>
      <c r="Q48" s="1"/>
      <c r="R48" s="1"/>
      <c r="S48" s="1"/>
      <c r="T48" s="1"/>
      <c r="U48" s="1"/>
      <c r="V48" s="1"/>
      <c r="W48" s="1"/>
      <c r="X48" s="1"/>
      <c r="Y48" s="1"/>
      <c r="Z48" s="1"/>
      <c r="AA48" s="1"/>
      <c r="AB48" s="1"/>
      <c r="AC48" s="1"/>
      <c r="AD48" s="1"/>
    </row>
    <row r="49" spans="1:30" ht="12.75" hidden="1" customHeight="1">
      <c r="A49" s="1"/>
      <c r="B49" s="265"/>
      <c r="C49" s="265"/>
      <c r="D49" s="265"/>
      <c r="E49" s="265"/>
      <c r="F49" s="265"/>
      <c r="G49" s="265"/>
      <c r="H49" s="265"/>
      <c r="I49" s="265"/>
      <c r="J49" s="265"/>
      <c r="K49" s="265"/>
      <c r="L49" s="63"/>
      <c r="M49" s="63"/>
      <c r="N49" s="1"/>
      <c r="O49" s="1"/>
      <c r="P49" s="1"/>
      <c r="Q49" s="1"/>
      <c r="R49" s="1"/>
      <c r="S49" s="1"/>
      <c r="T49" s="1"/>
      <c r="U49" s="1"/>
      <c r="V49" s="1"/>
      <c r="W49" s="1"/>
      <c r="X49" s="1"/>
      <c r="Y49" s="1"/>
      <c r="Z49" s="1"/>
      <c r="AA49" s="1"/>
      <c r="AB49" s="1"/>
      <c r="AC49" s="1"/>
      <c r="AD49" s="1"/>
    </row>
    <row r="50" spans="1:30" ht="12.75" hidden="1" customHeight="1">
      <c r="A50" s="1"/>
      <c r="B50" s="265"/>
      <c r="C50" s="265"/>
      <c r="D50" s="265"/>
      <c r="E50" s="265"/>
      <c r="F50" s="265"/>
      <c r="G50" s="265"/>
      <c r="H50" s="265"/>
      <c r="I50" s="265"/>
      <c r="J50" s="265"/>
      <c r="K50" s="265"/>
      <c r="L50" s="63"/>
      <c r="M50" s="1"/>
      <c r="N50" s="1"/>
      <c r="O50" s="1"/>
      <c r="P50" s="1"/>
      <c r="Q50" s="1"/>
      <c r="R50" s="1"/>
      <c r="S50" s="1"/>
      <c r="T50" s="1"/>
      <c r="U50" s="1"/>
      <c r="V50" s="1"/>
      <c r="W50" s="1"/>
      <c r="X50" s="1"/>
      <c r="Y50" s="1"/>
      <c r="Z50" s="1"/>
      <c r="AA50" s="1"/>
      <c r="AB50" s="1"/>
      <c r="AC50" s="1"/>
      <c r="AD50" s="1"/>
    </row>
    <row r="51" spans="1:30" ht="12.75" hidden="1" customHeight="1">
      <c r="A51" s="1"/>
      <c r="B51" s="265"/>
      <c r="C51" s="265"/>
      <c r="D51" s="265"/>
      <c r="E51" s="265"/>
      <c r="F51" s="265"/>
      <c r="G51" s="265"/>
      <c r="H51" s="265"/>
      <c r="I51" s="265"/>
      <c r="J51" s="265"/>
      <c r="K51" s="265"/>
      <c r="L51" s="63"/>
      <c r="M51" s="1"/>
      <c r="N51" s="1"/>
      <c r="O51" s="1"/>
      <c r="P51" s="1"/>
      <c r="Q51" s="1"/>
      <c r="R51" s="1"/>
      <c r="S51" s="1"/>
      <c r="T51" s="1"/>
      <c r="U51" s="1"/>
      <c r="V51" s="1"/>
      <c r="W51" s="1"/>
      <c r="X51" s="1"/>
      <c r="Y51" s="1"/>
      <c r="Z51" s="1"/>
      <c r="AA51" s="1"/>
      <c r="AB51" s="1"/>
      <c r="AC51" s="1"/>
      <c r="AD51" s="1"/>
    </row>
    <row r="52" spans="1:30" ht="12.75" hidden="1" customHeight="1">
      <c r="A52" s="1"/>
      <c r="B52" s="265"/>
      <c r="C52" s="265"/>
      <c r="D52" s="265"/>
      <c r="E52" s="265"/>
      <c r="F52" s="265"/>
      <c r="G52" s="265"/>
      <c r="H52" s="265"/>
      <c r="I52" s="265"/>
      <c r="J52" s="265"/>
      <c r="K52" s="265"/>
      <c r="L52" s="63"/>
      <c r="M52" s="1"/>
      <c r="N52" s="1"/>
      <c r="O52" s="1"/>
      <c r="P52" s="1"/>
      <c r="Q52" s="1"/>
      <c r="R52" s="1"/>
      <c r="S52" s="1"/>
      <c r="T52" s="1"/>
      <c r="U52" s="1"/>
      <c r="V52" s="1"/>
      <c r="W52" s="1"/>
      <c r="X52" s="1"/>
      <c r="Y52" s="1"/>
      <c r="Z52" s="1"/>
      <c r="AA52" s="1"/>
      <c r="AB52" s="1"/>
      <c r="AC52" s="1"/>
      <c r="AD52" s="1"/>
    </row>
    <row r="53" spans="1:30" ht="12.75" hidden="1" customHeight="1">
      <c r="A53" s="1"/>
      <c r="B53" s="265"/>
      <c r="C53" s="265"/>
      <c r="D53" s="265"/>
      <c r="E53" s="265"/>
      <c r="F53" s="265"/>
      <c r="G53" s="265"/>
      <c r="H53" s="265"/>
      <c r="I53" s="265"/>
      <c r="J53" s="265"/>
      <c r="K53" s="265"/>
      <c r="L53" s="63"/>
      <c r="M53" s="1"/>
      <c r="N53" s="1"/>
      <c r="O53" s="1"/>
      <c r="P53" s="1"/>
      <c r="Q53" s="1"/>
      <c r="R53" s="1"/>
      <c r="S53" s="1"/>
      <c r="T53" s="1"/>
      <c r="U53" s="1"/>
      <c r="V53" s="1"/>
      <c r="W53" s="1"/>
      <c r="X53" s="1"/>
      <c r="Y53" s="1"/>
      <c r="Z53" s="1"/>
      <c r="AA53" s="1"/>
      <c r="AB53" s="1"/>
      <c r="AC53" s="1"/>
      <c r="AD53" s="1"/>
    </row>
    <row r="54" spans="1:30" ht="12.75" hidden="1" customHeight="1">
      <c r="A54" s="1"/>
      <c r="B54" s="265"/>
      <c r="C54" s="265"/>
      <c r="D54" s="265"/>
      <c r="E54" s="265"/>
      <c r="F54" s="265"/>
      <c r="G54" s="265"/>
      <c r="H54" s="265"/>
      <c r="I54" s="265"/>
      <c r="J54" s="265"/>
      <c r="K54" s="265"/>
      <c r="L54" s="63"/>
      <c r="M54" s="1"/>
      <c r="N54" s="1"/>
      <c r="O54" s="1"/>
      <c r="P54" s="1"/>
      <c r="Q54" s="1"/>
      <c r="R54" s="1"/>
      <c r="S54" s="1"/>
      <c r="T54" s="1"/>
      <c r="U54" s="1"/>
      <c r="V54" s="1"/>
      <c r="W54" s="1"/>
      <c r="X54" s="1"/>
      <c r="Y54" s="1"/>
      <c r="Z54" s="1"/>
      <c r="AA54" s="1"/>
      <c r="AB54" s="1"/>
      <c r="AC54" s="1"/>
      <c r="AD54" s="1"/>
    </row>
    <row r="55" spans="1:30" ht="12.75" hidden="1" customHeight="1">
      <c r="A55" s="1"/>
      <c r="B55" s="265"/>
      <c r="C55" s="265"/>
      <c r="D55" s="265"/>
      <c r="E55" s="265"/>
      <c r="F55" s="265"/>
      <c r="G55" s="265"/>
      <c r="H55" s="265"/>
      <c r="I55" s="265"/>
      <c r="J55" s="265"/>
      <c r="K55" s="265"/>
      <c r="L55" s="63"/>
      <c r="M55" s="1"/>
      <c r="N55" s="1"/>
      <c r="O55" s="1"/>
      <c r="P55" s="1"/>
      <c r="Q55" s="1"/>
      <c r="R55" s="1"/>
      <c r="S55" s="1"/>
      <c r="T55" s="1"/>
      <c r="U55" s="1"/>
      <c r="V55" s="1"/>
      <c r="W55" s="1"/>
      <c r="X55" s="1"/>
      <c r="Y55" s="1"/>
      <c r="Z55" s="1"/>
      <c r="AA55" s="1"/>
      <c r="AB55" s="1"/>
      <c r="AC55" s="1"/>
      <c r="AD55" s="1"/>
    </row>
    <row r="56" spans="1:30" ht="12.75" hidden="1" customHeight="1">
      <c r="A56" s="1"/>
      <c r="B56" s="265"/>
      <c r="C56" s="265"/>
      <c r="D56" s="265"/>
      <c r="E56" s="265"/>
      <c r="F56" s="265"/>
      <c r="G56" s="265"/>
      <c r="H56" s="265"/>
      <c r="I56" s="265"/>
      <c r="J56" s="265"/>
      <c r="K56" s="265"/>
      <c r="L56" s="63"/>
      <c r="M56" s="1"/>
      <c r="N56" s="1"/>
      <c r="O56" s="1"/>
      <c r="P56" s="1"/>
      <c r="Q56" s="1"/>
      <c r="R56" s="1"/>
      <c r="S56" s="1"/>
      <c r="T56" s="1"/>
      <c r="U56" s="1"/>
      <c r="V56" s="1"/>
      <c r="W56" s="1"/>
      <c r="X56" s="1"/>
      <c r="Y56" s="1"/>
      <c r="Z56" s="1"/>
      <c r="AA56" s="1"/>
      <c r="AB56" s="1"/>
      <c r="AC56" s="1"/>
      <c r="AD56" s="1"/>
    </row>
    <row r="57" spans="1:30" ht="12.75" hidden="1" customHeight="1">
      <c r="A57" s="1"/>
      <c r="B57" s="265"/>
      <c r="C57" s="265"/>
      <c r="D57" s="265"/>
      <c r="E57" s="265"/>
      <c r="F57" s="265"/>
      <c r="G57" s="265"/>
      <c r="H57" s="265"/>
      <c r="I57" s="265"/>
      <c r="J57" s="265"/>
      <c r="K57" s="265"/>
      <c r="L57" s="63"/>
      <c r="M57" s="1"/>
      <c r="N57" s="1"/>
      <c r="O57" s="1"/>
      <c r="P57" s="1"/>
      <c r="Q57" s="1"/>
      <c r="R57" s="1"/>
      <c r="S57" s="1"/>
      <c r="T57" s="1"/>
      <c r="U57" s="1"/>
      <c r="V57" s="1"/>
      <c r="W57" s="1"/>
      <c r="X57" s="1"/>
      <c r="Y57" s="1"/>
      <c r="Z57" s="1"/>
      <c r="AA57" s="1"/>
      <c r="AB57" s="1"/>
      <c r="AC57" s="1"/>
      <c r="AD57" s="1"/>
    </row>
    <row r="58" spans="1:30" ht="12.75" hidden="1" customHeight="1">
      <c r="A58" s="1"/>
      <c r="B58" s="265"/>
      <c r="C58" s="265"/>
      <c r="D58" s="265"/>
      <c r="E58" s="265"/>
      <c r="F58" s="265"/>
      <c r="G58" s="265"/>
      <c r="H58" s="265"/>
      <c r="I58" s="265"/>
      <c r="J58" s="265"/>
      <c r="K58" s="265"/>
      <c r="L58" s="63"/>
      <c r="M58" s="1"/>
      <c r="N58" s="1"/>
      <c r="O58" s="1"/>
      <c r="P58" s="1"/>
      <c r="Q58" s="1"/>
      <c r="R58" s="1"/>
      <c r="S58" s="1"/>
      <c r="T58" s="1"/>
      <c r="U58" s="1"/>
      <c r="V58" s="1"/>
      <c r="W58" s="1"/>
      <c r="X58" s="1"/>
      <c r="Y58" s="1"/>
      <c r="Z58" s="1"/>
      <c r="AA58" s="1"/>
      <c r="AB58" s="1"/>
      <c r="AC58" s="1"/>
      <c r="AD58" s="1"/>
    </row>
    <row r="59" spans="1:30" ht="12.75" hidden="1" customHeight="1">
      <c r="A59" s="1"/>
      <c r="B59" s="265"/>
      <c r="C59" s="265"/>
      <c r="D59" s="265"/>
      <c r="E59" s="265"/>
      <c r="F59" s="265"/>
      <c r="G59" s="265"/>
      <c r="H59" s="265"/>
      <c r="I59" s="265"/>
      <c r="J59" s="265"/>
      <c r="K59" s="265"/>
      <c r="L59" s="63"/>
      <c r="M59" s="1"/>
      <c r="N59" s="1"/>
      <c r="O59" s="1"/>
      <c r="P59" s="1"/>
      <c r="Q59" s="1"/>
      <c r="R59" s="1"/>
      <c r="S59" s="1"/>
      <c r="T59" s="1"/>
      <c r="U59" s="1"/>
      <c r="V59" s="1"/>
      <c r="W59" s="1"/>
      <c r="X59" s="1"/>
      <c r="Y59" s="1"/>
      <c r="Z59" s="1"/>
      <c r="AA59" s="1"/>
      <c r="AB59" s="1"/>
      <c r="AC59" s="1"/>
      <c r="AD59" s="1"/>
    </row>
    <row r="60" spans="1:30" ht="12.75" hidden="1" customHeight="1">
      <c r="A60" s="1"/>
      <c r="B60" s="265"/>
      <c r="C60" s="265"/>
      <c r="D60" s="265"/>
      <c r="E60" s="265"/>
      <c r="F60" s="265"/>
      <c r="G60" s="265"/>
      <c r="H60" s="265"/>
      <c r="I60" s="265"/>
      <c r="J60" s="265"/>
      <c r="K60" s="265"/>
      <c r="L60" s="63"/>
      <c r="M60" s="1"/>
      <c r="N60" s="1"/>
      <c r="O60" s="1"/>
      <c r="P60" s="1"/>
      <c r="Q60" s="1"/>
      <c r="R60" s="1"/>
      <c r="S60" s="1"/>
      <c r="T60" s="1"/>
      <c r="U60" s="1"/>
      <c r="V60" s="1"/>
      <c r="W60" s="1"/>
      <c r="X60" s="1"/>
      <c r="Y60" s="1"/>
      <c r="Z60" s="1"/>
      <c r="AA60" s="1"/>
      <c r="AB60" s="1"/>
      <c r="AC60" s="1"/>
      <c r="AD60" s="1"/>
    </row>
    <row r="61" spans="1:30"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spans="1:30"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spans="1:30"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spans="1:30"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spans="1:30"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spans="1:30"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spans="1:30"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spans="1:30"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spans="1:30"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spans="1:3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spans="1:30"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spans="1:30"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spans="1:30"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spans="1:30"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spans="1:30"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spans="1:30"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spans="1:30"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spans="1:30"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spans="1:30"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spans="1:3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spans="1:30"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spans="1:30"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spans="1:30"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spans="1:30"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spans="1:30"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spans="1:30"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spans="1:30"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spans="1:30"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spans="1:30"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spans="1:3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spans="1:30"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spans="1:30"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spans="1:30"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spans="1:30"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spans="1:30"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spans="1:30"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spans="1:30"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spans="1:30"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spans="1:30"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spans="1:3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spans="1:30"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spans="1:30"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spans="1:30"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spans="1:30"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spans="1:30"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spans="1:30"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spans="1:30"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spans="1:30"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spans="1:30"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spans="1:3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spans="1:30"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spans="1:30"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spans="1:30"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spans="1:30"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spans="1:30"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spans="1:30"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spans="1:30"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spans="1:30"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spans="1:30"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spans="1:3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spans="1:30"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spans="1:30"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spans="1:30"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spans="1:30"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spans="1:30"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spans="1:30"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spans="1:30"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spans="1:30"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spans="1:30"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spans="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spans="1:30"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spans="1:30"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spans="1:30"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spans="1:30"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spans="1:30"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spans="1:30"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spans="1:30"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spans="1:30"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spans="1:30"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spans="1:3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spans="1:30"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spans="1:30"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spans="1:30"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spans="1:30"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spans="1:30"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spans="1:30"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spans="1:30"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spans="1:30"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spans="1:30"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spans="1:3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spans="1:30"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spans="1:30"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spans="1:30"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spans="1:30"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spans="1:30"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spans="1:30"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spans="1:30"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spans="1:30"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spans="1:30"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spans="1:3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spans="1:30"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spans="1:30"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spans="1:30"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spans="1:30"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spans="1:30"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spans="1:30"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spans="1:30"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spans="1:30"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spans="1:30"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spans="1:3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spans="1:30"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spans="1:30"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spans="1:30"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spans="1:30"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spans="1:30"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spans="1:30"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spans="1:30"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spans="1:30"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spans="1:30"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spans="1:3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spans="1:30"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spans="1:30"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spans="1:30"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spans="1:30"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spans="1:30"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spans="1:30"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spans="1:30"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spans="1:30"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spans="1:30"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spans="1:3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spans="1:30"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spans="1:30"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spans="1:30"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spans="1:30"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spans="1:30"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spans="1:30"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spans="1:30"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spans="1:30"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spans="1:30"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spans="1:3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spans="1:30"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spans="1:30"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spans="1:30"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spans="1:30"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spans="1:30"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spans="1:30"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spans="1:30"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spans="1:30"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spans="1:30"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spans="1:3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spans="1:30"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spans="1:30"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spans="1:30"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spans="1:30"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spans="1:30"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spans="1:30"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spans="1:30"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spans="1:30"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spans="1:30"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spans="1:3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spans="1:30"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spans="1:30"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spans="1:30"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spans="1:30"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spans="1:30"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spans="1:30"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spans="1:30"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spans="1:30"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spans="1:30"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spans="1: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spans="1:30"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spans="1:30"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spans="1:30"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spans="1:30"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spans="1:30"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spans="1:30"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spans="1:30"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spans="1:30" ht="15.75" customHeight="1"/>
    <row r="239" spans="1:30" ht="15.75" customHeight="1"/>
    <row r="240" spans="1:3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0">
    <mergeCell ref="G2:K3"/>
    <mergeCell ref="B4:C4"/>
    <mergeCell ref="M4:AD5"/>
    <mergeCell ref="P8:T8"/>
    <mergeCell ref="Y8:AC8"/>
    <mergeCell ref="P9:T9"/>
    <mergeCell ref="N11:N15"/>
    <mergeCell ref="E30:F30"/>
    <mergeCell ref="E31:F31"/>
    <mergeCell ref="I31:K31"/>
    <mergeCell ref="P30:R30"/>
    <mergeCell ref="P31:R31"/>
    <mergeCell ref="P19:T19"/>
    <mergeCell ref="P20:T20"/>
    <mergeCell ref="N33:N37"/>
    <mergeCell ref="B34:K43"/>
    <mergeCell ref="N23:N27"/>
    <mergeCell ref="E28:F28"/>
    <mergeCell ref="I28:K28"/>
    <mergeCell ref="E29:F29"/>
    <mergeCell ref="I29:K29"/>
    <mergeCell ref="I30:K30"/>
    <mergeCell ref="Y30:AA30"/>
    <mergeCell ref="Y31:AA31"/>
    <mergeCell ref="W33:W37"/>
    <mergeCell ref="Y9:AC9"/>
    <mergeCell ref="W11:W15"/>
    <mergeCell ref="Y19:AC19"/>
    <mergeCell ref="Y20:AC20"/>
    <mergeCell ref="W23:W27"/>
  </mergeCells>
  <conditionalFormatting sqref="C5">
    <cfRule type="cellIs" dxfId="32" priority="1" operator="greaterThan">
      <formula>0.03</formula>
    </cfRule>
  </conditionalFormatting>
  <hyperlinks>
    <hyperlink ref="B24" r:id="rId1" xr:uid="{D7EBA6B0-8646-4706-872A-0471F1CD0410}"/>
  </hyperlinks>
  <pageMargins left="0.75" right="0.75" top="1" bottom="1" header="0" footer="0"/>
  <pageSetup orientation="portrait"/>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I1" sqref="I1"/>
    </sheetView>
  </sheetViews>
  <sheetFormatPr defaultColWidth="14.453125" defaultRowHeight="15" customHeight="1" outlineLevelRow="1"/>
  <cols>
    <col min="1" max="2" width="4.7265625" customWidth="1"/>
    <col min="3" max="3" width="33.7265625" customWidth="1"/>
    <col min="4" max="4" width="11.7265625" customWidth="1"/>
    <col min="5" max="7" width="9" customWidth="1"/>
    <col min="8" max="8" width="9.453125" customWidth="1"/>
    <col min="9" max="9" width="9" customWidth="1"/>
    <col min="10" max="26" width="8.7265625" customWidth="1"/>
  </cols>
  <sheetData>
    <row r="1" spans="1:26" ht="13.5" customHeight="1">
      <c r="A1" s="1"/>
      <c r="B1" s="1"/>
      <c r="C1" s="1"/>
      <c r="D1" s="1"/>
      <c r="E1" s="1"/>
      <c r="F1" s="1"/>
      <c r="G1" s="1"/>
      <c r="H1" s="1"/>
      <c r="I1" s="1"/>
      <c r="J1" s="1"/>
      <c r="K1" s="1"/>
      <c r="L1" s="1"/>
      <c r="M1" s="1"/>
      <c r="N1" s="1"/>
      <c r="O1" s="1"/>
      <c r="P1" s="1"/>
      <c r="Q1" s="1"/>
      <c r="R1" s="1"/>
      <c r="S1" s="1"/>
      <c r="T1" s="1"/>
      <c r="U1" s="1"/>
      <c r="V1" s="1"/>
      <c r="W1" s="1"/>
      <c r="X1" s="1"/>
      <c r="Y1" s="1"/>
      <c r="Z1" s="1"/>
    </row>
    <row r="2" spans="1:26" ht="13.5" customHeight="1">
      <c r="A2" s="1"/>
      <c r="B2" s="1"/>
      <c r="C2" s="348" t="s">
        <v>250</v>
      </c>
      <c r="D2" s="1"/>
      <c r="E2" s="1"/>
      <c r="F2" s="1"/>
      <c r="G2" s="1"/>
      <c r="H2" s="1"/>
      <c r="I2" s="1"/>
      <c r="J2" s="1"/>
      <c r="K2" s="1"/>
      <c r="L2" s="1"/>
      <c r="M2" s="1"/>
      <c r="N2" s="1"/>
      <c r="O2" s="1"/>
      <c r="P2" s="1"/>
      <c r="Q2" s="1"/>
      <c r="R2" s="1"/>
      <c r="S2" s="1"/>
      <c r="T2" s="1"/>
      <c r="U2" s="1"/>
      <c r="V2" s="1"/>
      <c r="W2" s="1"/>
      <c r="X2" s="1"/>
      <c r="Y2" s="1"/>
      <c r="Z2" s="1"/>
    </row>
    <row r="3" spans="1:26" ht="13.5" customHeight="1">
      <c r="A3" s="1"/>
      <c r="B3" s="1"/>
      <c r="C3" s="61"/>
      <c r="D3" s="1"/>
      <c r="E3" s="1"/>
      <c r="F3" s="1"/>
      <c r="G3" s="1"/>
      <c r="H3" s="1"/>
      <c r="I3" s="1"/>
      <c r="J3" s="1"/>
      <c r="K3" s="1"/>
      <c r="L3" s="1"/>
      <c r="M3" s="1"/>
      <c r="N3" s="1"/>
      <c r="O3" s="1"/>
      <c r="P3" s="1"/>
      <c r="Q3" s="1"/>
      <c r="R3" s="1"/>
      <c r="S3" s="1"/>
      <c r="T3" s="1"/>
      <c r="U3" s="1"/>
      <c r="V3" s="1"/>
      <c r="W3" s="1"/>
      <c r="X3" s="1"/>
      <c r="Y3" s="1"/>
      <c r="Z3" s="1"/>
    </row>
    <row r="4" spans="1:26" ht="13.5" customHeight="1">
      <c r="A4" s="1"/>
      <c r="B4" s="1"/>
      <c r="C4" s="61" t="s">
        <v>133</v>
      </c>
      <c r="D4" s="57">
        <f>FCFF!C13</f>
        <v>0.11025000000000001</v>
      </c>
      <c r="E4" s="1"/>
      <c r="F4" s="1"/>
      <c r="G4" s="1"/>
      <c r="H4" s="1"/>
      <c r="I4" s="1"/>
      <c r="J4" s="1"/>
      <c r="K4" s="1"/>
      <c r="L4" s="1"/>
      <c r="M4" s="1"/>
      <c r="N4" s="1"/>
      <c r="O4" s="1"/>
      <c r="P4" s="1"/>
      <c r="Q4" s="1"/>
      <c r="R4" s="1"/>
      <c r="S4" s="1"/>
      <c r="T4" s="1"/>
      <c r="U4" s="1"/>
      <c r="V4" s="1"/>
      <c r="W4" s="1"/>
      <c r="X4" s="1"/>
      <c r="Y4" s="1"/>
      <c r="Z4" s="1"/>
    </row>
    <row r="5" spans="1:26" ht="13.5" customHeight="1">
      <c r="A5" s="1"/>
      <c r="B5" s="1"/>
      <c r="C5" s="61" t="s">
        <v>118</v>
      </c>
      <c r="D5" s="349">
        <v>0.06</v>
      </c>
      <c r="E5" s="1"/>
      <c r="F5" s="1"/>
      <c r="G5" s="1"/>
      <c r="H5" s="1"/>
      <c r="I5" s="1"/>
      <c r="J5" s="1"/>
      <c r="K5" s="1"/>
      <c r="L5" s="1"/>
      <c r="M5" s="1"/>
      <c r="N5" s="1"/>
      <c r="O5" s="1"/>
      <c r="P5" s="1"/>
      <c r="Q5" s="1"/>
      <c r="R5" s="1"/>
      <c r="S5" s="1"/>
      <c r="T5" s="1"/>
      <c r="U5" s="1"/>
      <c r="V5" s="1"/>
      <c r="W5" s="1"/>
      <c r="X5" s="1"/>
      <c r="Y5" s="1"/>
      <c r="Z5" s="1"/>
    </row>
    <row r="6" spans="1:26" ht="13.5" customHeight="1">
      <c r="A6" s="1"/>
      <c r="B6" s="1"/>
      <c r="C6" s="61" t="s">
        <v>69</v>
      </c>
      <c r="D6" s="57">
        <f>Payout_Ratio</f>
        <v>6.3420770129804849E-2</v>
      </c>
      <c r="E6" s="1"/>
      <c r="F6" s="1"/>
      <c r="G6" s="1"/>
      <c r="H6" s="1"/>
      <c r="I6" s="1"/>
      <c r="J6" s="1"/>
      <c r="K6" s="1"/>
      <c r="L6" s="1"/>
      <c r="M6" s="1"/>
      <c r="N6" s="1"/>
      <c r="O6" s="1"/>
      <c r="P6" s="1"/>
      <c r="Q6" s="1"/>
      <c r="R6" s="1"/>
      <c r="S6" s="1"/>
      <c r="T6" s="1"/>
      <c r="U6" s="1"/>
      <c r="V6" s="1"/>
      <c r="W6" s="1"/>
      <c r="X6" s="1"/>
      <c r="Y6" s="1"/>
      <c r="Z6" s="1"/>
    </row>
    <row r="7" spans="1:26" ht="13.5" customHeight="1">
      <c r="A7" s="1"/>
      <c r="B7" s="1"/>
      <c r="C7" s="61" t="s">
        <v>70</v>
      </c>
      <c r="D7" s="57">
        <f>Sustainable_Growth_Rate</f>
        <v>0.24632683735022384</v>
      </c>
      <c r="E7" s="1"/>
      <c r="F7" s="1"/>
      <c r="G7" s="1"/>
      <c r="H7" s="1"/>
      <c r="I7" s="1"/>
      <c r="J7" s="1"/>
      <c r="K7" s="1"/>
      <c r="L7" s="1"/>
      <c r="M7" s="1"/>
      <c r="N7" s="1"/>
      <c r="O7" s="1"/>
      <c r="P7" s="1"/>
      <c r="Q7" s="1"/>
      <c r="R7" s="1"/>
      <c r="S7" s="1"/>
      <c r="T7" s="1"/>
      <c r="U7" s="1"/>
      <c r="V7" s="1"/>
      <c r="W7" s="1"/>
      <c r="X7" s="1"/>
      <c r="Y7" s="1"/>
      <c r="Z7" s="1"/>
    </row>
    <row r="8" spans="1:26" ht="13.5" customHeight="1">
      <c r="A8" s="1"/>
      <c r="B8" s="1"/>
      <c r="C8" s="350" t="s">
        <v>251</v>
      </c>
      <c r="D8" s="351">
        <f>Summary!K6</f>
        <v>1.4510000000000001</v>
      </c>
      <c r="E8" s="1"/>
      <c r="F8" s="1"/>
      <c r="G8" s="1"/>
      <c r="H8" s="1"/>
      <c r="I8" s="1"/>
      <c r="J8" s="1"/>
      <c r="K8" s="1"/>
      <c r="L8" s="1"/>
      <c r="M8" s="1"/>
      <c r="N8" s="1"/>
      <c r="O8" s="1"/>
      <c r="P8" s="1"/>
      <c r="Q8" s="1"/>
      <c r="R8" s="1"/>
      <c r="S8" s="1"/>
      <c r="T8" s="1"/>
      <c r="U8" s="1"/>
      <c r="V8" s="1"/>
      <c r="W8" s="1"/>
      <c r="X8" s="1"/>
      <c r="Y8" s="1"/>
      <c r="Z8" s="1"/>
    </row>
    <row r="9" spans="1:26" ht="13.5" customHeight="1">
      <c r="A9" s="1"/>
      <c r="B9" s="1"/>
      <c r="C9" s="1"/>
      <c r="D9" s="1"/>
      <c r="E9" s="1"/>
      <c r="F9" s="1"/>
      <c r="G9" s="1"/>
      <c r="H9" s="1"/>
      <c r="I9" s="1"/>
      <c r="J9" s="1"/>
      <c r="K9" s="1"/>
      <c r="L9" s="1"/>
      <c r="M9" s="1"/>
      <c r="N9" s="1"/>
      <c r="O9" s="1"/>
      <c r="P9" s="1"/>
      <c r="Q9" s="1"/>
      <c r="R9" s="1"/>
      <c r="S9" s="1"/>
      <c r="T9" s="1"/>
      <c r="U9" s="1"/>
      <c r="V9" s="1"/>
      <c r="W9" s="1"/>
      <c r="X9" s="1"/>
      <c r="Y9" s="1"/>
      <c r="Z9" s="1"/>
    </row>
    <row r="10" spans="1:26" ht="13.5" customHeight="1">
      <c r="A10" s="1"/>
      <c r="B10" s="1"/>
      <c r="C10" s="352" t="s">
        <v>252</v>
      </c>
      <c r="D10" s="1" t="str">
        <f t="shared" ref="D10:H10" si="0">IF(D11&gt;$D$7,"Caution, growth rate unsustainable","")</f>
        <v/>
      </c>
      <c r="E10" s="1" t="str">
        <f t="shared" si="0"/>
        <v/>
      </c>
      <c r="F10" s="1" t="str">
        <f t="shared" si="0"/>
        <v/>
      </c>
      <c r="G10" s="1" t="str">
        <f t="shared" si="0"/>
        <v/>
      </c>
      <c r="H10" s="1" t="str">
        <f t="shared" si="0"/>
        <v/>
      </c>
      <c r="I10" s="1"/>
      <c r="J10" s="1"/>
      <c r="K10" s="1"/>
      <c r="L10" s="1"/>
      <c r="M10" s="1"/>
      <c r="N10" s="1"/>
      <c r="O10" s="1"/>
      <c r="P10" s="1"/>
      <c r="Q10" s="1"/>
      <c r="R10" s="1"/>
      <c r="S10" s="1"/>
      <c r="T10" s="1"/>
      <c r="U10" s="1"/>
      <c r="V10" s="1"/>
      <c r="W10" s="1"/>
      <c r="X10" s="1"/>
      <c r="Y10" s="1"/>
      <c r="Z10" s="1"/>
    </row>
    <row r="11" spans="1:26" ht="13.5" customHeight="1">
      <c r="A11" s="1"/>
      <c r="B11" s="1"/>
      <c r="C11" s="61" t="s">
        <v>253</v>
      </c>
      <c r="D11" s="353">
        <v>0.05</v>
      </c>
      <c r="E11" s="353">
        <v>0.05</v>
      </c>
      <c r="F11" s="353">
        <v>0.05</v>
      </c>
      <c r="G11" s="353">
        <v>0.05</v>
      </c>
      <c r="H11" s="353">
        <v>0.05</v>
      </c>
      <c r="I11" s="1"/>
      <c r="J11" s="1"/>
      <c r="K11" s="1"/>
      <c r="L11" s="1"/>
      <c r="M11" s="1"/>
      <c r="N11" s="1"/>
      <c r="O11" s="1"/>
      <c r="P11" s="1"/>
      <c r="Q11" s="1"/>
      <c r="R11" s="1"/>
      <c r="S11" s="1"/>
      <c r="T11" s="1"/>
      <c r="U11" s="1"/>
      <c r="V11" s="1"/>
      <c r="W11" s="1"/>
      <c r="X11" s="1"/>
      <c r="Y11" s="1"/>
      <c r="Z11" s="1"/>
    </row>
    <row r="12" spans="1:26" ht="13.5" customHeight="1">
      <c r="A12" s="1"/>
      <c r="B12" s="1"/>
      <c r="C12" s="1"/>
      <c r="D12" s="354">
        <f>FCFF!G7</f>
        <v>2021</v>
      </c>
      <c r="E12" s="354">
        <f>FCFF!H7</f>
        <v>2022</v>
      </c>
      <c r="F12" s="354">
        <f>FCFF!I7</f>
        <v>2023</v>
      </c>
      <c r="G12" s="354">
        <f>FCFF!J7</f>
        <v>2024</v>
      </c>
      <c r="H12" s="354">
        <f>FCFF!K7</f>
        <v>2025</v>
      </c>
      <c r="I12" s="1"/>
      <c r="J12" s="1"/>
      <c r="K12" s="1"/>
      <c r="L12" s="1"/>
      <c r="M12" s="1"/>
      <c r="N12" s="1"/>
      <c r="O12" s="1"/>
      <c r="P12" s="1"/>
      <c r="Q12" s="1"/>
      <c r="R12" s="1"/>
      <c r="S12" s="1"/>
      <c r="T12" s="1"/>
      <c r="U12" s="1"/>
      <c r="V12" s="1"/>
      <c r="W12" s="1"/>
      <c r="X12" s="1"/>
      <c r="Y12" s="1"/>
      <c r="Z12" s="1"/>
    </row>
    <row r="13" spans="1:26" ht="13.5" customHeight="1">
      <c r="A13" s="1"/>
      <c r="B13" s="1"/>
      <c r="C13" s="61" t="s">
        <v>254</v>
      </c>
      <c r="D13" s="50">
        <f>D8*(1+D11)</f>
        <v>1.5235500000000002</v>
      </c>
      <c r="E13" s="50">
        <f t="shared" ref="E13:H13" si="1">D13*(1+E11)</f>
        <v>1.5997275000000002</v>
      </c>
      <c r="F13" s="50">
        <f t="shared" si="1"/>
        <v>1.6797138750000002</v>
      </c>
      <c r="G13" s="50">
        <f t="shared" si="1"/>
        <v>1.7636995687500003</v>
      </c>
      <c r="H13" s="50">
        <f t="shared" si="1"/>
        <v>1.8518845471875005</v>
      </c>
      <c r="I13" s="1"/>
      <c r="J13" s="1"/>
      <c r="K13" s="1"/>
      <c r="L13" s="1"/>
      <c r="M13" s="1"/>
      <c r="N13" s="1"/>
      <c r="O13" s="1"/>
      <c r="P13" s="1"/>
      <c r="Q13" s="1"/>
      <c r="R13" s="1"/>
      <c r="S13" s="1"/>
      <c r="T13" s="1"/>
      <c r="U13" s="1"/>
      <c r="V13" s="1"/>
      <c r="W13" s="1"/>
      <c r="X13" s="1"/>
      <c r="Y13" s="1"/>
      <c r="Z13" s="1"/>
    </row>
    <row r="14" spans="1:26" ht="13.5" customHeight="1">
      <c r="A14" s="1"/>
      <c r="B14" s="1"/>
      <c r="C14" s="56" t="s">
        <v>138</v>
      </c>
      <c r="D14" s="1"/>
      <c r="E14" s="1"/>
      <c r="F14" s="1"/>
      <c r="G14" s="1"/>
      <c r="H14" s="50">
        <f>H13*(1+D5)/(D4-D5)</f>
        <v>39.064629254104474</v>
      </c>
      <c r="I14" s="1"/>
      <c r="J14" s="1"/>
      <c r="K14" s="1"/>
      <c r="L14" s="1"/>
      <c r="M14" s="1"/>
      <c r="N14" s="1"/>
      <c r="O14" s="1"/>
      <c r="P14" s="1"/>
      <c r="Q14" s="1"/>
      <c r="R14" s="1"/>
      <c r="S14" s="1"/>
      <c r="T14" s="1"/>
      <c r="U14" s="1"/>
      <c r="V14" s="1"/>
      <c r="W14" s="1"/>
      <c r="X14" s="1"/>
      <c r="Y14" s="1"/>
      <c r="Z14" s="1"/>
    </row>
    <row r="15" spans="1:26" ht="13.5" customHeight="1">
      <c r="A15" s="1"/>
      <c r="B15" s="1"/>
      <c r="C15" s="61" t="s">
        <v>255</v>
      </c>
      <c r="D15" s="50">
        <f t="shared" ref="D15:H15" si="2">SUM(D13:D14)</f>
        <v>1.5235500000000002</v>
      </c>
      <c r="E15" s="50">
        <f t="shared" si="2"/>
        <v>1.5997275000000002</v>
      </c>
      <c r="F15" s="50">
        <f t="shared" si="2"/>
        <v>1.6797138750000002</v>
      </c>
      <c r="G15" s="50">
        <f t="shared" si="2"/>
        <v>1.7636995687500003</v>
      </c>
      <c r="H15" s="50">
        <f t="shared" si="2"/>
        <v>40.916513801291977</v>
      </c>
      <c r="I15" s="1"/>
      <c r="J15" s="1"/>
      <c r="K15" s="1"/>
      <c r="L15" s="1"/>
      <c r="M15" s="1"/>
      <c r="N15" s="1"/>
      <c r="O15" s="1"/>
      <c r="P15" s="1"/>
      <c r="Q15" s="1"/>
      <c r="R15" s="1"/>
      <c r="S15" s="1"/>
      <c r="T15" s="1"/>
      <c r="U15" s="1"/>
      <c r="V15" s="1"/>
      <c r="W15" s="1"/>
      <c r="X15" s="1"/>
      <c r="Y15" s="1"/>
      <c r="Z15" s="1"/>
    </row>
    <row r="16" spans="1:26" ht="13.5" customHeight="1">
      <c r="A16" s="1"/>
      <c r="B16" s="1"/>
      <c r="C16" s="61"/>
      <c r="D16" s="50"/>
      <c r="E16" s="50"/>
      <c r="F16" s="50"/>
      <c r="G16" s="50"/>
      <c r="H16" s="50"/>
      <c r="I16" s="1"/>
      <c r="J16" s="1"/>
      <c r="K16" s="1"/>
      <c r="L16" s="1"/>
      <c r="M16" s="1"/>
      <c r="N16" s="1"/>
      <c r="O16" s="1"/>
      <c r="P16" s="1"/>
      <c r="Q16" s="1"/>
      <c r="R16" s="1"/>
      <c r="S16" s="1"/>
      <c r="T16" s="1"/>
      <c r="U16" s="1"/>
      <c r="V16" s="1"/>
      <c r="W16" s="1"/>
      <c r="X16" s="1"/>
      <c r="Y16" s="1"/>
      <c r="Z16" s="1"/>
    </row>
    <row r="17" spans="1:26" ht="13.5" hidden="1" customHeight="1" outlineLevel="1">
      <c r="A17" s="1"/>
      <c r="B17" s="1"/>
      <c r="C17" s="61" t="s">
        <v>256</v>
      </c>
      <c r="D17" s="50">
        <f>(FCFF!G10-(FCFF!G10*(IS!$H$14/IS!$H$13)))/IS!$H$27</f>
        <v>22.320097510985271</v>
      </c>
      <c r="E17" s="50">
        <f>(FCFF!H10-(FCFF!H10*(IS!$H$14/IS!$H$13)))/IS!$H$27</f>
        <v>23.547702874089456</v>
      </c>
      <c r="F17" s="50">
        <f>(FCFF!I10-(FCFF!I10*(IS!$H$14/IS!$H$13)))/IS!$H$27</f>
        <v>24.960565046534825</v>
      </c>
      <c r="G17" s="50">
        <f>(FCFF!J10-(FCFF!J10*(IS!$H$14/IS!$H$13)))/IS!$H$27</f>
        <v>26.707804599792265</v>
      </c>
      <c r="H17" s="50">
        <f>(FCFF!K10-(FCFF!K10*(IS!$H$14/IS!$H$13)))/IS!$H$27</f>
        <v>28.310272875779809</v>
      </c>
      <c r="I17" s="1"/>
      <c r="J17" s="1"/>
      <c r="K17" s="1"/>
      <c r="L17" s="1"/>
      <c r="M17" s="1"/>
      <c r="N17" s="1"/>
      <c r="O17" s="1"/>
      <c r="P17" s="1"/>
      <c r="Q17" s="1"/>
      <c r="R17" s="1"/>
      <c r="S17" s="1"/>
      <c r="T17" s="1"/>
      <c r="U17" s="1"/>
      <c r="V17" s="1"/>
      <c r="W17" s="1"/>
      <c r="X17" s="1"/>
      <c r="Y17" s="1"/>
      <c r="Z17" s="1"/>
    </row>
    <row r="18" spans="1:26" ht="13.5" hidden="1" customHeight="1" outlineLevel="1">
      <c r="A18" s="1"/>
      <c r="B18" s="1"/>
      <c r="C18" s="61" t="s">
        <v>257</v>
      </c>
      <c r="D18" s="54">
        <f t="shared" ref="D18:H18" si="3">D13/D17</f>
        <v>6.8259110393677963E-2</v>
      </c>
      <c r="E18" s="54">
        <f t="shared" si="3"/>
        <v>6.7935607500816939E-2</v>
      </c>
      <c r="F18" s="54">
        <f t="shared" si="3"/>
        <v>6.7294705543262057E-2</v>
      </c>
      <c r="G18" s="54">
        <f t="shared" si="3"/>
        <v>6.6036860579836598E-2</v>
      </c>
      <c r="H18" s="54">
        <f t="shared" si="3"/>
        <v>6.5413871329083412E-2</v>
      </c>
      <c r="I18" s="1"/>
      <c r="J18" s="1"/>
      <c r="K18" s="1"/>
      <c r="L18" s="1"/>
      <c r="M18" s="1"/>
      <c r="N18" s="1"/>
      <c r="O18" s="1"/>
      <c r="P18" s="1"/>
      <c r="Q18" s="1"/>
      <c r="R18" s="1"/>
      <c r="S18" s="1"/>
      <c r="T18" s="1"/>
      <c r="U18" s="1"/>
      <c r="V18" s="1"/>
      <c r="W18" s="1"/>
      <c r="X18" s="1"/>
      <c r="Y18" s="1"/>
      <c r="Z18" s="1"/>
    </row>
    <row r="19" spans="1:26" ht="13.5" customHeight="1" collapsed="1">
      <c r="A19" s="1"/>
      <c r="B19" s="1"/>
      <c r="C19" s="61"/>
      <c r="D19" s="50"/>
      <c r="E19" s="50"/>
      <c r="F19" s="50"/>
      <c r="G19" s="50"/>
      <c r="H19" s="50"/>
      <c r="I19" s="1"/>
      <c r="J19" s="1"/>
      <c r="K19" s="1"/>
      <c r="L19" s="1"/>
      <c r="M19" s="1"/>
      <c r="N19" s="1"/>
      <c r="O19" s="1"/>
      <c r="P19" s="1"/>
      <c r="Q19" s="1"/>
      <c r="R19" s="1"/>
      <c r="S19" s="1"/>
      <c r="T19" s="1"/>
      <c r="U19" s="1"/>
      <c r="V19" s="1"/>
      <c r="W19" s="1"/>
      <c r="X19" s="1"/>
      <c r="Y19" s="1"/>
      <c r="Z19" s="1"/>
    </row>
    <row r="20" spans="1:26" ht="13.5" customHeight="1">
      <c r="A20" s="1"/>
      <c r="B20" s="1"/>
      <c r="C20" s="61"/>
      <c r="D20" s="50"/>
      <c r="E20" s="50"/>
      <c r="F20" s="50"/>
      <c r="G20" s="50"/>
      <c r="H20" s="50"/>
      <c r="I20" s="1"/>
      <c r="J20" s="1"/>
      <c r="K20" s="1"/>
      <c r="L20" s="1"/>
      <c r="M20" s="1"/>
      <c r="N20" s="1"/>
      <c r="O20" s="1"/>
      <c r="P20" s="1"/>
      <c r="Q20" s="1"/>
      <c r="R20" s="1"/>
      <c r="S20" s="1"/>
      <c r="T20" s="1"/>
      <c r="U20" s="1"/>
      <c r="V20" s="1"/>
      <c r="W20" s="1"/>
      <c r="X20" s="1"/>
      <c r="Y20" s="1"/>
      <c r="Z20" s="1"/>
    </row>
    <row r="21" spans="1:26"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5" customHeight="1">
      <c r="A23" s="1"/>
      <c r="B23" s="1"/>
      <c r="C23" s="61" t="s">
        <v>258</v>
      </c>
      <c r="D23" s="228">
        <f t="array" ref="D23">NPV(D4,D15:H15)</f>
        <v>29.312802219470328</v>
      </c>
      <c r="E23" s="1"/>
      <c r="F23" s="1"/>
      <c r="G23" s="1"/>
      <c r="H23" s="1"/>
      <c r="I23" s="1"/>
      <c r="J23" s="1"/>
      <c r="K23" s="1"/>
      <c r="L23" s="1"/>
      <c r="M23" s="1"/>
      <c r="N23" s="1"/>
      <c r="O23" s="1"/>
      <c r="P23" s="1"/>
      <c r="Q23" s="1"/>
      <c r="R23" s="1"/>
      <c r="S23" s="1"/>
      <c r="T23" s="1"/>
      <c r="U23" s="1"/>
      <c r="V23" s="1"/>
      <c r="W23" s="1"/>
      <c r="X23" s="1"/>
      <c r="Y23" s="1"/>
      <c r="Z23" s="1"/>
    </row>
    <row r="24" spans="1:26"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5" customHeight="1">
      <c r="A25" s="1"/>
      <c r="B25" s="1"/>
      <c r="C25" s="61" t="s">
        <v>259</v>
      </c>
      <c r="D25" s="355">
        <f>D23*(1+D4)</f>
        <v>32.544538664166929</v>
      </c>
      <c r="E25" s="1"/>
      <c r="F25" s="1"/>
      <c r="G25" s="1"/>
      <c r="H25" s="1"/>
      <c r="I25" s="1"/>
      <c r="J25" s="1"/>
      <c r="K25" s="1"/>
      <c r="L25" s="1"/>
      <c r="M25" s="1"/>
      <c r="N25" s="1"/>
      <c r="O25" s="1"/>
      <c r="P25" s="1"/>
      <c r="Q25" s="1"/>
      <c r="R25" s="1"/>
      <c r="S25" s="1"/>
      <c r="T25" s="1"/>
      <c r="U25" s="1"/>
      <c r="V25" s="1"/>
      <c r="W25" s="1"/>
      <c r="X25" s="1"/>
      <c r="Y25" s="1"/>
      <c r="Z25" s="1"/>
    </row>
    <row r="26" spans="1: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356" t="s">
        <v>260</v>
      </c>
      <c r="D28" s="60"/>
      <c r="E28" s="60"/>
      <c r="F28" s="60"/>
      <c r="G28" s="60"/>
      <c r="H28" s="60"/>
      <c r="I28" s="60"/>
      <c r="J28" s="1"/>
      <c r="K28" s="1"/>
      <c r="L28" s="1"/>
      <c r="M28" s="1"/>
      <c r="N28" s="1"/>
      <c r="O28" s="1"/>
      <c r="P28" s="1"/>
      <c r="Q28" s="1"/>
      <c r="R28" s="1"/>
      <c r="S28" s="1"/>
      <c r="T28" s="1"/>
      <c r="U28" s="1"/>
      <c r="V28" s="1"/>
      <c r="W28" s="1"/>
      <c r="X28" s="1"/>
      <c r="Y28" s="1"/>
      <c r="Z28" s="1"/>
    </row>
    <row r="29" spans="1:26" ht="13.5" customHeight="1">
      <c r="A29" s="1"/>
      <c r="B29" s="1"/>
      <c r="C29" s="698" t="s">
        <v>261</v>
      </c>
      <c r="D29" s="686"/>
      <c r="E29" s="686"/>
      <c r="F29" s="686"/>
      <c r="G29" s="686"/>
      <c r="H29" s="686"/>
      <c r="I29" s="686"/>
      <c r="J29" s="1"/>
      <c r="K29" s="1"/>
      <c r="L29" s="1"/>
      <c r="M29" s="1"/>
      <c r="N29" s="1"/>
      <c r="O29" s="1"/>
      <c r="P29" s="1"/>
      <c r="Q29" s="1"/>
      <c r="R29" s="1"/>
      <c r="S29" s="1"/>
      <c r="T29" s="1"/>
      <c r="U29" s="1"/>
      <c r="V29" s="1"/>
      <c r="W29" s="1"/>
      <c r="X29" s="1"/>
      <c r="Y29" s="1"/>
      <c r="Z29" s="1"/>
    </row>
    <row r="30" spans="1:26" ht="12.75" hidden="1" customHeight="1">
      <c r="A30" s="1"/>
      <c r="B30" s="1"/>
      <c r="C30" s="357" t="s">
        <v>262</v>
      </c>
      <c r="D30" s="358"/>
      <c r="E30" s="358"/>
      <c r="F30" s="358"/>
      <c r="G30" s="358"/>
      <c r="H30" s="358"/>
      <c r="I30" s="358"/>
      <c r="J30" s="1"/>
      <c r="K30" s="1"/>
      <c r="L30" s="1"/>
      <c r="M30" s="1"/>
      <c r="N30" s="1"/>
      <c r="O30" s="1"/>
      <c r="P30" s="1"/>
      <c r="Q30" s="1"/>
      <c r="R30" s="1"/>
      <c r="S30" s="1"/>
      <c r="T30" s="1"/>
      <c r="U30" s="1"/>
      <c r="V30" s="1"/>
      <c r="W30" s="1"/>
      <c r="X30" s="1"/>
      <c r="Y30" s="1"/>
      <c r="Z30" s="1"/>
    </row>
    <row r="31" spans="1:26" ht="12.75" hidden="1" customHeight="1">
      <c r="A31" s="1"/>
      <c r="B31" s="1"/>
      <c r="C31" s="357" t="s">
        <v>263</v>
      </c>
      <c r="D31" s="358"/>
      <c r="E31" s="358"/>
      <c r="F31" s="358"/>
      <c r="G31" s="358"/>
      <c r="H31" s="358"/>
      <c r="I31" s="358"/>
      <c r="J31" s="1"/>
      <c r="K31" s="1"/>
      <c r="L31" s="1"/>
      <c r="M31" s="1"/>
      <c r="N31" s="1"/>
      <c r="O31" s="1"/>
      <c r="P31" s="1"/>
      <c r="Q31" s="1"/>
      <c r="R31" s="1"/>
      <c r="S31" s="1"/>
      <c r="T31" s="1"/>
      <c r="U31" s="1"/>
      <c r="V31" s="1"/>
      <c r="W31" s="1"/>
      <c r="X31" s="1"/>
      <c r="Y31" s="1"/>
      <c r="Z31" s="1"/>
    </row>
    <row r="32" spans="1:26" ht="12.75" hidden="1" customHeight="1">
      <c r="A32" s="1"/>
      <c r="B32" s="1"/>
      <c r="C32" s="357" t="s">
        <v>262</v>
      </c>
      <c r="D32" s="358"/>
      <c r="E32" s="358"/>
      <c r="F32" s="358"/>
      <c r="G32" s="358"/>
      <c r="H32" s="358"/>
      <c r="I32" s="358"/>
      <c r="J32" s="1"/>
      <c r="K32" s="1"/>
      <c r="L32" s="1"/>
      <c r="M32" s="1"/>
      <c r="N32" s="1"/>
      <c r="O32" s="1"/>
      <c r="P32" s="1"/>
      <c r="Q32" s="1"/>
      <c r="R32" s="1"/>
      <c r="S32" s="1"/>
      <c r="T32" s="1"/>
      <c r="U32" s="1"/>
      <c r="V32" s="1"/>
      <c r="W32" s="1"/>
      <c r="X32" s="1"/>
      <c r="Y32" s="1"/>
      <c r="Z32" s="1"/>
    </row>
    <row r="33" spans="1:26" ht="12.75" hidden="1" customHeight="1">
      <c r="A33" s="1"/>
      <c r="B33" s="1"/>
      <c r="C33" s="357" t="s">
        <v>263</v>
      </c>
      <c r="D33" s="358"/>
      <c r="E33" s="358"/>
      <c r="F33" s="358"/>
      <c r="G33" s="358"/>
      <c r="H33" s="358"/>
      <c r="I33" s="358"/>
      <c r="J33" s="1"/>
      <c r="K33" s="1"/>
      <c r="L33" s="1"/>
      <c r="M33" s="1"/>
      <c r="N33" s="1"/>
      <c r="O33" s="1"/>
      <c r="P33" s="1"/>
      <c r="Q33" s="1"/>
      <c r="R33" s="1"/>
      <c r="S33" s="1"/>
      <c r="T33" s="1"/>
      <c r="U33" s="1"/>
      <c r="V33" s="1"/>
      <c r="W33" s="1"/>
      <c r="X33" s="1"/>
      <c r="Y33" s="1"/>
      <c r="Z33" s="1"/>
    </row>
    <row r="34" spans="1:26" ht="12.75" hidden="1" customHeight="1">
      <c r="A34" s="1"/>
      <c r="B34" s="1"/>
      <c r="C34" s="357" t="s">
        <v>262</v>
      </c>
      <c r="D34" s="358"/>
      <c r="E34" s="358"/>
      <c r="F34" s="358"/>
      <c r="G34" s="358"/>
      <c r="H34" s="358"/>
      <c r="I34" s="358"/>
      <c r="J34" s="1"/>
      <c r="K34" s="1"/>
      <c r="L34" s="1"/>
      <c r="M34" s="1"/>
      <c r="N34" s="1"/>
      <c r="O34" s="1"/>
      <c r="P34" s="1"/>
      <c r="Q34" s="1"/>
      <c r="R34" s="1"/>
      <c r="S34" s="1"/>
      <c r="T34" s="1"/>
      <c r="U34" s="1"/>
      <c r="V34" s="1"/>
      <c r="W34" s="1"/>
      <c r="X34" s="1"/>
      <c r="Y34" s="1"/>
      <c r="Z34" s="1"/>
    </row>
    <row r="35" spans="1:26" ht="12.75" hidden="1" customHeight="1">
      <c r="A35" s="1"/>
      <c r="B35" s="1"/>
      <c r="C35" s="357" t="s">
        <v>263</v>
      </c>
      <c r="D35" s="358"/>
      <c r="E35" s="358"/>
      <c r="F35" s="358"/>
      <c r="G35" s="358"/>
      <c r="H35" s="358"/>
      <c r="I35" s="358"/>
      <c r="J35" s="1"/>
      <c r="K35" s="1"/>
      <c r="L35" s="1"/>
      <c r="M35" s="1"/>
      <c r="N35" s="1"/>
      <c r="O35" s="1"/>
      <c r="P35" s="1"/>
      <c r="Q35" s="1"/>
      <c r="R35" s="1"/>
      <c r="S35" s="1"/>
      <c r="T35" s="1"/>
      <c r="U35" s="1"/>
      <c r="V35" s="1"/>
      <c r="W35" s="1"/>
      <c r="X35" s="1"/>
      <c r="Y35" s="1"/>
      <c r="Z35" s="1"/>
    </row>
    <row r="36" spans="1:26" ht="12.75" hidden="1" customHeight="1">
      <c r="A36" s="1"/>
      <c r="B36" s="1"/>
      <c r="C36" s="357" t="s">
        <v>262</v>
      </c>
      <c r="D36" s="358"/>
      <c r="E36" s="358"/>
      <c r="F36" s="358"/>
      <c r="G36" s="358"/>
      <c r="H36" s="358"/>
      <c r="I36" s="358"/>
      <c r="J36" s="1"/>
      <c r="K36" s="1"/>
      <c r="L36" s="1"/>
      <c r="M36" s="1"/>
      <c r="N36" s="1"/>
      <c r="O36" s="1"/>
      <c r="P36" s="1"/>
      <c r="Q36" s="1"/>
      <c r="R36" s="1"/>
      <c r="S36" s="1"/>
      <c r="T36" s="1"/>
      <c r="U36" s="1"/>
      <c r="V36" s="1"/>
      <c r="W36" s="1"/>
      <c r="X36" s="1"/>
      <c r="Y36" s="1"/>
      <c r="Z36" s="1"/>
    </row>
    <row r="37" spans="1:26" ht="12.75" hidden="1" customHeight="1">
      <c r="A37" s="1"/>
      <c r="B37" s="1"/>
      <c r="C37" s="357" t="s">
        <v>263</v>
      </c>
      <c r="D37" s="358"/>
      <c r="E37" s="358"/>
      <c r="F37" s="358"/>
      <c r="G37" s="358"/>
      <c r="H37" s="358"/>
      <c r="I37" s="358"/>
      <c r="J37" s="1"/>
      <c r="K37" s="1"/>
      <c r="L37" s="1"/>
      <c r="M37" s="1"/>
      <c r="N37" s="1"/>
      <c r="O37" s="1"/>
      <c r="P37" s="1"/>
      <c r="Q37" s="1"/>
      <c r="R37" s="1"/>
      <c r="S37" s="1"/>
      <c r="T37" s="1"/>
      <c r="U37" s="1"/>
      <c r="V37" s="1"/>
      <c r="W37" s="1"/>
      <c r="X37" s="1"/>
      <c r="Y37" s="1"/>
      <c r="Z37" s="1"/>
    </row>
    <row r="38" spans="1:26" ht="12.75" hidden="1" customHeight="1">
      <c r="A38" s="1"/>
      <c r="B38" s="1"/>
      <c r="C38" s="357" t="s">
        <v>262</v>
      </c>
      <c r="D38" s="358"/>
      <c r="E38" s="358"/>
      <c r="F38" s="358"/>
      <c r="G38" s="358"/>
      <c r="H38" s="358"/>
      <c r="I38" s="358"/>
      <c r="J38" s="1"/>
      <c r="K38" s="1"/>
      <c r="L38" s="1"/>
      <c r="M38" s="1"/>
      <c r="N38" s="1"/>
      <c r="O38" s="1"/>
      <c r="P38" s="1"/>
      <c r="Q38" s="1"/>
      <c r="R38" s="1"/>
      <c r="S38" s="1"/>
      <c r="T38" s="1"/>
      <c r="U38" s="1"/>
      <c r="V38" s="1"/>
      <c r="W38" s="1"/>
      <c r="X38" s="1"/>
      <c r="Y38" s="1"/>
      <c r="Z38" s="1"/>
    </row>
    <row r="39" spans="1:26" ht="12.75" hidden="1" customHeight="1">
      <c r="A39" s="1"/>
      <c r="B39" s="1"/>
      <c r="C39" s="357" t="s">
        <v>263</v>
      </c>
      <c r="D39" s="358"/>
      <c r="E39" s="358"/>
      <c r="F39" s="358"/>
      <c r="G39" s="358"/>
      <c r="H39" s="358"/>
      <c r="I39" s="358"/>
      <c r="J39" s="1"/>
      <c r="K39" s="1"/>
      <c r="L39" s="1"/>
      <c r="M39" s="1"/>
      <c r="N39" s="1"/>
      <c r="O39" s="1"/>
      <c r="P39" s="1"/>
      <c r="Q39" s="1"/>
      <c r="R39" s="1"/>
      <c r="S39" s="1"/>
      <c r="T39" s="1"/>
      <c r="U39" s="1"/>
      <c r="V39" s="1"/>
      <c r="W39" s="1"/>
      <c r="X39" s="1"/>
      <c r="Y39" s="1"/>
      <c r="Z39" s="1"/>
    </row>
    <row r="40" spans="1:26" ht="12.75" hidden="1" customHeight="1">
      <c r="A40" s="1"/>
      <c r="B40" s="1"/>
      <c r="C40" s="357" t="s">
        <v>262</v>
      </c>
      <c r="D40" s="358"/>
      <c r="E40" s="358"/>
      <c r="F40" s="358"/>
      <c r="G40" s="358"/>
      <c r="H40" s="358"/>
      <c r="I40" s="358"/>
      <c r="J40" s="1"/>
      <c r="K40" s="1"/>
      <c r="L40" s="1"/>
      <c r="M40" s="1"/>
      <c r="N40" s="1"/>
      <c r="O40" s="1"/>
      <c r="P40" s="1"/>
      <c r="Q40" s="1"/>
      <c r="R40" s="1"/>
      <c r="S40" s="1"/>
      <c r="T40" s="1"/>
      <c r="U40" s="1"/>
      <c r="V40" s="1"/>
      <c r="W40" s="1"/>
      <c r="X40" s="1"/>
      <c r="Y40" s="1"/>
      <c r="Z40" s="1"/>
    </row>
    <row r="41" spans="1:26" ht="12.75" hidden="1" customHeight="1">
      <c r="A41" s="1"/>
      <c r="B41" s="1"/>
      <c r="C41" s="357" t="s">
        <v>263</v>
      </c>
      <c r="D41" s="358"/>
      <c r="E41" s="358"/>
      <c r="F41" s="358"/>
      <c r="G41" s="358"/>
      <c r="H41" s="358"/>
      <c r="I41" s="358"/>
      <c r="J41" s="1"/>
      <c r="K41" s="1"/>
      <c r="L41" s="1"/>
      <c r="M41" s="1"/>
      <c r="N41" s="1"/>
      <c r="O41" s="1"/>
      <c r="P41" s="1"/>
      <c r="Q41" s="1"/>
      <c r="R41" s="1"/>
      <c r="S41" s="1"/>
      <c r="T41" s="1"/>
      <c r="U41" s="1"/>
      <c r="V41" s="1"/>
      <c r="W41" s="1"/>
      <c r="X41" s="1"/>
      <c r="Y41" s="1"/>
      <c r="Z41" s="1"/>
    </row>
    <row r="42" spans="1:26" ht="13.5" customHeight="1">
      <c r="A42" s="1"/>
      <c r="B42" s="1"/>
      <c r="C42" s="699" t="s">
        <v>262</v>
      </c>
      <c r="D42" s="625"/>
      <c r="E42" s="625"/>
      <c r="F42" s="625"/>
      <c r="G42" s="625"/>
      <c r="H42" s="625"/>
      <c r="I42" s="625"/>
      <c r="J42" s="1"/>
      <c r="K42" s="1"/>
      <c r="L42" s="1"/>
      <c r="M42" s="1"/>
      <c r="N42" s="1"/>
      <c r="O42" s="1"/>
      <c r="P42" s="1"/>
      <c r="Q42" s="1"/>
      <c r="R42" s="1"/>
      <c r="S42" s="1"/>
      <c r="T42" s="1"/>
      <c r="U42" s="1"/>
      <c r="V42" s="1"/>
      <c r="W42" s="1"/>
      <c r="X42" s="1"/>
      <c r="Y42" s="1"/>
      <c r="Z42" s="1"/>
    </row>
    <row r="43" spans="1:26" ht="13.5" customHeight="1">
      <c r="A43" s="1"/>
      <c r="B43" s="1"/>
      <c r="C43" s="357" t="s">
        <v>264</v>
      </c>
      <c r="D43" s="358"/>
      <c r="E43" s="358"/>
      <c r="F43" s="358"/>
      <c r="G43" s="358"/>
      <c r="H43" s="358"/>
      <c r="I43" s="358"/>
      <c r="J43" s="1"/>
      <c r="K43" s="1"/>
      <c r="L43" s="1"/>
      <c r="M43" s="1"/>
      <c r="N43" s="1"/>
      <c r="O43" s="1"/>
      <c r="P43" s="1"/>
      <c r="Q43" s="1"/>
      <c r="R43" s="1"/>
      <c r="S43" s="1"/>
      <c r="T43" s="1"/>
      <c r="U43" s="1"/>
      <c r="V43" s="1"/>
      <c r="W43" s="1"/>
      <c r="X43" s="1"/>
      <c r="Y43" s="1"/>
      <c r="Z43" s="1"/>
    </row>
    <row r="44" spans="1:26"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29:I29"/>
    <mergeCell ref="C42:I42"/>
  </mergeCells>
  <conditionalFormatting sqref="D10">
    <cfRule type="containsText" dxfId="31" priority="1" operator="containsText" text="Caution, growth rate unsustainable">
      <formula>NOT(ISERROR(SEARCH(("Caution, growth rate unsustainable"),(D10))))</formula>
    </cfRule>
  </conditionalFormatting>
  <conditionalFormatting sqref="E10:H10">
    <cfRule type="containsText" dxfId="30" priority="2" operator="containsText" text="Caution, growth rate unsustainable">
      <formula>NOT(ISERROR(SEARCH(("Caution, growth rate unsustainable"),(E10))))</formula>
    </cfRule>
  </conditionalFormatting>
  <pageMargins left="0.7" right="0.7" top="0.75" bottom="0.75" header="0" footer="0"/>
  <pageSetup paperSize="9" orientation="portrait"/>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topLeftCell="B1" workbookViewId="0">
      <selection activeCell="P21" sqref="P21"/>
    </sheetView>
  </sheetViews>
  <sheetFormatPr defaultColWidth="14.453125" defaultRowHeight="15" customHeight="1" outlineLevelRow="1"/>
  <cols>
    <col min="1" max="1" width="6.08984375" hidden="1" customWidth="1"/>
    <col min="2" max="2" width="3" customWidth="1"/>
    <col min="3" max="3" width="12.08984375" customWidth="1"/>
    <col min="4" max="4" width="9.81640625" customWidth="1"/>
    <col min="5" max="5" width="8.08984375" customWidth="1"/>
    <col min="6" max="6" width="9.08984375" customWidth="1"/>
    <col min="7" max="12" width="11.7265625" customWidth="1"/>
    <col min="13" max="13" width="3.08984375" customWidth="1"/>
    <col min="14" max="14" width="6.08984375" hidden="1" customWidth="1"/>
    <col min="15" max="15" width="8.08984375" style="597" customWidth="1"/>
    <col min="16" max="16" width="9.08984375" style="597" customWidth="1"/>
    <col min="17" max="26" width="8.7265625" customWidth="1"/>
  </cols>
  <sheetData>
    <row r="1" spans="1:26" ht="13.5" customHeight="1">
      <c r="A1" s="43"/>
      <c r="B1" s="43"/>
      <c r="C1" s="43"/>
      <c r="D1" s="43"/>
      <c r="E1" s="43"/>
      <c r="F1" s="43"/>
      <c r="G1" s="43"/>
      <c r="H1" s="43"/>
      <c r="I1" s="43"/>
      <c r="J1" s="43"/>
      <c r="K1" s="43"/>
      <c r="L1" s="43"/>
      <c r="M1" s="43"/>
      <c r="N1" s="43"/>
      <c r="O1" s="43"/>
      <c r="P1" s="43"/>
      <c r="Q1" s="43"/>
      <c r="R1" s="43"/>
      <c r="S1" s="43"/>
      <c r="T1" s="43"/>
      <c r="U1" s="43"/>
      <c r="V1" s="43"/>
      <c r="W1" s="43"/>
      <c r="X1" s="43"/>
      <c r="Y1" s="43"/>
      <c r="Z1" s="43"/>
    </row>
    <row r="2" spans="1:26" ht="13.5" customHeight="1">
      <c r="A2" s="43"/>
      <c r="B2" s="43"/>
      <c r="C2" s="712" t="s">
        <v>11</v>
      </c>
      <c r="D2" s="359"/>
      <c r="E2" s="714" t="str">
        <f>Summary!G3</f>
        <v>TSM</v>
      </c>
      <c r="F2" s="687"/>
      <c r="G2" s="715" t="s">
        <v>360</v>
      </c>
      <c r="H2" s="716"/>
      <c r="I2" s="715" t="s">
        <v>359</v>
      </c>
      <c r="J2" s="716"/>
      <c r="K2" s="715" t="s">
        <v>368</v>
      </c>
      <c r="L2" s="716"/>
      <c r="M2" s="47"/>
      <c r="N2" s="48"/>
      <c r="O2" s="714" t="s">
        <v>392</v>
      </c>
      <c r="P2" s="687"/>
      <c r="Q2" s="43"/>
      <c r="R2" s="43"/>
      <c r="S2" s="43"/>
      <c r="T2" s="43"/>
      <c r="U2" s="43"/>
      <c r="V2" s="43"/>
      <c r="W2" s="43"/>
      <c r="X2" s="43"/>
      <c r="Y2" s="43"/>
      <c r="Z2" s="43"/>
    </row>
    <row r="3" spans="1:26" ht="13.5" customHeight="1">
      <c r="A3" s="43"/>
      <c r="B3" s="43"/>
      <c r="C3" s="713"/>
      <c r="D3" s="360" t="s">
        <v>121</v>
      </c>
      <c r="E3" s="48" t="s">
        <v>265</v>
      </c>
      <c r="F3" s="361" t="s">
        <v>266</v>
      </c>
      <c r="G3" s="48" t="s">
        <v>265</v>
      </c>
      <c r="H3" s="361" t="s">
        <v>266</v>
      </c>
      <c r="I3" s="48" t="s">
        <v>265</v>
      </c>
      <c r="J3" s="361" t="s">
        <v>266</v>
      </c>
      <c r="K3" s="48" t="s">
        <v>265</v>
      </c>
      <c r="L3" s="361" t="s">
        <v>266</v>
      </c>
      <c r="M3" s="48"/>
      <c r="N3" s="362"/>
      <c r="O3" s="598" t="s">
        <v>265</v>
      </c>
      <c r="P3" s="361" t="s">
        <v>266</v>
      </c>
      <c r="Q3" s="43"/>
      <c r="R3" s="43"/>
      <c r="S3" s="43"/>
      <c r="T3" s="43"/>
      <c r="U3" s="43"/>
      <c r="V3" s="43"/>
      <c r="W3" s="43"/>
      <c r="X3" s="43"/>
      <c r="Y3" s="43"/>
      <c r="Z3" s="43"/>
    </row>
    <row r="4" spans="1:26" ht="13.5" customHeight="1">
      <c r="A4" s="43"/>
      <c r="B4" s="43"/>
      <c r="C4" s="271"/>
      <c r="D4" s="363"/>
      <c r="E4" s="362"/>
      <c r="F4" s="364"/>
      <c r="G4" s="365"/>
      <c r="H4" s="364"/>
      <c r="I4" s="365"/>
      <c r="J4" s="364"/>
      <c r="K4" s="365"/>
      <c r="L4" s="364"/>
      <c r="M4" s="52"/>
      <c r="N4" s="362"/>
      <c r="O4" s="599"/>
      <c r="P4" s="364"/>
      <c r="Q4" s="43"/>
      <c r="R4" s="43"/>
      <c r="S4" s="43"/>
      <c r="T4" s="43"/>
      <c r="U4" s="43"/>
      <c r="V4" s="43"/>
      <c r="W4" s="43"/>
      <c r="X4" s="43"/>
      <c r="Y4" s="43"/>
      <c r="Z4" s="43"/>
    </row>
    <row r="5" spans="1:26" ht="13.5" customHeight="1">
      <c r="A5" s="43"/>
      <c r="B5" s="43"/>
      <c r="C5" s="366" t="s">
        <v>267</v>
      </c>
      <c r="D5" s="363">
        <f>Historical1</f>
        <v>2016</v>
      </c>
      <c r="E5" s="367">
        <v>28.34</v>
      </c>
      <c r="F5" s="368">
        <v>30.639999</v>
      </c>
      <c r="G5" s="367">
        <v>69.92</v>
      </c>
      <c r="H5" s="368">
        <v>75.150000000000006</v>
      </c>
      <c r="I5" s="367">
        <v>33.56</v>
      </c>
      <c r="J5" s="368">
        <v>37.35</v>
      </c>
      <c r="K5" s="367">
        <v>160.62</v>
      </c>
      <c r="L5" s="368">
        <v>183.99</v>
      </c>
      <c r="M5" s="43"/>
      <c r="N5" s="362"/>
      <c r="O5" s="367">
        <v>42.24</v>
      </c>
      <c r="P5" s="368">
        <v>71.62</v>
      </c>
      <c r="Q5" s="43"/>
      <c r="R5" s="43"/>
      <c r="S5" s="43"/>
      <c r="T5" s="43"/>
      <c r="U5" s="43"/>
      <c r="V5" s="43"/>
      <c r="W5" s="43"/>
      <c r="X5" s="43"/>
      <c r="Y5" s="43"/>
      <c r="Z5" s="43"/>
    </row>
    <row r="6" spans="1:26" ht="13.5" customHeight="1">
      <c r="A6" s="43"/>
      <c r="B6" s="43"/>
      <c r="C6" s="271"/>
      <c r="D6" s="363">
        <f t="shared" ref="D6:D9" si="0">D5+1</f>
        <v>2017</v>
      </c>
      <c r="E6" s="367">
        <v>28.98</v>
      </c>
      <c r="F6" s="368">
        <v>43.02</v>
      </c>
      <c r="G6" s="367">
        <v>72.47</v>
      </c>
      <c r="H6" s="368">
        <v>105.33</v>
      </c>
      <c r="I6" s="367">
        <v>33.229999999999997</v>
      </c>
      <c r="J6" s="367">
        <v>47.34</v>
      </c>
      <c r="K6" s="367">
        <v>173.31</v>
      </c>
      <c r="L6" s="368">
        <v>285.68</v>
      </c>
      <c r="M6" s="47"/>
      <c r="N6" s="362"/>
      <c r="O6" s="367">
        <v>48.92</v>
      </c>
      <c r="P6" s="368">
        <v>69.28</v>
      </c>
      <c r="Q6" s="43"/>
      <c r="R6" s="43"/>
      <c r="S6" s="43"/>
      <c r="T6" s="43"/>
      <c r="U6" s="43"/>
      <c r="V6" s="43"/>
      <c r="W6" s="43"/>
      <c r="X6" s="43"/>
      <c r="Y6" s="43"/>
      <c r="Z6" s="43"/>
    </row>
    <row r="7" spans="1:26" ht="13.5" customHeight="1">
      <c r="A7" s="43"/>
      <c r="B7" s="43"/>
      <c r="C7" s="271"/>
      <c r="D7" s="363">
        <f t="shared" si="0"/>
        <v>2018</v>
      </c>
      <c r="E7" s="367">
        <v>35.22</v>
      </c>
      <c r="F7" s="368">
        <v>46.57</v>
      </c>
      <c r="G7" s="367">
        <v>87.7</v>
      </c>
      <c r="H7" s="368">
        <v>120.75</v>
      </c>
      <c r="I7" s="367">
        <v>42.04</v>
      </c>
      <c r="J7" s="368">
        <v>57.6</v>
      </c>
      <c r="K7" s="367">
        <v>197.46</v>
      </c>
      <c r="L7" s="368">
        <v>274.26</v>
      </c>
      <c r="M7" s="48"/>
      <c r="N7" s="362"/>
      <c r="O7" s="367">
        <v>48.56</v>
      </c>
      <c r="P7" s="368">
        <v>76.5</v>
      </c>
      <c r="Q7" s="43"/>
      <c r="R7" s="43"/>
      <c r="S7" s="43"/>
      <c r="T7" s="43"/>
      <c r="U7" s="43"/>
      <c r="V7" s="43"/>
      <c r="W7" s="43"/>
      <c r="X7" s="43"/>
      <c r="Y7" s="43"/>
      <c r="Z7" s="43"/>
    </row>
    <row r="8" spans="1:26" ht="13.5" customHeight="1">
      <c r="A8" s="43"/>
      <c r="B8" s="43"/>
      <c r="C8" s="271"/>
      <c r="D8" s="363">
        <f t="shared" si="0"/>
        <v>2019</v>
      </c>
      <c r="E8" s="367">
        <v>34.21</v>
      </c>
      <c r="F8" s="368">
        <v>59.71</v>
      </c>
      <c r="G8" s="367">
        <v>88.68</v>
      </c>
      <c r="H8" s="368">
        <v>132.19999999999999</v>
      </c>
      <c r="I8" s="367">
        <v>42.86</v>
      </c>
      <c r="J8" s="368">
        <v>60.48</v>
      </c>
      <c r="K8" s="367">
        <v>230.33</v>
      </c>
      <c r="L8" s="368">
        <v>331.2</v>
      </c>
      <c r="M8" s="43"/>
      <c r="N8" s="43"/>
      <c r="O8" s="367">
        <v>49.1</v>
      </c>
      <c r="P8" s="368">
        <v>94.11</v>
      </c>
      <c r="Q8" s="43"/>
      <c r="R8" s="43"/>
      <c r="S8" s="43"/>
      <c r="T8" s="43"/>
      <c r="U8" s="43"/>
      <c r="V8" s="43"/>
      <c r="W8" s="43"/>
      <c r="X8" s="43"/>
      <c r="Y8" s="43"/>
      <c r="Z8" s="43"/>
    </row>
    <row r="9" spans="1:26" ht="13.5" customHeight="1">
      <c r="A9" s="43"/>
      <c r="B9" s="43"/>
      <c r="C9" s="271"/>
      <c r="D9" s="363">
        <f t="shared" si="0"/>
        <v>2020</v>
      </c>
      <c r="E9" s="369">
        <v>42.7</v>
      </c>
      <c r="F9" s="370">
        <v>109.699</v>
      </c>
      <c r="G9" s="369">
        <v>93.09</v>
      </c>
      <c r="H9" s="370">
        <v>167.24</v>
      </c>
      <c r="I9" s="369">
        <v>43.61</v>
      </c>
      <c r="J9" s="370">
        <v>69.290000000000006</v>
      </c>
      <c r="K9" s="369">
        <v>155.66999999999999</v>
      </c>
      <c r="L9" s="370">
        <v>438.5</v>
      </c>
      <c r="M9" s="43"/>
      <c r="N9" s="362"/>
      <c r="O9" s="369">
        <v>58</v>
      </c>
      <c r="P9" s="370">
        <v>161.07</v>
      </c>
      <c r="Q9" s="43"/>
      <c r="R9" s="43"/>
      <c r="S9" s="43"/>
      <c r="T9" s="43"/>
      <c r="U9" s="43"/>
      <c r="V9" s="43"/>
      <c r="W9" s="43"/>
      <c r="X9" s="43"/>
      <c r="Y9" s="43"/>
      <c r="Z9" s="43"/>
    </row>
    <row r="10" spans="1:26" ht="13.5" customHeight="1">
      <c r="A10" s="43"/>
      <c r="B10" s="43"/>
      <c r="C10" s="271"/>
      <c r="D10" s="371"/>
      <c r="E10" s="43"/>
      <c r="F10" s="43"/>
      <c r="G10" s="43"/>
      <c r="H10" s="43"/>
      <c r="I10" s="43"/>
      <c r="J10" s="43"/>
      <c r="K10" s="43"/>
      <c r="L10" s="372"/>
      <c r="M10" s="47"/>
      <c r="N10" s="362"/>
      <c r="O10" s="43"/>
      <c r="P10" s="43"/>
      <c r="Q10" s="43"/>
      <c r="R10" s="43"/>
      <c r="S10" s="43"/>
      <c r="T10" s="43"/>
      <c r="U10" s="43"/>
      <c r="V10" s="43"/>
      <c r="W10" s="43"/>
      <c r="X10" s="43"/>
      <c r="Y10" s="43"/>
      <c r="Z10" s="43"/>
    </row>
    <row r="11" spans="1:26" ht="13.5" customHeight="1">
      <c r="A11" s="43"/>
      <c r="B11" s="43"/>
      <c r="C11" s="373"/>
      <c r="D11" s="359"/>
      <c r="E11" s="711" t="str">
        <f>E2</f>
        <v>TSM</v>
      </c>
      <c r="F11" s="608"/>
      <c r="G11" s="711" t="str">
        <f>G2</f>
        <v>Texas Instruments</v>
      </c>
      <c r="H11" s="608"/>
      <c r="I11" s="711" t="str">
        <f>I2</f>
        <v>Intel Corporation</v>
      </c>
      <c r="J11" s="608"/>
      <c r="K11" s="711" t="str">
        <f>K2</f>
        <v>Broadcom</v>
      </c>
      <c r="L11" s="608"/>
      <c r="M11" s="48"/>
      <c r="N11" s="362"/>
      <c r="O11" s="759" t="str">
        <f>O2</f>
        <v>Qualcomm</v>
      </c>
      <c r="P11" s="760"/>
      <c r="Q11" s="43"/>
      <c r="R11" s="43"/>
      <c r="S11" s="43"/>
      <c r="T11" s="43"/>
      <c r="U11" s="43"/>
      <c r="V11" s="43"/>
      <c r="W11" s="43"/>
      <c r="X11" s="43"/>
      <c r="Y11" s="43"/>
      <c r="Z11" s="43"/>
    </row>
    <row r="12" spans="1:26" ht="13.5" customHeight="1">
      <c r="A12" s="43"/>
      <c r="B12" s="43"/>
      <c r="C12" s="271"/>
      <c r="D12" s="360" t="s">
        <v>121</v>
      </c>
      <c r="E12" s="43"/>
      <c r="F12" s="43"/>
      <c r="G12" s="271"/>
      <c r="H12" s="372"/>
      <c r="I12" s="271"/>
      <c r="J12" s="372"/>
      <c r="K12" s="271"/>
      <c r="L12" s="372"/>
      <c r="M12" s="374"/>
      <c r="N12" s="362"/>
      <c r="O12" s="761"/>
      <c r="P12" s="762"/>
      <c r="Q12" s="43"/>
      <c r="R12" s="43"/>
      <c r="S12" s="43"/>
      <c r="T12" s="43"/>
      <c r="U12" s="43"/>
      <c r="V12" s="43"/>
      <c r="W12" s="43"/>
      <c r="X12" s="43"/>
      <c r="Y12" s="43"/>
      <c r="Z12" s="43"/>
    </row>
    <row r="13" spans="1:26" ht="13.5" customHeight="1">
      <c r="A13" s="43"/>
      <c r="B13" s="43"/>
      <c r="C13" s="271"/>
      <c r="D13" s="363"/>
      <c r="E13" s="717"/>
      <c r="F13" s="625"/>
      <c r="G13" s="718"/>
      <c r="H13" s="703"/>
      <c r="I13" s="718"/>
      <c r="J13" s="703"/>
      <c r="K13" s="718"/>
      <c r="L13" s="703"/>
      <c r="M13" s="43"/>
      <c r="N13" s="362"/>
      <c r="O13" s="763"/>
      <c r="P13" s="764"/>
      <c r="Q13" s="43"/>
      <c r="R13" s="43"/>
      <c r="S13" s="43"/>
      <c r="T13" s="43"/>
      <c r="U13" s="43"/>
      <c r="V13" s="43"/>
      <c r="W13" s="43"/>
      <c r="X13" s="43"/>
      <c r="Y13" s="43"/>
      <c r="Z13" s="43"/>
    </row>
    <row r="14" spans="1:26" ht="12" customHeight="1">
      <c r="A14" s="43"/>
      <c r="B14" s="43"/>
      <c r="C14" s="707" t="s">
        <v>268</v>
      </c>
      <c r="D14" s="363">
        <f t="shared" ref="D14:D18" si="1">D5</f>
        <v>2016</v>
      </c>
      <c r="E14" s="701">
        <f>IS!C29</f>
        <v>12.89479753092704</v>
      </c>
      <c r="F14" s="625"/>
      <c r="G14" s="702">
        <v>3.48</v>
      </c>
      <c r="H14" s="620"/>
      <c r="I14" s="702">
        <v>2.12</v>
      </c>
      <c r="J14" s="620"/>
      <c r="K14" s="702">
        <v>-4.8600000000000003</v>
      </c>
      <c r="L14" s="706"/>
      <c r="M14" s="43"/>
      <c r="N14" s="43"/>
      <c r="O14" s="765">
        <v>3.81</v>
      </c>
      <c r="P14" s="764"/>
      <c r="Q14" s="43"/>
      <c r="R14" s="43"/>
      <c r="S14" s="43"/>
      <c r="T14" s="43"/>
      <c r="U14" s="43"/>
      <c r="V14" s="43"/>
      <c r="W14" s="43"/>
      <c r="X14" s="43"/>
      <c r="Y14" s="43"/>
      <c r="Z14" s="43"/>
    </row>
    <row r="15" spans="1:26" ht="13.5" customHeight="1">
      <c r="A15" s="43"/>
      <c r="B15" s="43"/>
      <c r="C15" s="708"/>
      <c r="D15" s="363">
        <f t="shared" si="1"/>
        <v>2017</v>
      </c>
      <c r="E15" s="701">
        <f>IS!D29</f>
        <v>13.233589326496572</v>
      </c>
      <c r="F15" s="625"/>
      <c r="G15" s="702">
        <v>3.61</v>
      </c>
      <c r="H15" s="620"/>
      <c r="I15" s="702">
        <v>1.99</v>
      </c>
      <c r="J15" s="620"/>
      <c r="K15" s="702">
        <v>4.0199999999999996</v>
      </c>
      <c r="L15" s="706"/>
      <c r="M15" s="43"/>
      <c r="N15" s="43"/>
      <c r="O15" s="766">
        <v>1.65</v>
      </c>
      <c r="P15" s="764"/>
      <c r="Q15" s="43"/>
      <c r="R15" s="43"/>
      <c r="S15" s="43"/>
      <c r="T15" s="43"/>
      <c r="U15" s="43"/>
      <c r="V15" s="43"/>
      <c r="W15" s="43"/>
      <c r="X15" s="43"/>
      <c r="Y15" s="43"/>
      <c r="Z15" s="43"/>
    </row>
    <row r="16" spans="1:26" ht="13.5" customHeight="1">
      <c r="A16" s="43"/>
      <c r="B16" s="43"/>
      <c r="C16" s="271"/>
      <c r="D16" s="363">
        <f t="shared" si="1"/>
        <v>2018</v>
      </c>
      <c r="E16" s="701">
        <f>IS!E29</f>
        <v>13.545347195066173</v>
      </c>
      <c r="F16" s="703"/>
      <c r="G16" s="702">
        <v>5.59</v>
      </c>
      <c r="H16" s="620"/>
      <c r="I16" s="702">
        <v>1.99</v>
      </c>
      <c r="J16" s="620"/>
      <c r="K16" s="702">
        <v>28.44</v>
      </c>
      <c r="L16" s="706"/>
      <c r="M16" s="267"/>
      <c r="N16" s="267"/>
      <c r="O16" s="765">
        <v>-3.32</v>
      </c>
      <c r="P16" s="767"/>
      <c r="Q16" s="43"/>
      <c r="R16" s="43"/>
      <c r="S16" s="43"/>
      <c r="T16" s="43"/>
      <c r="U16" s="43"/>
      <c r="V16" s="43"/>
      <c r="W16" s="43"/>
      <c r="X16" s="43"/>
      <c r="Y16" s="43"/>
      <c r="Z16" s="43"/>
    </row>
    <row r="17" spans="1:26" ht="13.5" customHeight="1">
      <c r="A17" s="43"/>
      <c r="B17" s="43"/>
      <c r="C17" s="271"/>
      <c r="D17" s="363">
        <f t="shared" si="1"/>
        <v>2019</v>
      </c>
      <c r="E17" s="701">
        <f>IS!F29</f>
        <v>13.318239069385026</v>
      </c>
      <c r="F17" s="625"/>
      <c r="G17" s="702">
        <v>5.24</v>
      </c>
      <c r="H17" s="620"/>
      <c r="I17" s="702">
        <v>4.4800000000000004</v>
      </c>
      <c r="J17" s="620"/>
      <c r="K17" s="702">
        <v>6.43</v>
      </c>
      <c r="L17" s="706"/>
      <c r="M17" s="375"/>
      <c r="N17" s="375"/>
      <c r="O17" s="766">
        <f>0.87+0.55+1.75+0.42</f>
        <v>3.59</v>
      </c>
      <c r="P17" s="764"/>
      <c r="Q17" s="43"/>
      <c r="R17" s="43"/>
      <c r="S17" s="43"/>
      <c r="T17" s="43"/>
      <c r="U17" s="43"/>
      <c r="V17" s="43"/>
      <c r="W17" s="43"/>
      <c r="X17" s="43"/>
      <c r="Y17" s="43"/>
      <c r="Z17" s="43"/>
    </row>
    <row r="18" spans="1:26" ht="13.5" customHeight="1">
      <c r="A18" s="43"/>
      <c r="B18" s="43"/>
      <c r="C18" s="376"/>
      <c r="D18" s="377">
        <f t="shared" si="1"/>
        <v>2020</v>
      </c>
      <c r="E18" s="709">
        <f>IS!G29</f>
        <v>19.983046912540416</v>
      </c>
      <c r="F18" s="690"/>
      <c r="G18" s="704">
        <v>5.97</v>
      </c>
      <c r="H18" s="705"/>
      <c r="I18" s="704">
        <v>4.71</v>
      </c>
      <c r="J18" s="705"/>
      <c r="K18" s="704">
        <v>6.33</v>
      </c>
      <c r="L18" s="705"/>
      <c r="M18" s="375"/>
      <c r="N18" s="375"/>
      <c r="O18" s="768">
        <f>0.8+0.41+0.74+2.58</f>
        <v>4.53</v>
      </c>
      <c r="P18" s="769"/>
      <c r="Q18" s="43"/>
      <c r="R18" s="43"/>
      <c r="S18" s="43"/>
      <c r="T18" s="43"/>
      <c r="U18" s="43"/>
      <c r="V18" s="43"/>
      <c r="W18" s="43"/>
      <c r="X18" s="43"/>
      <c r="Y18" s="43"/>
      <c r="Z18" s="43"/>
    </row>
    <row r="19" spans="1:26" ht="13.5" customHeight="1">
      <c r="A19" s="43"/>
      <c r="B19" s="43"/>
      <c r="C19" s="271"/>
      <c r="D19" s="43"/>
      <c r="E19" s="43"/>
      <c r="F19" s="43"/>
      <c r="G19" s="43"/>
      <c r="H19" s="43"/>
      <c r="I19" s="43"/>
      <c r="J19" s="43"/>
      <c r="K19" s="43"/>
      <c r="L19" s="372"/>
      <c r="M19" s="375"/>
      <c r="N19" s="375"/>
      <c r="O19" s="43"/>
      <c r="P19" s="43"/>
      <c r="Q19" s="43"/>
      <c r="R19" s="43"/>
      <c r="S19" s="43"/>
      <c r="T19" s="43"/>
      <c r="U19" s="43"/>
      <c r="V19" s="43"/>
      <c r="W19" s="43"/>
      <c r="X19" s="43"/>
      <c r="Y19" s="43"/>
      <c r="Z19" s="43"/>
    </row>
    <row r="20" spans="1:26" ht="13.5" customHeight="1">
      <c r="A20" s="43"/>
      <c r="B20" s="43"/>
      <c r="C20" s="373"/>
      <c r="D20" s="373"/>
      <c r="E20" s="700" t="str">
        <f>Ticker</f>
        <v>TSM</v>
      </c>
      <c r="F20" s="608"/>
      <c r="G20" s="710" t="str">
        <f>Comp1Ticker</f>
        <v>Texas Instruments</v>
      </c>
      <c r="H20" s="656"/>
      <c r="I20" s="700" t="str">
        <f>Comp2Ticker</f>
        <v>Intel Corporation</v>
      </c>
      <c r="J20" s="656"/>
      <c r="K20" s="700" t="str">
        <f>Comp3Ticker</f>
        <v>Broadcom</v>
      </c>
      <c r="L20" s="608"/>
      <c r="M20" s="43"/>
      <c r="N20" s="43"/>
      <c r="O20" s="700" t="str">
        <f>Ticker</f>
        <v>TSM</v>
      </c>
      <c r="P20" s="608"/>
      <c r="Q20" s="43"/>
      <c r="R20" s="43"/>
      <c r="S20" s="43"/>
      <c r="T20" s="43"/>
      <c r="U20" s="43"/>
      <c r="V20" s="43"/>
      <c r="W20" s="43"/>
      <c r="X20" s="43"/>
      <c r="Y20" s="43"/>
      <c r="Z20" s="43"/>
    </row>
    <row r="21" spans="1:26" ht="13.5" customHeight="1">
      <c r="A21" s="43"/>
      <c r="B21" s="43"/>
      <c r="C21" s="271"/>
      <c r="D21" s="15" t="s">
        <v>121</v>
      </c>
      <c r="E21" s="15" t="s">
        <v>265</v>
      </c>
      <c r="F21" s="379" t="s">
        <v>266</v>
      </c>
      <c r="G21" s="267" t="s">
        <v>265</v>
      </c>
      <c r="H21" s="267" t="s">
        <v>266</v>
      </c>
      <c r="I21" s="15" t="s">
        <v>265</v>
      </c>
      <c r="J21" s="267" t="s">
        <v>266</v>
      </c>
      <c r="K21" s="15" t="s">
        <v>265</v>
      </c>
      <c r="L21" s="379" t="s">
        <v>266</v>
      </c>
      <c r="M21" s="43"/>
      <c r="N21" s="43"/>
      <c r="O21" s="15" t="s">
        <v>265</v>
      </c>
      <c r="P21" s="379" t="s">
        <v>266</v>
      </c>
      <c r="Q21" s="43"/>
      <c r="R21" s="43"/>
      <c r="S21" s="43"/>
      <c r="T21" s="43"/>
      <c r="U21" s="43"/>
      <c r="V21" s="43"/>
      <c r="W21" s="43"/>
      <c r="X21" s="43"/>
      <c r="Y21" s="43"/>
      <c r="Z21" s="43"/>
    </row>
    <row r="22" spans="1:26" ht="13.5" customHeight="1">
      <c r="A22" s="43"/>
      <c r="B22" s="43"/>
      <c r="C22" s="271"/>
      <c r="D22" s="15"/>
      <c r="E22" s="380"/>
      <c r="F22" s="381"/>
      <c r="G22" s="375"/>
      <c r="H22" s="381"/>
      <c r="I22" s="375"/>
      <c r="J22" s="381"/>
      <c r="K22" s="381"/>
      <c r="L22" s="381"/>
      <c r="M22" s="43"/>
      <c r="N22" s="43"/>
      <c r="O22" s="380"/>
      <c r="P22" s="381"/>
      <c r="Q22" s="43"/>
      <c r="R22" s="43"/>
      <c r="S22" s="43"/>
      <c r="T22" s="43"/>
      <c r="U22" s="43"/>
      <c r="V22" s="43"/>
      <c r="W22" s="43"/>
      <c r="X22" s="43"/>
      <c r="Y22" s="43"/>
      <c r="Z22" s="43"/>
    </row>
    <row r="23" spans="1:26" ht="12" customHeight="1">
      <c r="A23" s="43"/>
      <c r="B23" s="43"/>
      <c r="C23" s="271"/>
      <c r="D23" s="15">
        <f t="shared" ref="D23:D27" si="2">D5</f>
        <v>2016</v>
      </c>
      <c r="E23" s="380">
        <f t="shared" ref="E23:E27" si="3">E5/E14</f>
        <v>2.1977855745333725</v>
      </c>
      <c r="F23" s="380">
        <f t="shared" ref="F23:F27" si="4">F5/E14</f>
        <v>2.3761520044430826</v>
      </c>
      <c r="G23" s="380">
        <f t="shared" ref="G23:G27" si="5">G5/G14</f>
        <v>20.091954022988507</v>
      </c>
      <c r="H23" s="380">
        <f t="shared" ref="H23:H27" si="6">H5/G14</f>
        <v>21.594827586206897</v>
      </c>
      <c r="I23" s="380">
        <f t="shared" ref="I23:I27" si="7">I5/I14</f>
        <v>15.830188679245284</v>
      </c>
      <c r="J23" s="380">
        <f t="shared" ref="J23:J27" si="8">J5/I14</f>
        <v>17.617924528301888</v>
      </c>
      <c r="K23" s="380">
        <f t="shared" ref="K23:K27" si="9">K5/K14</f>
        <v>-33.049382716049379</v>
      </c>
      <c r="L23" s="380">
        <f t="shared" ref="L23:L27" si="10">L5/K14</f>
        <v>-37.858024691358025</v>
      </c>
      <c r="M23" s="43"/>
      <c r="N23" s="43"/>
      <c r="O23" s="380">
        <f t="shared" ref="O23:O27" si="11">O5/O14</f>
        <v>11.086614173228346</v>
      </c>
      <c r="P23" s="380">
        <f t="shared" ref="P23:P27" si="12">P5/O14</f>
        <v>18.797900262467191</v>
      </c>
      <c r="Q23" s="43"/>
      <c r="R23" s="43"/>
      <c r="S23" s="43"/>
      <c r="T23" s="43"/>
      <c r="U23" s="43"/>
      <c r="V23" s="43"/>
      <c r="W23" s="43"/>
      <c r="X23" s="43"/>
      <c r="Y23" s="43"/>
      <c r="Z23" s="43"/>
    </row>
    <row r="24" spans="1:26" ht="13.5" customHeight="1">
      <c r="A24" s="43"/>
      <c r="B24" s="43"/>
      <c r="C24" s="366" t="s">
        <v>269</v>
      </c>
      <c r="D24" s="15">
        <f t="shared" si="2"/>
        <v>2017</v>
      </c>
      <c r="E24" s="380">
        <f t="shared" si="3"/>
        <v>2.1898820709190083</v>
      </c>
      <c r="F24" s="380">
        <f t="shared" si="4"/>
        <v>3.2508187263952983</v>
      </c>
      <c r="G24" s="380">
        <f t="shared" si="5"/>
        <v>20.074792243767313</v>
      </c>
      <c r="H24" s="380">
        <f t="shared" si="6"/>
        <v>29.177285318559559</v>
      </c>
      <c r="I24" s="380">
        <f t="shared" si="7"/>
        <v>16.698492462311556</v>
      </c>
      <c r="J24" s="380">
        <f t="shared" si="8"/>
        <v>23.788944723618091</v>
      </c>
      <c r="K24" s="380">
        <f t="shared" si="9"/>
        <v>43.11194029850747</v>
      </c>
      <c r="L24" s="380">
        <f t="shared" si="10"/>
        <v>71.064676616915435</v>
      </c>
      <c r="M24" s="43"/>
      <c r="N24" s="43"/>
      <c r="O24" s="380">
        <f t="shared" si="11"/>
        <v>29.648484848484852</v>
      </c>
      <c r="P24" s="380">
        <f t="shared" si="12"/>
        <v>41.987878787878792</v>
      </c>
      <c r="Q24" s="43"/>
      <c r="R24" s="43"/>
      <c r="S24" s="43"/>
      <c r="T24" s="43"/>
      <c r="U24" s="43"/>
      <c r="V24" s="43"/>
      <c r="W24" s="43"/>
      <c r="X24" s="43"/>
      <c r="Y24" s="43"/>
      <c r="Z24" s="43"/>
    </row>
    <row r="25" spans="1:26" ht="13.5" customHeight="1">
      <c r="A25" s="43"/>
      <c r="B25" s="43"/>
      <c r="C25" s="366"/>
      <c r="D25" s="15">
        <f t="shared" si="2"/>
        <v>2018</v>
      </c>
      <c r="E25" s="380">
        <f t="shared" si="3"/>
        <v>2.6001548349258048</v>
      </c>
      <c r="F25" s="380">
        <f t="shared" si="4"/>
        <v>3.4380809387420426</v>
      </c>
      <c r="G25" s="380">
        <f t="shared" si="5"/>
        <v>15.688729874776387</v>
      </c>
      <c r="H25" s="380">
        <f t="shared" si="6"/>
        <v>21.601073345259394</v>
      </c>
      <c r="I25" s="380">
        <f t="shared" si="7"/>
        <v>21.125628140703519</v>
      </c>
      <c r="J25" s="380">
        <f t="shared" si="8"/>
        <v>28.944723618090453</v>
      </c>
      <c r="K25" s="380">
        <f t="shared" si="9"/>
        <v>6.943037974683544</v>
      </c>
      <c r="L25" s="380">
        <f t="shared" si="10"/>
        <v>9.6434599156118139</v>
      </c>
      <c r="M25" s="43"/>
      <c r="N25" s="43"/>
      <c r="O25" s="380">
        <f t="shared" si="11"/>
        <v>-14.626506024096386</v>
      </c>
      <c r="P25" s="380">
        <f t="shared" si="12"/>
        <v>-23.042168674698797</v>
      </c>
      <c r="Q25" s="43"/>
      <c r="R25" s="43"/>
      <c r="S25" s="43"/>
      <c r="T25" s="43"/>
      <c r="U25" s="43"/>
      <c r="V25" s="43"/>
      <c r="W25" s="43"/>
      <c r="X25" s="43"/>
      <c r="Y25" s="43"/>
      <c r="Z25" s="43"/>
    </row>
    <row r="26" spans="1:26" ht="13.5" customHeight="1">
      <c r="A26" s="43"/>
      <c r="B26" s="43"/>
      <c r="C26" s="366"/>
      <c r="D26" s="15">
        <f t="shared" si="2"/>
        <v>2019</v>
      </c>
      <c r="E26" s="380">
        <f t="shared" si="3"/>
        <v>2.5686579000251917</v>
      </c>
      <c r="F26" s="380">
        <f t="shared" si="4"/>
        <v>4.4833254373137734</v>
      </c>
      <c r="G26" s="380">
        <f t="shared" si="5"/>
        <v>16.923664122137406</v>
      </c>
      <c r="H26" s="380">
        <f t="shared" si="6"/>
        <v>25.229007633587784</v>
      </c>
      <c r="I26" s="380">
        <f t="shared" si="7"/>
        <v>9.5669642857142847</v>
      </c>
      <c r="J26" s="380">
        <f t="shared" si="8"/>
        <v>13.499999999999998</v>
      </c>
      <c r="K26" s="380">
        <f t="shared" si="9"/>
        <v>35.821150855365481</v>
      </c>
      <c r="L26" s="380">
        <f t="shared" si="10"/>
        <v>51.508553654743388</v>
      </c>
      <c r="M26" s="43"/>
      <c r="N26" s="43"/>
      <c r="O26" s="380">
        <f t="shared" si="11"/>
        <v>13.676880222841227</v>
      </c>
      <c r="P26" s="380">
        <f t="shared" si="12"/>
        <v>26.214484679665738</v>
      </c>
      <c r="Q26" s="43"/>
      <c r="R26" s="43"/>
      <c r="S26" s="43"/>
      <c r="T26" s="43"/>
      <c r="U26" s="43"/>
      <c r="V26" s="43"/>
      <c r="W26" s="43"/>
      <c r="X26" s="43"/>
      <c r="Y26" s="43"/>
      <c r="Z26" s="43"/>
    </row>
    <row r="27" spans="1:26" ht="13.5" customHeight="1">
      <c r="A27" s="43"/>
      <c r="B27" s="43"/>
      <c r="C27" s="271"/>
      <c r="D27" s="18">
        <f t="shared" si="2"/>
        <v>2020</v>
      </c>
      <c r="E27" s="380">
        <f t="shared" si="3"/>
        <v>2.1368112774235395</v>
      </c>
      <c r="F27" s="380">
        <f t="shared" si="4"/>
        <v>5.4896032862314952</v>
      </c>
      <c r="G27" s="380">
        <f t="shared" si="5"/>
        <v>15.592964824120605</v>
      </c>
      <c r="H27" s="380">
        <f t="shared" si="6"/>
        <v>28.013400335008377</v>
      </c>
      <c r="I27" s="380">
        <f t="shared" si="7"/>
        <v>9.2590233545647553</v>
      </c>
      <c r="J27" s="380">
        <f t="shared" si="8"/>
        <v>14.711252653927815</v>
      </c>
      <c r="K27" s="380">
        <f t="shared" si="9"/>
        <v>24.592417061611371</v>
      </c>
      <c r="L27" s="380">
        <f t="shared" si="10"/>
        <v>69.273301737756711</v>
      </c>
      <c r="M27" s="43"/>
      <c r="N27" s="43"/>
      <c r="O27" s="380">
        <f t="shared" si="11"/>
        <v>12.803532008830022</v>
      </c>
      <c r="P27" s="380">
        <f t="shared" si="12"/>
        <v>35.556291390728475</v>
      </c>
      <c r="Q27" s="43"/>
      <c r="R27" s="43"/>
      <c r="S27" s="43"/>
      <c r="T27" s="43"/>
      <c r="U27" s="43"/>
      <c r="V27" s="43"/>
      <c r="W27" s="43"/>
      <c r="X27" s="43"/>
      <c r="Y27" s="43"/>
      <c r="Z27" s="43"/>
    </row>
    <row r="28" spans="1:26" ht="13.5" customHeight="1">
      <c r="A28" s="43"/>
      <c r="B28" s="43"/>
      <c r="C28" s="376"/>
      <c r="D28" s="382" t="s">
        <v>47</v>
      </c>
      <c r="E28" s="383">
        <f t="shared" ref="E28:I28" si="13">AVERAGE(E22:E27)</f>
        <v>2.3386583315653833</v>
      </c>
      <c r="F28" s="384">
        <f t="shared" si="13"/>
        <v>3.8075960786251386</v>
      </c>
      <c r="G28" s="385">
        <f t="shared" si="13"/>
        <v>17.674421017558043</v>
      </c>
      <c r="H28" s="386">
        <f t="shared" si="13"/>
        <v>25.123118843724406</v>
      </c>
      <c r="I28" s="385">
        <f t="shared" si="13"/>
        <v>14.496059384507879</v>
      </c>
      <c r="J28" s="386">
        <f>AVERAGE(J23:J27)</f>
        <v>19.712569104787651</v>
      </c>
      <c r="K28" s="385">
        <f t="shared" ref="K28:L28" si="14">AVERAGE(K22:K27)</f>
        <v>15.483832694823699</v>
      </c>
      <c r="L28" s="386">
        <f t="shared" si="14"/>
        <v>32.726393446733866</v>
      </c>
      <c r="M28" s="43"/>
      <c r="N28" s="43"/>
      <c r="O28" s="383">
        <f t="shared" ref="O28:P28" si="15">AVERAGE(O22:O27)</f>
        <v>10.517801045857613</v>
      </c>
      <c r="P28" s="384">
        <f t="shared" si="15"/>
        <v>19.902877289208277</v>
      </c>
      <c r="Q28" s="43"/>
      <c r="R28" s="43"/>
      <c r="S28" s="43"/>
      <c r="T28" s="43"/>
      <c r="U28" s="43"/>
      <c r="V28" s="43"/>
      <c r="W28" s="43"/>
      <c r="X28" s="43"/>
      <c r="Y28" s="43"/>
      <c r="Z28" s="43"/>
    </row>
    <row r="29" spans="1:26" ht="13.5" customHeight="1">
      <c r="A29" s="43"/>
      <c r="B29" s="43"/>
      <c r="C29" s="271"/>
      <c r="D29" s="43"/>
      <c r="E29" s="43"/>
      <c r="F29" s="43"/>
      <c r="G29" s="43"/>
      <c r="H29" s="43"/>
      <c r="I29" s="43"/>
      <c r="J29" s="43"/>
      <c r="K29" s="43"/>
      <c r="L29" s="372"/>
      <c r="M29" s="375"/>
      <c r="N29" s="375"/>
      <c r="O29" s="43"/>
      <c r="P29" s="43"/>
      <c r="Q29" s="43"/>
      <c r="R29" s="43"/>
      <c r="S29" s="43"/>
      <c r="T29" s="43"/>
      <c r="U29" s="43"/>
      <c r="V29" s="43"/>
      <c r="W29" s="43"/>
      <c r="X29" s="43"/>
      <c r="Y29" s="43"/>
      <c r="Z29" s="43"/>
    </row>
    <row r="30" spans="1:26" ht="13.5" customHeight="1" outlineLevel="1">
      <c r="A30" s="43"/>
      <c r="B30" s="43"/>
      <c r="C30" s="271"/>
      <c r="D30" s="700" t="s">
        <v>270</v>
      </c>
      <c r="E30" s="656"/>
      <c r="F30" s="608"/>
      <c r="G30" s="700" t="str">
        <f>Ticker&amp;" Relative P/E"</f>
        <v>TSM Relative P/E</v>
      </c>
      <c r="H30" s="608"/>
      <c r="I30" s="700" t="str">
        <f>Ticker&amp;" Average P/E"</f>
        <v>TSM Average P/E</v>
      </c>
      <c r="J30" s="608"/>
      <c r="K30" s="700" t="s">
        <v>271</v>
      </c>
      <c r="L30" s="608"/>
      <c r="M30" s="387"/>
      <c r="N30" s="387"/>
      <c r="O30" s="43"/>
      <c r="P30" s="43"/>
      <c r="Q30" s="43"/>
      <c r="R30" s="43"/>
      <c r="S30" s="43"/>
      <c r="T30" s="43"/>
      <c r="U30" s="43"/>
      <c r="V30" s="43"/>
      <c r="W30" s="43"/>
      <c r="X30" s="43"/>
      <c r="Y30" s="43"/>
      <c r="Z30" s="43"/>
    </row>
    <row r="31" spans="1:26" ht="13.5" customHeight="1" outlineLevel="1">
      <c r="A31" s="43"/>
      <c r="B31" s="43"/>
      <c r="C31" s="271"/>
      <c r="D31" s="388" t="s">
        <v>121</v>
      </c>
      <c r="E31" s="388" t="s">
        <v>272</v>
      </c>
      <c r="F31" s="361" t="s">
        <v>266</v>
      </c>
      <c r="G31" s="48" t="s">
        <v>272</v>
      </c>
      <c r="H31" s="361" t="s">
        <v>266</v>
      </c>
      <c r="I31" s="43"/>
      <c r="J31" s="389"/>
      <c r="K31" s="43"/>
      <c r="L31" s="372"/>
      <c r="M31" s="43"/>
      <c r="N31" s="43"/>
      <c r="O31" s="752"/>
      <c r="P31" s="752"/>
      <c r="Q31" s="43"/>
      <c r="R31" s="43"/>
      <c r="S31" s="43"/>
      <c r="T31" s="43"/>
      <c r="U31" s="43"/>
      <c r="V31" s="43"/>
      <c r="W31" s="43"/>
      <c r="X31" s="43"/>
      <c r="Y31" s="43"/>
      <c r="Z31" s="43"/>
    </row>
    <row r="32" spans="1:26" ht="13.5" customHeight="1" outlineLevel="1">
      <c r="A32" s="43"/>
      <c r="B32" s="43"/>
      <c r="C32" s="271"/>
      <c r="D32" s="15"/>
      <c r="E32" s="390"/>
      <c r="F32" s="391"/>
      <c r="G32" s="43"/>
      <c r="H32" s="372"/>
      <c r="I32" s="724"/>
      <c r="J32" s="703"/>
      <c r="K32" s="43"/>
      <c r="L32" s="372"/>
      <c r="M32" s="43"/>
      <c r="N32" s="43"/>
      <c r="O32" s="753"/>
      <c r="P32" s="753"/>
      <c r="Q32" s="43"/>
      <c r="R32" s="43"/>
      <c r="S32" s="43"/>
      <c r="T32" s="43"/>
      <c r="U32" s="43"/>
      <c r="V32" s="43"/>
      <c r="W32" s="43"/>
      <c r="X32" s="43"/>
      <c r="Y32" s="43"/>
      <c r="Z32" s="43"/>
    </row>
    <row r="33" spans="1:26" ht="13.5" customHeight="1" outlineLevel="1">
      <c r="A33" s="43"/>
      <c r="B33" s="43"/>
      <c r="C33" s="271"/>
      <c r="D33" s="15">
        <f t="shared" ref="D33:D37" si="16">D5</f>
        <v>2016</v>
      </c>
      <c r="E33" s="392">
        <f>AVERAGE(G23,I23,K23)</f>
        <v>0.95758666206147092</v>
      </c>
      <c r="F33" s="393">
        <f>AVERAGE(H23,J23,L23)</f>
        <v>0.45157580771692096</v>
      </c>
      <c r="G33" s="394">
        <f t="shared" ref="G33:H33" si="17">E23/E33</f>
        <v>2.2951296854971117</v>
      </c>
      <c r="H33" s="393">
        <f t="shared" si="17"/>
        <v>5.2619116521242422</v>
      </c>
      <c r="I33" s="722">
        <f t="shared" ref="I33:I37" si="18">AVERAGE(E23:F23)</f>
        <v>2.2869687894882276</v>
      </c>
      <c r="J33" s="703"/>
      <c r="K33" s="722">
        <f t="shared" ref="K33:K37" si="19">AVERAGE(E33:F33)</f>
        <v>0.704581234889196</v>
      </c>
      <c r="L33" s="703"/>
      <c r="M33" s="43"/>
      <c r="N33" s="43"/>
      <c r="O33" s="754"/>
      <c r="P33" s="754"/>
      <c r="Q33" s="43"/>
      <c r="R33" s="43"/>
      <c r="S33" s="43"/>
      <c r="T33" s="43"/>
      <c r="U33" s="43"/>
      <c r="V33" s="43"/>
      <c r="W33" s="43"/>
      <c r="X33" s="43"/>
      <c r="Y33" s="43"/>
      <c r="Z33" s="43"/>
    </row>
    <row r="34" spans="1:26" ht="13.5" customHeight="1" outlineLevel="1">
      <c r="A34" s="43"/>
      <c r="B34" s="43"/>
      <c r="C34" s="271"/>
      <c r="D34" s="15">
        <f t="shared" si="16"/>
        <v>2017</v>
      </c>
      <c r="E34" s="392">
        <f t="shared" ref="E34:F34" si="20">AVERAGE(G24,I24,K24)</f>
        <v>26.628408334862115</v>
      </c>
      <c r="F34" s="393">
        <f t="shared" si="20"/>
        <v>41.343635553031028</v>
      </c>
      <c r="G34" s="394">
        <f t="shared" ref="G34:H34" si="21">E24/E34</f>
        <v>8.2238564294960056E-2</v>
      </c>
      <c r="H34" s="393">
        <f t="shared" si="21"/>
        <v>7.8629242032319788E-2</v>
      </c>
      <c r="I34" s="722">
        <f t="shared" si="18"/>
        <v>2.7203503986571533</v>
      </c>
      <c r="J34" s="703"/>
      <c r="K34" s="722">
        <f t="shared" si="19"/>
        <v>33.986021943946568</v>
      </c>
      <c r="L34" s="703"/>
      <c r="M34" s="43"/>
      <c r="N34" s="43"/>
      <c r="O34" s="754"/>
      <c r="P34" s="754"/>
      <c r="Q34" s="43"/>
      <c r="R34" s="43"/>
      <c r="S34" s="43"/>
      <c r="T34" s="43"/>
      <c r="U34" s="43"/>
      <c r="V34" s="43"/>
      <c r="W34" s="43"/>
      <c r="X34" s="43"/>
      <c r="Y34" s="43"/>
      <c r="Z34" s="43"/>
    </row>
    <row r="35" spans="1:26" ht="13.5" customHeight="1" outlineLevel="1">
      <c r="A35" s="43"/>
      <c r="B35" s="43"/>
      <c r="C35" s="271"/>
      <c r="D35" s="15">
        <f t="shared" si="16"/>
        <v>2018</v>
      </c>
      <c r="E35" s="392">
        <f t="shared" ref="E35:F35" si="22">AVERAGE(G25,I25,K25)</f>
        <v>14.585798663387814</v>
      </c>
      <c r="F35" s="393">
        <f t="shared" si="22"/>
        <v>20.063085626320554</v>
      </c>
      <c r="G35" s="394">
        <f t="shared" ref="G35:H35" si="23">E25/E35</f>
        <v>0.17826619542284783</v>
      </c>
      <c r="H35" s="393">
        <f t="shared" si="23"/>
        <v>0.17136351819341586</v>
      </c>
      <c r="I35" s="722">
        <f t="shared" si="18"/>
        <v>3.0191178868339237</v>
      </c>
      <c r="J35" s="703"/>
      <c r="K35" s="722">
        <f t="shared" si="19"/>
        <v>17.324442144854185</v>
      </c>
      <c r="L35" s="703"/>
      <c r="M35" s="43"/>
      <c r="N35" s="43"/>
      <c r="O35" s="754"/>
      <c r="P35" s="754"/>
      <c r="Q35" s="43"/>
      <c r="R35" s="43"/>
      <c r="S35" s="43"/>
      <c r="T35" s="43"/>
      <c r="U35" s="43"/>
      <c r="V35" s="43"/>
      <c r="W35" s="43"/>
      <c r="X35" s="43"/>
      <c r="Y35" s="43"/>
      <c r="Z35" s="43"/>
    </row>
    <row r="36" spans="1:26" ht="13.5" customHeight="1" outlineLevel="1">
      <c r="A36" s="43"/>
      <c r="B36" s="43"/>
      <c r="C36" s="271"/>
      <c r="D36" s="15">
        <f t="shared" si="16"/>
        <v>2019</v>
      </c>
      <c r="E36" s="392">
        <f t="shared" ref="E36:F36" si="24">AVERAGE(G26,I26,K26)</f>
        <v>20.770593087739059</v>
      </c>
      <c r="F36" s="393">
        <f t="shared" si="24"/>
        <v>30.079187096110388</v>
      </c>
      <c r="G36" s="394">
        <f t="shared" ref="G36:H36" si="25">E26/E36</f>
        <v>0.12366800934256797</v>
      </c>
      <c r="H36" s="393">
        <f t="shared" si="25"/>
        <v>0.14905075137132023</v>
      </c>
      <c r="I36" s="722">
        <f t="shared" si="18"/>
        <v>3.5259916686694828</v>
      </c>
      <c r="J36" s="703"/>
      <c r="K36" s="722">
        <f t="shared" si="19"/>
        <v>25.424890091924723</v>
      </c>
      <c r="L36" s="703"/>
      <c r="M36" s="43"/>
      <c r="N36" s="43"/>
      <c r="O36" s="754"/>
      <c r="P36" s="754"/>
      <c r="Q36" s="43"/>
      <c r="R36" s="43"/>
      <c r="S36" s="43"/>
      <c r="T36" s="43"/>
      <c r="U36" s="43"/>
      <c r="V36" s="43"/>
      <c r="W36" s="43"/>
      <c r="X36" s="43"/>
      <c r="Y36" s="43"/>
      <c r="Z36" s="43"/>
    </row>
    <row r="37" spans="1:26" ht="13.5" customHeight="1" outlineLevel="1">
      <c r="A37" s="43"/>
      <c r="B37" s="43"/>
      <c r="C37" s="271"/>
      <c r="D37" s="15">
        <f t="shared" si="16"/>
        <v>2020</v>
      </c>
      <c r="E37" s="395">
        <f t="shared" ref="E37:F37" si="26">AVERAGE(G27,I27,K27)</f>
        <v>16.481468413432243</v>
      </c>
      <c r="F37" s="396">
        <f t="shared" si="26"/>
        <v>37.332651575564306</v>
      </c>
      <c r="G37" s="394">
        <f t="shared" ref="G37:H37" si="27">E27/E37</f>
        <v>0.12964932637203966</v>
      </c>
      <c r="H37" s="393">
        <f t="shared" si="27"/>
        <v>0.14704563042140456</v>
      </c>
      <c r="I37" s="722">
        <f t="shared" si="18"/>
        <v>3.8132072818275171</v>
      </c>
      <c r="J37" s="703"/>
      <c r="K37" s="722">
        <f t="shared" si="19"/>
        <v>26.907059994498276</v>
      </c>
      <c r="L37" s="703"/>
      <c r="M37" s="43"/>
      <c r="N37" s="43"/>
      <c r="O37" s="754"/>
      <c r="P37" s="754"/>
      <c r="Q37" s="43"/>
      <c r="R37" s="43"/>
      <c r="S37" s="43"/>
      <c r="T37" s="43"/>
      <c r="U37" s="43"/>
      <c r="V37" s="43"/>
      <c r="W37" s="43"/>
      <c r="X37" s="43"/>
      <c r="Y37" s="43"/>
      <c r="Z37" s="43"/>
    </row>
    <row r="38" spans="1:26" ht="13.5" customHeight="1" outlineLevel="1">
      <c r="A38" s="43"/>
      <c r="B38" s="43"/>
      <c r="C38" s="271"/>
      <c r="D38" s="378" t="s">
        <v>47</v>
      </c>
      <c r="E38" s="397">
        <f t="shared" ref="E38:H38" si="28">AVERAGE(E32:E37)</f>
        <v>15.884771032296541</v>
      </c>
      <c r="F38" s="397">
        <f t="shared" si="28"/>
        <v>25.854027131748637</v>
      </c>
      <c r="G38" s="398">
        <f t="shared" si="28"/>
        <v>0.56179035618590545</v>
      </c>
      <c r="H38" s="397">
        <f t="shared" si="28"/>
        <v>1.1616001588285405</v>
      </c>
      <c r="I38" s="723">
        <f>AVERAGE(I33:J37)</f>
        <v>3.0731272050952603</v>
      </c>
      <c r="J38" s="608"/>
      <c r="K38" s="723">
        <f>AVERAGE(K33:L37)</f>
        <v>20.869399082022589</v>
      </c>
      <c r="L38" s="608"/>
      <c r="M38" s="43"/>
      <c r="N38" s="43"/>
      <c r="O38" s="754"/>
      <c r="P38" s="754"/>
      <c r="Q38" s="43"/>
      <c r="R38" s="43"/>
      <c r="S38" s="43"/>
      <c r="T38" s="43"/>
      <c r="U38" s="43"/>
      <c r="V38" s="43"/>
      <c r="W38" s="43"/>
      <c r="X38" s="43"/>
      <c r="Y38" s="43"/>
      <c r="Z38" s="43"/>
    </row>
    <row r="39" spans="1:26" ht="13.5" customHeight="1" outlineLevel="1">
      <c r="A39" s="43"/>
      <c r="B39" s="43"/>
      <c r="C39" s="271"/>
      <c r="D39" s="43"/>
      <c r="E39" s="43"/>
      <c r="F39" s="43"/>
      <c r="G39" s="43"/>
      <c r="H39" s="58" t="s">
        <v>273</v>
      </c>
      <c r="I39" s="43">
        <f>_xlfn.STDEV.S(I33:J37)</f>
        <v>0.61200863523194926</v>
      </c>
      <c r="J39" s="43"/>
      <c r="K39" s="43">
        <f>_xlfn.STDEV.S(K33:L37)</f>
        <v>12.732225271252965</v>
      </c>
      <c r="L39" s="372"/>
      <c r="M39" s="43"/>
      <c r="N39" s="43"/>
      <c r="O39" s="755"/>
      <c r="P39" s="755"/>
      <c r="Q39" s="43"/>
      <c r="R39" s="43"/>
      <c r="S39" s="43"/>
      <c r="T39" s="43"/>
      <c r="U39" s="43"/>
      <c r="V39" s="43"/>
      <c r="W39" s="43"/>
      <c r="X39" s="43"/>
      <c r="Y39" s="43"/>
      <c r="Z39" s="43"/>
    </row>
    <row r="40" spans="1:26" ht="13.5" customHeight="1">
      <c r="A40" s="43"/>
      <c r="B40" s="43"/>
      <c r="C40" s="271"/>
      <c r="D40" s="43"/>
      <c r="E40" s="43"/>
      <c r="F40" s="43"/>
      <c r="G40" s="43"/>
      <c r="H40" s="43"/>
      <c r="I40" s="43"/>
      <c r="J40" s="719" t="s">
        <v>274</v>
      </c>
      <c r="K40" s="686"/>
      <c r="L40" s="687"/>
      <c r="M40" s="43"/>
      <c r="N40" s="43"/>
      <c r="O40" s="43"/>
      <c r="P40" s="43"/>
      <c r="Q40" s="43"/>
      <c r="R40" s="43"/>
      <c r="S40" s="43"/>
      <c r="T40" s="43"/>
      <c r="U40" s="43"/>
      <c r="V40" s="43"/>
      <c r="W40" s="43"/>
      <c r="X40" s="43"/>
      <c r="Y40" s="43"/>
      <c r="Z40" s="43"/>
    </row>
    <row r="41" spans="1:26" ht="13.5" customHeight="1">
      <c r="A41" s="43"/>
      <c r="B41" s="43"/>
      <c r="C41" s="271"/>
      <c r="D41" s="43"/>
      <c r="E41" s="43"/>
      <c r="F41" s="43"/>
      <c r="G41" s="254" t="s">
        <v>275</v>
      </c>
      <c r="H41" s="64"/>
      <c r="I41" s="43"/>
      <c r="J41" s="708"/>
      <c r="K41" s="625"/>
      <c r="L41" s="703"/>
      <c r="M41" s="43"/>
      <c r="N41" s="43"/>
      <c r="O41" s="43"/>
      <c r="P41" s="43"/>
      <c r="Q41" s="43"/>
      <c r="R41" s="43"/>
      <c r="S41" s="43"/>
      <c r="T41" s="43"/>
      <c r="U41" s="43"/>
      <c r="V41" s="43"/>
      <c r="W41" s="43"/>
      <c r="X41" s="43"/>
      <c r="Y41" s="43"/>
      <c r="Z41" s="43"/>
    </row>
    <row r="42" spans="1:26" ht="13.5" customHeight="1">
      <c r="A42" s="43"/>
      <c r="B42" s="43"/>
      <c r="C42" s="271"/>
      <c r="D42" s="43"/>
      <c r="E42" s="43"/>
      <c r="F42" s="43"/>
      <c r="G42" s="61" t="s">
        <v>276</v>
      </c>
      <c r="H42" s="399">
        <f>AVERAGE(E38:F38)</f>
        <v>20.869399082022589</v>
      </c>
      <c r="I42" s="43"/>
      <c r="J42" s="708"/>
      <c r="K42" s="625"/>
      <c r="L42" s="703"/>
      <c r="M42" s="43"/>
      <c r="N42" s="43"/>
      <c r="O42" s="43"/>
      <c r="P42" s="43"/>
      <c r="Q42" s="43"/>
      <c r="R42" s="43"/>
      <c r="S42" s="43"/>
      <c r="T42" s="43"/>
      <c r="U42" s="43"/>
      <c r="V42" s="43"/>
      <c r="W42" s="43"/>
      <c r="X42" s="43"/>
      <c r="Y42" s="43"/>
      <c r="Z42" s="43"/>
    </row>
    <row r="43" spans="1:26" ht="13.5" customHeight="1">
      <c r="A43" s="43"/>
      <c r="B43" s="43"/>
      <c r="C43" s="271"/>
      <c r="D43" s="43"/>
      <c r="E43" s="43"/>
      <c r="F43" s="43"/>
      <c r="G43" s="61" t="s">
        <v>277</v>
      </c>
      <c r="H43" s="400">
        <f>AVERAGE(E28:F28)</f>
        <v>3.0731272050952612</v>
      </c>
      <c r="I43" s="43"/>
      <c r="J43" s="708"/>
      <c r="K43" s="625"/>
      <c r="L43" s="703"/>
      <c r="M43" s="43"/>
      <c r="N43" s="43"/>
      <c r="O43" s="43"/>
      <c r="P43" s="43"/>
      <c r="Q43" s="43"/>
      <c r="R43" s="43"/>
      <c r="S43" s="43"/>
      <c r="T43" s="43"/>
      <c r="U43" s="43"/>
      <c r="V43" s="43"/>
      <c r="W43" s="43"/>
      <c r="X43" s="43"/>
      <c r="Y43" s="43"/>
      <c r="Z43" s="43"/>
    </row>
    <row r="44" spans="1:26" ht="13.5" customHeight="1">
      <c r="A44" s="43"/>
      <c r="B44" s="43"/>
      <c r="C44" s="271"/>
      <c r="D44" s="43"/>
      <c r="E44" s="43"/>
      <c r="F44" s="43"/>
      <c r="G44" s="61"/>
      <c r="H44" s="401"/>
      <c r="I44" s="372"/>
      <c r="J44" s="708"/>
      <c r="K44" s="625"/>
      <c r="L44" s="703"/>
      <c r="M44" s="43"/>
      <c r="N44" s="43"/>
      <c r="O44" s="43"/>
      <c r="P44" s="43"/>
      <c r="Q44" s="43"/>
      <c r="R44" s="43"/>
      <c r="S44" s="43"/>
      <c r="T44" s="43"/>
      <c r="U44" s="43"/>
      <c r="V44" s="43"/>
      <c r="W44" s="43"/>
      <c r="X44" s="43"/>
      <c r="Y44" s="43"/>
      <c r="Z44" s="43"/>
    </row>
    <row r="45" spans="1:26" ht="13.5" customHeight="1">
      <c r="A45" s="43"/>
      <c r="B45" s="43"/>
      <c r="C45" s="271"/>
      <c r="D45" s="43"/>
      <c r="E45" s="43"/>
      <c r="F45" s="43"/>
      <c r="G45" s="61" t="s">
        <v>278</v>
      </c>
      <c r="H45" s="402">
        <f>AVERAGE(H43,H42)</f>
        <v>11.971263143558925</v>
      </c>
      <c r="I45" s="43"/>
      <c r="J45" s="708"/>
      <c r="K45" s="625"/>
      <c r="L45" s="703"/>
      <c r="M45" s="43"/>
      <c r="N45" s="43"/>
      <c r="O45" s="43"/>
      <c r="P45" s="43"/>
      <c r="Q45" s="43"/>
      <c r="R45" s="43"/>
      <c r="S45" s="43"/>
      <c r="T45" s="43"/>
      <c r="U45" s="43"/>
      <c r="V45" s="43"/>
      <c r="W45" s="43"/>
      <c r="X45" s="43"/>
      <c r="Y45" s="43"/>
      <c r="Z45" s="43"/>
    </row>
    <row r="46" spans="1:26" ht="12.75" customHeight="1">
      <c r="A46" s="43"/>
      <c r="B46" s="43"/>
      <c r="C46" s="271"/>
      <c r="D46" s="43"/>
      <c r="E46" s="43"/>
      <c r="F46" s="43"/>
      <c r="G46" s="43"/>
      <c r="H46" s="43"/>
      <c r="I46" s="43"/>
      <c r="J46" s="708"/>
      <c r="K46" s="625"/>
      <c r="L46" s="703"/>
      <c r="M46" s="43"/>
      <c r="N46" s="43"/>
      <c r="O46" s="43"/>
      <c r="P46" s="43"/>
      <c r="Q46" s="43"/>
      <c r="R46" s="43"/>
      <c r="S46" s="43"/>
      <c r="T46" s="43"/>
      <c r="U46" s="43"/>
      <c r="V46" s="43"/>
      <c r="W46" s="43"/>
      <c r="X46" s="43"/>
      <c r="Y46" s="43"/>
      <c r="Z46" s="43"/>
    </row>
    <row r="47" spans="1:26" ht="12.75" customHeight="1">
      <c r="A47" s="43"/>
      <c r="B47" s="43"/>
      <c r="C47" s="271"/>
      <c r="D47" s="43"/>
      <c r="E47" s="43"/>
      <c r="F47" s="43"/>
      <c r="G47" s="47" t="s">
        <v>279</v>
      </c>
      <c r="H47" s="403">
        <f>Summary!F18/Summary!K5</f>
        <v>5.3929758360355091</v>
      </c>
      <c r="I47" s="43"/>
      <c r="J47" s="708"/>
      <c r="K47" s="625"/>
      <c r="L47" s="703"/>
      <c r="M47" s="43"/>
      <c r="N47" s="43"/>
      <c r="O47" s="43"/>
      <c r="P47" s="43"/>
      <c r="Q47" s="43"/>
      <c r="R47" s="43"/>
      <c r="S47" s="43"/>
      <c r="T47" s="43"/>
      <c r="U47" s="43"/>
      <c r="V47" s="43"/>
      <c r="W47" s="43"/>
      <c r="X47" s="43"/>
      <c r="Y47" s="43"/>
      <c r="Z47" s="43"/>
    </row>
    <row r="48" spans="1:26" ht="13.5" customHeight="1">
      <c r="A48" s="43"/>
      <c r="B48" s="43"/>
      <c r="C48" s="271"/>
      <c r="D48" s="43"/>
      <c r="E48" s="720" t="s">
        <v>280</v>
      </c>
      <c r="F48" s="625"/>
      <c r="G48" s="625"/>
      <c r="H48" s="404">
        <f>IS!H29</f>
        <v>22.878940085877272</v>
      </c>
      <c r="I48" s="43"/>
      <c r="J48" s="688"/>
      <c r="K48" s="689"/>
      <c r="L48" s="690"/>
      <c r="M48" s="43"/>
      <c r="N48" s="43"/>
      <c r="O48" s="43"/>
      <c r="P48" s="43"/>
      <c r="Q48" s="43"/>
      <c r="R48" s="43"/>
      <c r="S48" s="43"/>
      <c r="T48" s="43"/>
      <c r="U48" s="43"/>
      <c r="V48" s="43"/>
      <c r="W48" s="43"/>
      <c r="X48" s="43"/>
      <c r="Y48" s="43"/>
      <c r="Z48" s="43"/>
    </row>
    <row r="49" spans="1:26" ht="13.5" customHeight="1" outlineLevel="1">
      <c r="A49" s="43"/>
      <c r="B49" s="43"/>
      <c r="C49" s="271"/>
      <c r="D49" s="43"/>
      <c r="E49" s="43"/>
      <c r="F49" s="43"/>
      <c r="G49" s="43"/>
      <c r="H49" s="362"/>
      <c r="I49" s="43"/>
      <c r="J49" s="43"/>
      <c r="K49" s="43"/>
      <c r="L49" s="43"/>
      <c r="M49" s="43"/>
      <c r="N49" s="43"/>
      <c r="O49" s="43"/>
      <c r="P49" s="43"/>
      <c r="Q49" s="43"/>
      <c r="R49" s="43"/>
      <c r="S49" s="43"/>
      <c r="T49" s="43"/>
      <c r="U49" s="43"/>
      <c r="V49" s="43"/>
      <c r="W49" s="43"/>
      <c r="X49" s="43"/>
      <c r="Y49" s="43"/>
      <c r="Z49" s="43"/>
    </row>
    <row r="50" spans="1:26" ht="12.75" customHeight="1" outlineLevel="1">
      <c r="A50" s="43"/>
      <c r="B50" s="43"/>
      <c r="C50" s="271"/>
      <c r="D50" s="43"/>
      <c r="E50" s="64"/>
      <c r="F50" s="64"/>
      <c r="G50" s="405" t="s">
        <v>281</v>
      </c>
      <c r="H50" s="404">
        <f>H47*H48</f>
        <v>123.3855710372403</v>
      </c>
      <c r="I50" s="43"/>
      <c r="J50" s="43"/>
      <c r="K50" s="43"/>
      <c r="L50" s="43"/>
      <c r="M50" s="43"/>
      <c r="N50" s="43"/>
      <c r="O50" s="64"/>
      <c r="P50" s="64"/>
      <c r="Q50" s="43"/>
      <c r="R50" s="43"/>
      <c r="S50" s="43"/>
      <c r="T50" s="43"/>
      <c r="U50" s="43"/>
      <c r="V50" s="43"/>
      <c r="W50" s="43"/>
      <c r="X50" s="43"/>
      <c r="Y50" s="43"/>
      <c r="Z50" s="43"/>
    </row>
    <row r="51" spans="1:26" ht="12.75" customHeight="1" outlineLevel="1">
      <c r="A51" s="43"/>
      <c r="B51" s="43"/>
      <c r="C51" s="271"/>
      <c r="D51" s="43"/>
      <c r="E51" s="58"/>
      <c r="F51" s="43"/>
      <c r="G51" s="406" t="s">
        <v>282</v>
      </c>
      <c r="H51" s="404">
        <f>H42*H48</f>
        <v>477.46973122585695</v>
      </c>
      <c r="I51" s="43"/>
      <c r="J51" s="43"/>
      <c r="K51" s="43"/>
      <c r="L51" s="43"/>
      <c r="M51" s="43"/>
      <c r="N51" s="43"/>
      <c r="O51" s="58"/>
      <c r="P51" s="43"/>
      <c r="Q51" s="43"/>
      <c r="R51" s="43"/>
      <c r="S51" s="43"/>
      <c r="T51" s="43"/>
      <c r="U51" s="43"/>
      <c r="V51" s="43"/>
      <c r="W51" s="43"/>
      <c r="X51" s="43"/>
      <c r="Y51" s="43"/>
      <c r="Z51" s="43"/>
    </row>
    <row r="52" spans="1:26" ht="13.5" customHeight="1" outlineLevel="1">
      <c r="A52" s="43"/>
      <c r="B52" s="43"/>
      <c r="C52" s="271"/>
      <c r="D52" s="43"/>
      <c r="E52" s="58"/>
      <c r="F52" s="43"/>
      <c r="G52" s="43"/>
      <c r="H52" s="49"/>
      <c r="I52" s="43"/>
      <c r="J52" s="43"/>
      <c r="K52" s="43"/>
      <c r="L52" s="43"/>
      <c r="M52" s="43"/>
      <c r="N52" s="43"/>
      <c r="O52" s="58"/>
      <c r="P52" s="43"/>
      <c r="Q52" s="43"/>
      <c r="R52" s="43"/>
      <c r="S52" s="43"/>
      <c r="T52" s="43"/>
      <c r="U52" s="43"/>
      <c r="V52" s="43"/>
      <c r="W52" s="43"/>
      <c r="X52" s="43"/>
      <c r="Y52" s="43"/>
      <c r="Z52" s="43"/>
    </row>
    <row r="53" spans="1:26" ht="13.5" customHeight="1" outlineLevel="1">
      <c r="A53" s="43"/>
      <c r="B53" s="43"/>
      <c r="C53" s="271"/>
      <c r="D53" s="43"/>
      <c r="E53" s="58"/>
      <c r="F53" s="43"/>
      <c r="G53" s="405" t="s">
        <v>283</v>
      </c>
      <c r="H53" s="404">
        <f>E38*H48</f>
        <v>363.42672472579142</v>
      </c>
      <c r="I53" s="43"/>
      <c r="J53" s="43"/>
      <c r="K53" s="43"/>
      <c r="L53" s="43"/>
      <c r="M53" s="43"/>
      <c r="N53" s="43"/>
      <c r="O53" s="58"/>
      <c r="P53" s="43"/>
      <c r="Q53" s="43"/>
      <c r="R53" s="43"/>
      <c r="S53" s="43"/>
      <c r="T53" s="43"/>
      <c r="U53" s="43"/>
      <c r="V53" s="43"/>
      <c r="W53" s="43"/>
      <c r="X53" s="43"/>
      <c r="Y53" s="43"/>
      <c r="Z53" s="43"/>
    </row>
    <row r="54" spans="1:26" ht="13.5" customHeight="1" outlineLevel="1">
      <c r="A54" s="43"/>
      <c r="B54" s="43"/>
      <c r="C54" s="271"/>
      <c r="D54" s="43"/>
      <c r="E54" s="43"/>
      <c r="F54" s="43"/>
      <c r="G54" s="405" t="s">
        <v>284</v>
      </c>
      <c r="H54" s="404">
        <f>F38*H48</f>
        <v>591.51273772592242</v>
      </c>
      <c r="I54" s="43"/>
      <c r="J54" s="43"/>
      <c r="K54" s="43"/>
      <c r="L54" s="43"/>
      <c r="M54" s="43"/>
      <c r="N54" s="43"/>
      <c r="O54" s="43"/>
      <c r="P54" s="43"/>
      <c r="Q54" s="43"/>
      <c r="R54" s="43"/>
      <c r="S54" s="43"/>
      <c r="T54" s="43"/>
      <c r="U54" s="43"/>
      <c r="V54" s="43"/>
      <c r="W54" s="43"/>
      <c r="X54" s="43"/>
      <c r="Y54" s="43"/>
      <c r="Z54" s="43"/>
    </row>
    <row r="55" spans="1:26" ht="13.5" customHeight="1">
      <c r="A55" s="43"/>
      <c r="B55" s="43"/>
      <c r="C55" s="271"/>
      <c r="D55" s="43"/>
      <c r="E55" s="58"/>
      <c r="F55" s="58"/>
      <c r="G55" s="58"/>
      <c r="H55" s="43"/>
      <c r="I55" s="43"/>
      <c r="J55" s="43"/>
      <c r="K55" s="43"/>
      <c r="L55" s="372"/>
      <c r="M55" s="43"/>
      <c r="N55" s="43"/>
      <c r="O55" s="58"/>
      <c r="P55" s="58"/>
      <c r="Q55" s="43"/>
      <c r="R55" s="43"/>
      <c r="S55" s="43"/>
      <c r="T55" s="43"/>
      <c r="U55" s="43"/>
      <c r="V55" s="43"/>
      <c r="W55" s="43"/>
      <c r="X55" s="43"/>
      <c r="Y55" s="43"/>
      <c r="Z55" s="43"/>
    </row>
    <row r="56" spans="1:26" ht="13.5" customHeight="1">
      <c r="A56" s="43"/>
      <c r="B56" s="43"/>
      <c r="C56" s="271"/>
      <c r="D56" s="43"/>
      <c r="E56" s="721" t="s">
        <v>285</v>
      </c>
      <c r="F56" s="625"/>
      <c r="G56" s="625"/>
      <c r="H56" s="407">
        <f>H45*H48</f>
        <v>273.88981221375548</v>
      </c>
      <c r="I56" s="43"/>
      <c r="J56" s="43"/>
      <c r="K56" s="43"/>
      <c r="L56" s="372"/>
      <c r="M56" s="43"/>
      <c r="N56" s="43"/>
      <c r="O56" s="43"/>
      <c r="P56" s="43"/>
      <c r="Q56" s="43"/>
      <c r="R56" s="43"/>
      <c r="S56" s="43"/>
      <c r="T56" s="43"/>
      <c r="U56" s="43"/>
      <c r="V56" s="43"/>
      <c r="W56" s="43"/>
      <c r="X56" s="43"/>
      <c r="Y56" s="43"/>
      <c r="Z56" s="43"/>
    </row>
    <row r="57" spans="1:26" ht="13.5" customHeight="1">
      <c r="A57" s="43"/>
      <c r="B57" s="43"/>
      <c r="C57" s="376"/>
      <c r="D57" s="59"/>
      <c r="E57" s="59"/>
      <c r="F57" s="59"/>
      <c r="G57" s="59"/>
      <c r="H57" s="59"/>
      <c r="I57" s="59"/>
      <c r="J57" s="59"/>
      <c r="K57" s="59"/>
      <c r="L57" s="408"/>
      <c r="M57" s="43"/>
      <c r="N57" s="43"/>
      <c r="O57" s="59"/>
      <c r="P57" s="59"/>
      <c r="Q57" s="43"/>
      <c r="R57" s="43"/>
      <c r="S57" s="43"/>
      <c r="T57" s="43"/>
      <c r="U57" s="43"/>
      <c r="V57" s="43"/>
      <c r="W57" s="43"/>
      <c r="X57" s="43"/>
      <c r="Y57" s="43"/>
      <c r="Z57" s="43"/>
    </row>
    <row r="58" spans="1:26" ht="13.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spans="1:26" ht="13.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spans="1:26" ht="13.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spans="1:26" ht="13.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spans="1:26" ht="13.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spans="1:26" ht="13.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spans="1:26" ht="13.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spans="1:26" ht="13.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spans="1:26" ht="13.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spans="1:26" ht="13.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spans="1:26" ht="13.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spans="1:26" ht="13.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spans="1:26" ht="13.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spans="1:26" ht="13.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spans="1:26" ht="13.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spans="1:26" ht="13.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spans="1:26" ht="13.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3.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3.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3.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3.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3.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3.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3.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3.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3.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3.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3.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3.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3.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3.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3.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3.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3.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3.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3.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3.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3.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3.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3.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3.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3.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3.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3.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3.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3.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3.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3.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3.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3.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3.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3.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3.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3.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3.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3.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3.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3.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3.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3.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3.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3.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3.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3.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3.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3.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3.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3.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3.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3.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3.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3.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3.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3.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3.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3.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3.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3.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3.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3.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3.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3.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3.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3.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3.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3.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3.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3.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3.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3.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3.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3.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3.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3.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3.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3.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3.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3.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3.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3.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3.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3.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3.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3.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3.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3.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3.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3.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3.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3.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3.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3.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3.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3.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3.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3.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3.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3.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3.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3.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3.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3.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3.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3.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3.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3.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3.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3.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3.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3.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3.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3.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3.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3.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3.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3.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3.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3.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3.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3.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3.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3.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3.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3.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3.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3.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3.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3.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3.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3.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3.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3.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3.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3.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3.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3.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3.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3.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3.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3.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3.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3.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3.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3.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3.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3.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3.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3.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3.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3.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3.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3.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3.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3.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3.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3.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3.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3.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3.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3.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3.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3.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3.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3.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3.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3.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3.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3.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3.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3.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3.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3.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3.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3.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3.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3.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3.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3.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3.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7">
    <mergeCell ref="O16:P16"/>
    <mergeCell ref="O17:P17"/>
    <mergeCell ref="O18:P18"/>
    <mergeCell ref="O20:P20"/>
    <mergeCell ref="O2:P2"/>
    <mergeCell ref="O11:P11"/>
    <mergeCell ref="O13:P13"/>
    <mergeCell ref="O14:P14"/>
    <mergeCell ref="O15:P15"/>
    <mergeCell ref="D30:F30"/>
    <mergeCell ref="G30:H30"/>
    <mergeCell ref="I30:J30"/>
    <mergeCell ref="K30:L30"/>
    <mergeCell ref="I32:J32"/>
    <mergeCell ref="I33:J33"/>
    <mergeCell ref="K33:L33"/>
    <mergeCell ref="I37:J37"/>
    <mergeCell ref="I38:J38"/>
    <mergeCell ref="K38:L38"/>
    <mergeCell ref="J40:L48"/>
    <mergeCell ref="E48:G48"/>
    <mergeCell ref="E56:G56"/>
    <mergeCell ref="I34:J34"/>
    <mergeCell ref="K34:L34"/>
    <mergeCell ref="I35:J35"/>
    <mergeCell ref="K35:L35"/>
    <mergeCell ref="I36:J36"/>
    <mergeCell ref="K36:L36"/>
    <mergeCell ref="K37:L37"/>
    <mergeCell ref="K16:L16"/>
    <mergeCell ref="I11:J11"/>
    <mergeCell ref="K11:L11"/>
    <mergeCell ref="C2:C3"/>
    <mergeCell ref="E2:F2"/>
    <mergeCell ref="G2:H2"/>
    <mergeCell ref="I2:J2"/>
    <mergeCell ref="K2:L2"/>
    <mergeCell ref="E11:F11"/>
    <mergeCell ref="G11:H11"/>
    <mergeCell ref="E13:F13"/>
    <mergeCell ref="G13:H13"/>
    <mergeCell ref="I13:J13"/>
    <mergeCell ref="K13:L13"/>
    <mergeCell ref="I14:J14"/>
    <mergeCell ref="K14:L14"/>
    <mergeCell ref="C14:C15"/>
    <mergeCell ref="E14:F14"/>
    <mergeCell ref="G14:H14"/>
    <mergeCell ref="E18:F18"/>
    <mergeCell ref="E20:F20"/>
    <mergeCell ref="G20:H20"/>
    <mergeCell ref="I20:J20"/>
    <mergeCell ref="K20:L20"/>
    <mergeCell ref="E15:F15"/>
    <mergeCell ref="G15:H15"/>
    <mergeCell ref="E16:F16"/>
    <mergeCell ref="G16:H16"/>
    <mergeCell ref="E17:F17"/>
    <mergeCell ref="G17:H17"/>
    <mergeCell ref="G18:H18"/>
    <mergeCell ref="I17:J17"/>
    <mergeCell ref="K17:L17"/>
    <mergeCell ref="I18:J18"/>
    <mergeCell ref="K18:L18"/>
    <mergeCell ref="I15:J15"/>
    <mergeCell ref="K15:L15"/>
    <mergeCell ref="I16:J16"/>
  </mergeCells>
  <conditionalFormatting sqref="F23:F27 H23:H27 J23:J27 L23:L27">
    <cfRule type="cellIs" dxfId="29" priority="3" operator="notBetween">
      <formula>$I$38-($I$39*2)</formula>
      <formula>$I$38+($I$39*2)</formula>
    </cfRule>
  </conditionalFormatting>
  <conditionalFormatting sqref="E23:L27">
    <cfRule type="cellIs" dxfId="28" priority="4" operator="notBetween">
      <formula>$I$38-($I$39*2)</formula>
      <formula>$I$38+($I$39*2)</formula>
    </cfRule>
  </conditionalFormatting>
  <conditionalFormatting sqref="G23:L27">
    <cfRule type="cellIs" dxfId="27" priority="5" operator="notBetween">
      <formula>$K$38-($K$39*2)</formula>
      <formula>$K$38+($K$39*2)</formula>
    </cfRule>
  </conditionalFormatting>
  <conditionalFormatting sqref="I23:J27">
    <cfRule type="cellIs" dxfId="26" priority="6" operator="notBetween">
      <formula>$K$38-($K$39*2)</formula>
      <formula>$K$38+($K$39*2)</formula>
    </cfRule>
  </conditionalFormatting>
  <conditionalFormatting sqref="L23:L27 K24:K27">
    <cfRule type="cellIs" dxfId="25" priority="7" operator="notBetween">
      <formula>$K$38-($K$39*2)</formula>
      <formula>$K$38+($K$39*2)</formula>
    </cfRule>
  </conditionalFormatting>
  <conditionalFormatting sqref="P23:P27">
    <cfRule type="cellIs" dxfId="1" priority="1" operator="notBetween">
      <formula>$I$38-($I$39*2)</formula>
      <formula>$I$38+($I$39*2)</formula>
    </cfRule>
  </conditionalFormatting>
  <conditionalFormatting sqref="O23:P27">
    <cfRule type="cellIs" dxfId="0" priority="2" operator="notBetween">
      <formula>$I$38-($I$39*2)</formula>
      <formula>$I$38+($I$39*2)</formula>
    </cfRule>
  </conditionalFormatting>
  <pageMargins left="0.7" right="0.7" top="0.75" bottom="0.75" header="0" footer="0"/>
  <pageSetup orientation="landscape"/>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C2" sqref="C2"/>
    </sheetView>
  </sheetViews>
  <sheetFormatPr defaultColWidth="14.453125" defaultRowHeight="15" customHeight="1"/>
  <cols>
    <col min="1" max="1" width="14.08984375" customWidth="1"/>
    <col min="2" max="6" width="8.81640625" customWidth="1"/>
  </cols>
  <sheetData>
    <row r="1" spans="1:2" ht="12" customHeight="1">
      <c r="B1" s="1">
        <f>FORECAST</f>
        <v>2021</v>
      </c>
    </row>
    <row r="2" spans="1:2" ht="12" customHeight="1">
      <c r="A2" s="41" t="s">
        <v>37</v>
      </c>
      <c r="B2" s="42">
        <f>Forecast_Net_Income/Shareholders_Equity</f>
        <v>0.26300694003684388</v>
      </c>
    </row>
    <row r="3" spans="1:2" ht="12" customHeight="1">
      <c r="A3" s="41" t="s">
        <v>38</v>
      </c>
      <c r="B3" s="42">
        <f>Forecast_Net_Income/Total_Assets</f>
        <v>0.17908656970999412</v>
      </c>
    </row>
    <row r="4" spans="1:2" ht="12" customHeight="1">
      <c r="A4" s="41"/>
    </row>
    <row r="5" spans="1:2" ht="12" customHeight="1"/>
    <row r="6" spans="1:2" ht="12" customHeight="1"/>
    <row r="7" spans="1:2" ht="12" customHeight="1"/>
    <row r="8" spans="1:2" ht="12" customHeight="1"/>
    <row r="9" spans="1:2" ht="12" customHeight="1"/>
    <row r="10" spans="1:2" ht="12" customHeight="1"/>
    <row r="11" spans="1:2" ht="12" customHeight="1"/>
    <row r="12" spans="1:2" ht="12" customHeight="1"/>
    <row r="13" spans="1:2" ht="12" customHeight="1"/>
    <row r="14" spans="1:2" ht="12" customHeight="1"/>
    <row r="15" spans="1:2" ht="12" customHeight="1"/>
    <row r="16" spans="1:2" ht="12" customHeight="1"/>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row r="105" ht="12" customHeight="1"/>
    <row r="106" ht="12" customHeight="1"/>
    <row r="107" ht="12" customHeight="1"/>
    <row r="108" ht="12" customHeight="1"/>
    <row r="109" ht="12" customHeight="1"/>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row r="126" ht="12" customHeight="1"/>
    <row r="127" ht="12" customHeight="1"/>
    <row r="128" ht="12" customHeight="1"/>
    <row r="129" ht="12" customHeight="1"/>
    <row r="130" ht="12" customHeight="1"/>
    <row r="131" ht="12" customHeight="1"/>
    <row r="132" ht="12" customHeight="1"/>
    <row r="133" ht="12" customHeight="1"/>
    <row r="134" ht="12" customHeight="1"/>
    <row r="135" ht="12" customHeight="1"/>
    <row r="136" ht="12" customHeight="1"/>
    <row r="137" ht="12" customHeight="1"/>
    <row r="138" ht="12" customHeight="1"/>
    <row r="139" ht="12" customHeight="1"/>
    <row r="140" ht="12" customHeight="1"/>
    <row r="141" ht="12" customHeight="1"/>
    <row r="142" ht="12" customHeight="1"/>
    <row r="143" ht="12" customHeight="1"/>
    <row r="144" ht="12" customHeight="1"/>
    <row r="145" ht="12" customHeight="1"/>
    <row r="146" ht="12" customHeight="1"/>
    <row r="147" ht="12" customHeight="1"/>
    <row r="148" ht="12" customHeight="1"/>
    <row r="149" ht="12" customHeight="1"/>
    <row r="150" ht="12" customHeight="1"/>
    <row r="151" ht="12" customHeight="1"/>
    <row r="152" ht="12" customHeight="1"/>
    <row r="153" ht="12" customHeight="1"/>
    <row r="154" ht="12" customHeight="1"/>
    <row r="155" ht="12" customHeight="1"/>
    <row r="156" ht="12" customHeight="1"/>
    <row r="157" ht="12" customHeight="1"/>
    <row r="158" ht="12" customHeight="1"/>
    <row r="159" ht="12" customHeight="1"/>
    <row r="160" ht="12" customHeight="1"/>
    <row r="161" ht="12" customHeight="1"/>
    <row r="162" ht="12" customHeight="1"/>
    <row r="163" ht="12" customHeight="1"/>
    <row r="164" ht="12" customHeight="1"/>
    <row r="165" ht="12" customHeight="1"/>
    <row r="166" ht="12" customHeight="1"/>
    <row r="167" ht="12" customHeight="1"/>
    <row r="168" ht="12" customHeight="1"/>
    <row r="169" ht="12" customHeight="1"/>
    <row r="170" ht="12" customHeight="1"/>
    <row r="171" ht="12" customHeight="1"/>
    <row r="172" ht="12" customHeight="1"/>
    <row r="173" ht="12" customHeight="1"/>
    <row r="174" ht="12" customHeight="1"/>
    <row r="175" ht="12" customHeight="1"/>
    <row r="176" ht="12" customHeight="1"/>
    <row r="177" ht="12" customHeight="1"/>
    <row r="178" ht="12" customHeight="1"/>
    <row r="179" ht="12" customHeight="1"/>
    <row r="180" ht="12" customHeight="1"/>
    <row r="181" ht="12" customHeight="1"/>
    <row r="182" ht="12" customHeight="1"/>
    <row r="183" ht="12" customHeight="1"/>
    <row r="184" ht="12" customHeight="1"/>
    <row r="185" ht="12" customHeight="1"/>
    <row r="186" ht="12" customHeight="1"/>
    <row r="187" ht="12" customHeight="1"/>
    <row r="188" ht="12" customHeight="1"/>
    <row r="189" ht="12" customHeight="1"/>
    <row r="190" ht="12" customHeight="1"/>
    <row r="191" ht="12" customHeight="1"/>
    <row r="192" ht="12" customHeight="1"/>
    <row r="193" ht="12" customHeight="1"/>
    <row r="194" ht="12" customHeight="1"/>
    <row r="195" ht="12" customHeight="1"/>
    <row r="196" ht="12" customHeight="1"/>
    <row r="197" ht="12" customHeight="1"/>
    <row r="198" ht="12" customHeight="1"/>
    <row r="199" ht="12" customHeight="1"/>
    <row r="200" ht="12" customHeight="1"/>
    <row r="201" ht="12" customHeight="1"/>
    <row r="202" ht="12" customHeight="1"/>
    <row r="203" ht="12" customHeight="1"/>
    <row r="204" ht="12" customHeight="1"/>
    <row r="205" ht="12" customHeight="1"/>
    <row r="206" ht="12" customHeight="1"/>
    <row r="207" ht="12" customHeight="1"/>
    <row r="208" ht="12" customHeight="1"/>
    <row r="209" ht="12" customHeight="1"/>
    <row r="210" ht="12" customHeight="1"/>
    <row r="211" ht="12" customHeight="1"/>
    <row r="212" ht="12" customHeight="1"/>
    <row r="213" ht="12" customHeight="1"/>
    <row r="214" ht="12" customHeight="1"/>
    <row r="215" ht="12" customHeight="1"/>
    <row r="216" ht="12" customHeight="1"/>
    <row r="217" ht="12" customHeight="1"/>
    <row r="218" ht="12" customHeight="1"/>
    <row r="219" ht="12" customHeight="1"/>
    <row r="220" ht="12"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B1" workbookViewId="0">
      <selection activeCell="F5" sqref="F5"/>
    </sheetView>
  </sheetViews>
  <sheetFormatPr defaultColWidth="14.453125" defaultRowHeight="15" customHeight="1"/>
  <cols>
    <col min="1" max="1" width="6.08984375" hidden="1" customWidth="1"/>
    <col min="2" max="2" width="2.81640625" customWidth="1"/>
    <col min="3" max="3" width="12.08984375" customWidth="1"/>
    <col min="4" max="4" width="9.81640625" customWidth="1"/>
    <col min="5" max="5" width="8.08984375" customWidth="1"/>
    <col min="6" max="6" width="9.08984375" customWidth="1"/>
    <col min="7" max="12" width="11.7265625" customWidth="1"/>
    <col min="13" max="13" width="2.81640625" customWidth="1"/>
    <col min="14" max="14" width="6.08984375" hidden="1" customWidth="1"/>
    <col min="15" max="26" width="8.7265625" customWidth="1"/>
  </cols>
  <sheetData>
    <row r="1" spans="1:26" ht="12.75" customHeight="1">
      <c r="A1" s="409"/>
      <c r="B1" s="409"/>
      <c r="C1" s="409"/>
      <c r="D1" s="409"/>
      <c r="E1" s="409"/>
      <c r="F1" s="409"/>
      <c r="G1" s="409"/>
      <c r="H1" s="409"/>
      <c r="I1" s="409"/>
      <c r="J1" s="409"/>
      <c r="K1" s="409"/>
      <c r="L1" s="409"/>
      <c r="M1" s="409"/>
      <c r="N1" s="409"/>
      <c r="O1" s="409"/>
      <c r="P1" s="409"/>
      <c r="Q1" s="409"/>
      <c r="R1" s="409"/>
      <c r="S1" s="409"/>
      <c r="T1" s="409"/>
      <c r="U1" s="409"/>
      <c r="V1" s="409"/>
      <c r="W1" s="409"/>
      <c r="X1" s="409"/>
      <c r="Y1" s="409"/>
      <c r="Z1" s="409"/>
    </row>
    <row r="2" spans="1:26" ht="12.75" customHeight="1">
      <c r="A2" s="409"/>
      <c r="B2" s="409"/>
      <c r="C2" s="730" t="s">
        <v>13</v>
      </c>
      <c r="D2" s="410"/>
      <c r="E2" s="725" t="str">
        <f>Ticker</f>
        <v>TSM</v>
      </c>
      <c r="F2" s="608"/>
      <c r="G2" s="725" t="str">
        <f>Comp1Ticker</f>
        <v>Texas Instruments</v>
      </c>
      <c r="H2" s="608"/>
      <c r="I2" s="725" t="str">
        <f>Comp2Ticker</f>
        <v>Intel Corporation</v>
      </c>
      <c r="J2" s="608"/>
      <c r="K2" s="725" t="str">
        <f>Comp3Ticker</f>
        <v>Broadcom</v>
      </c>
      <c r="L2" s="608"/>
      <c r="M2" s="412"/>
      <c r="N2" s="413"/>
      <c r="O2" s="409"/>
      <c r="P2" s="409"/>
      <c r="Q2" s="409"/>
      <c r="R2" s="409"/>
      <c r="S2" s="409"/>
      <c r="T2" s="409"/>
      <c r="U2" s="409"/>
      <c r="V2" s="409"/>
      <c r="W2" s="409"/>
      <c r="X2" s="409"/>
      <c r="Y2" s="409"/>
      <c r="Z2" s="409"/>
    </row>
    <row r="3" spans="1:26" ht="12.75" customHeight="1">
      <c r="A3" s="409"/>
      <c r="B3" s="409"/>
      <c r="C3" s="713"/>
      <c r="D3" s="414" t="s">
        <v>121</v>
      </c>
      <c r="E3" s="414" t="s">
        <v>265</v>
      </c>
      <c r="F3" s="415" t="s">
        <v>266</v>
      </c>
      <c r="G3" s="414" t="s">
        <v>265</v>
      </c>
      <c r="H3" s="415" t="s">
        <v>266</v>
      </c>
      <c r="I3" s="414" t="s">
        <v>265</v>
      </c>
      <c r="J3" s="415" t="s">
        <v>266</v>
      </c>
      <c r="K3" s="414" t="s">
        <v>265</v>
      </c>
      <c r="L3" s="415" t="s">
        <v>266</v>
      </c>
      <c r="M3" s="413"/>
      <c r="N3" s="416"/>
      <c r="O3" s="409"/>
      <c r="P3" s="409"/>
      <c r="Q3" s="409"/>
      <c r="R3" s="409"/>
      <c r="S3" s="409"/>
      <c r="T3" s="409"/>
      <c r="U3" s="409"/>
      <c r="V3" s="409"/>
      <c r="W3" s="409"/>
      <c r="X3" s="409"/>
      <c r="Y3" s="409"/>
      <c r="Z3" s="409"/>
    </row>
    <row r="4" spans="1:26" ht="12.75" customHeight="1">
      <c r="A4" s="409"/>
      <c r="B4" s="409"/>
      <c r="C4" s="417"/>
      <c r="D4" s="418"/>
      <c r="E4" s="419"/>
      <c r="F4" s="420"/>
      <c r="G4" s="419"/>
      <c r="H4" s="420"/>
      <c r="I4" s="419"/>
      <c r="J4" s="420"/>
      <c r="K4" s="419"/>
      <c r="L4" s="420"/>
      <c r="M4" s="421"/>
      <c r="N4" s="416"/>
      <c r="O4" s="409"/>
      <c r="P4" s="409"/>
      <c r="Q4" s="409"/>
      <c r="R4" s="409"/>
      <c r="S4" s="409"/>
      <c r="T4" s="409"/>
      <c r="U4" s="409"/>
      <c r="V4" s="409"/>
      <c r="W4" s="409"/>
      <c r="X4" s="409"/>
      <c r="Y4" s="409"/>
      <c r="Z4" s="409"/>
    </row>
    <row r="5" spans="1:26" ht="12.75" customHeight="1">
      <c r="A5" s="409"/>
      <c r="B5" s="409"/>
      <c r="C5" s="414" t="s">
        <v>267</v>
      </c>
      <c r="D5" s="418">
        <f>Historical1</f>
        <v>2016</v>
      </c>
      <c r="E5" s="419">
        <f>HistPE!E5</f>
        <v>28.34</v>
      </c>
      <c r="F5" s="420">
        <f>HistPE!F5</f>
        <v>30.639999</v>
      </c>
      <c r="G5" s="419">
        <f>HistPE!G5</f>
        <v>69.92</v>
      </c>
      <c r="H5" s="420">
        <f>HistPE!H5</f>
        <v>75.150000000000006</v>
      </c>
      <c r="I5" s="419">
        <f>HistPE!I5</f>
        <v>33.56</v>
      </c>
      <c r="J5" s="420">
        <f>HistPE!J5</f>
        <v>37.35</v>
      </c>
      <c r="K5" s="419">
        <f>HistPE!K5</f>
        <v>160.62</v>
      </c>
      <c r="L5" s="420">
        <f>HistPE!L5</f>
        <v>183.99</v>
      </c>
      <c r="M5" s="409"/>
      <c r="N5" s="416"/>
      <c r="O5" s="409"/>
      <c r="P5" s="409"/>
      <c r="Q5" s="409"/>
      <c r="R5" s="409"/>
      <c r="S5" s="409"/>
      <c r="T5" s="409"/>
      <c r="U5" s="409"/>
      <c r="V5" s="409"/>
      <c r="W5" s="409"/>
      <c r="X5" s="409"/>
      <c r="Y5" s="409"/>
      <c r="Z5" s="409"/>
    </row>
    <row r="6" spans="1:26" ht="12.75" customHeight="1">
      <c r="A6" s="409"/>
      <c r="B6" s="409"/>
      <c r="C6" s="417"/>
      <c r="D6" s="418">
        <f t="shared" ref="D6:D9" si="0">D5+1</f>
        <v>2017</v>
      </c>
      <c r="E6" s="419">
        <f>HistPE!E6</f>
        <v>28.98</v>
      </c>
      <c r="F6" s="420">
        <f>HistPE!F6</f>
        <v>43.02</v>
      </c>
      <c r="G6" s="419">
        <f>HistPE!G6</f>
        <v>72.47</v>
      </c>
      <c r="H6" s="420">
        <f>HistPE!H6</f>
        <v>105.33</v>
      </c>
      <c r="I6" s="419">
        <f>HistPE!I6</f>
        <v>33.229999999999997</v>
      </c>
      <c r="J6" s="420">
        <f>HistPE!J6</f>
        <v>47.34</v>
      </c>
      <c r="K6" s="419">
        <f>HistPE!K6</f>
        <v>173.31</v>
      </c>
      <c r="L6" s="420">
        <f>HistPE!L6</f>
        <v>285.68</v>
      </c>
      <c r="M6" s="412"/>
      <c r="N6" s="416"/>
      <c r="O6" s="409"/>
      <c r="P6" s="409"/>
      <c r="Q6" s="409"/>
      <c r="R6" s="409"/>
      <c r="S6" s="409"/>
      <c r="T6" s="409"/>
      <c r="U6" s="409"/>
      <c r="V6" s="409"/>
      <c r="W6" s="409"/>
      <c r="X6" s="409"/>
      <c r="Y6" s="409"/>
      <c r="Z6" s="409"/>
    </row>
    <row r="7" spans="1:26" ht="12.75" customHeight="1">
      <c r="A7" s="409"/>
      <c r="B7" s="409"/>
      <c r="C7" s="417"/>
      <c r="D7" s="418">
        <f t="shared" si="0"/>
        <v>2018</v>
      </c>
      <c r="E7" s="419">
        <f>HistPE!E7</f>
        <v>35.22</v>
      </c>
      <c r="F7" s="420">
        <f>HistPE!F7</f>
        <v>46.57</v>
      </c>
      <c r="G7" s="419">
        <f>HistPE!G7</f>
        <v>87.7</v>
      </c>
      <c r="H7" s="420">
        <f>HistPE!H7</f>
        <v>120.75</v>
      </c>
      <c r="I7" s="419">
        <f>HistPE!I7</f>
        <v>42.04</v>
      </c>
      <c r="J7" s="420">
        <f>HistPE!J7</f>
        <v>57.6</v>
      </c>
      <c r="K7" s="419">
        <f>HistPE!K7</f>
        <v>197.46</v>
      </c>
      <c r="L7" s="420">
        <f>HistPE!L7</f>
        <v>274.26</v>
      </c>
      <c r="M7" s="413"/>
      <c r="N7" s="416"/>
      <c r="O7" s="409"/>
      <c r="P7" s="409"/>
      <c r="Q7" s="409"/>
      <c r="R7" s="409"/>
      <c r="S7" s="409"/>
      <c r="T7" s="409"/>
      <c r="U7" s="409"/>
      <c r="V7" s="409"/>
      <c r="W7" s="409"/>
      <c r="X7" s="409"/>
      <c r="Y7" s="409"/>
      <c r="Z7" s="409"/>
    </row>
    <row r="8" spans="1:26" ht="12.75" customHeight="1">
      <c r="A8" s="409"/>
      <c r="B8" s="409"/>
      <c r="C8" s="417"/>
      <c r="D8" s="418">
        <f t="shared" si="0"/>
        <v>2019</v>
      </c>
      <c r="E8" s="419">
        <f>HistPE!E8</f>
        <v>34.21</v>
      </c>
      <c r="F8" s="420">
        <f>HistPE!F8</f>
        <v>59.71</v>
      </c>
      <c r="G8" s="419">
        <f>HistPE!G8</f>
        <v>88.68</v>
      </c>
      <c r="H8" s="420">
        <f>HistPE!H8</f>
        <v>132.19999999999999</v>
      </c>
      <c r="I8" s="419">
        <f>HistPE!I8</f>
        <v>42.86</v>
      </c>
      <c r="J8" s="420">
        <f>HistPE!J8</f>
        <v>60.48</v>
      </c>
      <c r="K8" s="419">
        <f>HistPE!K8</f>
        <v>230.33</v>
      </c>
      <c r="L8" s="420">
        <f>HistPE!L8</f>
        <v>331.2</v>
      </c>
      <c r="M8" s="409"/>
      <c r="N8" s="409"/>
      <c r="O8" s="409"/>
      <c r="P8" s="409"/>
      <c r="Q8" s="409"/>
      <c r="R8" s="409"/>
      <c r="S8" s="409"/>
      <c r="T8" s="409"/>
      <c r="U8" s="409"/>
      <c r="V8" s="409"/>
      <c r="W8" s="409"/>
      <c r="X8" s="409"/>
      <c r="Y8" s="409"/>
      <c r="Z8" s="409"/>
    </row>
    <row r="9" spans="1:26" ht="12.75" customHeight="1">
      <c r="A9" s="409"/>
      <c r="B9" s="409"/>
      <c r="C9" s="417"/>
      <c r="D9" s="418">
        <f t="shared" si="0"/>
        <v>2020</v>
      </c>
      <c r="E9" s="419">
        <f>HistPE!E9</f>
        <v>42.7</v>
      </c>
      <c r="F9" s="420">
        <f>HistPE!F9</f>
        <v>109.699</v>
      </c>
      <c r="G9" s="419">
        <f>HistPE!G9</f>
        <v>93.09</v>
      </c>
      <c r="H9" s="420">
        <f>HistPE!H9</f>
        <v>167.24</v>
      </c>
      <c r="I9" s="419">
        <f>HistPE!I9</f>
        <v>43.61</v>
      </c>
      <c r="J9" s="420">
        <f>HistPE!J9</f>
        <v>69.290000000000006</v>
      </c>
      <c r="K9" s="419">
        <f>HistPE!K9</f>
        <v>155.66999999999999</v>
      </c>
      <c r="L9" s="420">
        <f>HistPE!L9</f>
        <v>438.5</v>
      </c>
      <c r="M9" s="409"/>
      <c r="N9" s="416"/>
      <c r="O9" s="409"/>
      <c r="P9" s="409"/>
      <c r="Q9" s="409"/>
      <c r="R9" s="409"/>
      <c r="S9" s="409"/>
      <c r="T9" s="409"/>
      <c r="U9" s="409"/>
      <c r="V9" s="409"/>
      <c r="W9" s="409"/>
      <c r="X9" s="409"/>
      <c r="Y9" s="409"/>
      <c r="Z9" s="409"/>
    </row>
    <row r="10" spans="1:26" ht="12.75" customHeight="1">
      <c r="A10" s="409"/>
      <c r="B10" s="409"/>
      <c r="C10" s="417"/>
      <c r="D10" s="422"/>
      <c r="E10" s="422"/>
      <c r="F10" s="423"/>
      <c r="G10" s="422"/>
      <c r="H10" s="423"/>
      <c r="I10" s="422"/>
      <c r="J10" s="423"/>
      <c r="K10" s="422"/>
      <c r="L10" s="423"/>
      <c r="M10" s="412"/>
      <c r="N10" s="416"/>
      <c r="O10" s="409"/>
      <c r="P10" s="409"/>
      <c r="Q10" s="409"/>
      <c r="R10" s="409"/>
      <c r="S10" s="409"/>
      <c r="T10" s="409"/>
      <c r="U10" s="409"/>
      <c r="V10" s="409"/>
      <c r="W10" s="409"/>
      <c r="X10" s="409"/>
      <c r="Y10" s="409"/>
      <c r="Z10" s="409"/>
    </row>
    <row r="11" spans="1:26" ht="12.75" customHeight="1">
      <c r="A11" s="409"/>
      <c r="B11" s="409"/>
      <c r="C11" s="410"/>
      <c r="D11" s="410"/>
      <c r="E11" s="725" t="str">
        <f>Ticker</f>
        <v>TSM</v>
      </c>
      <c r="F11" s="608"/>
      <c r="G11" s="725" t="str">
        <f>Comp1Ticker</f>
        <v>Texas Instruments</v>
      </c>
      <c r="H11" s="608"/>
      <c r="I11" s="725" t="str">
        <f>Comp2Ticker</f>
        <v>Intel Corporation</v>
      </c>
      <c r="J11" s="608"/>
      <c r="K11" s="725" t="str">
        <f>Comp3Ticker</f>
        <v>Broadcom</v>
      </c>
      <c r="L11" s="608"/>
      <c r="M11" s="413"/>
      <c r="N11" s="416"/>
      <c r="O11" s="409"/>
      <c r="P11" s="409"/>
      <c r="Q11" s="409"/>
      <c r="R11" s="409"/>
      <c r="S11" s="409"/>
      <c r="T11" s="409"/>
      <c r="U11" s="409"/>
      <c r="V11" s="409"/>
      <c r="W11" s="409"/>
      <c r="X11" s="409"/>
      <c r="Y11" s="409"/>
      <c r="Z11" s="409"/>
    </row>
    <row r="12" spans="1:26" ht="12.75" customHeight="1">
      <c r="A12" s="409"/>
      <c r="B12" s="409"/>
      <c r="C12" s="417"/>
      <c r="D12" s="414" t="s">
        <v>121</v>
      </c>
      <c r="E12" s="417"/>
      <c r="F12" s="424"/>
      <c r="G12" s="417"/>
      <c r="H12" s="424"/>
      <c r="I12" s="417"/>
      <c r="J12" s="424"/>
      <c r="K12" s="417"/>
      <c r="L12" s="424"/>
      <c r="M12" s="425"/>
      <c r="N12" s="416"/>
      <c r="O12" s="409"/>
      <c r="P12" s="409"/>
      <c r="Q12" s="409"/>
      <c r="R12" s="409"/>
      <c r="S12" s="409"/>
      <c r="T12" s="409"/>
      <c r="U12" s="409"/>
      <c r="V12" s="409"/>
      <c r="W12" s="409"/>
      <c r="X12" s="409"/>
      <c r="Y12" s="409"/>
      <c r="Z12" s="409"/>
    </row>
    <row r="13" spans="1:26" ht="12.75" customHeight="1">
      <c r="A13" s="409"/>
      <c r="B13" s="409"/>
      <c r="C13" s="417"/>
      <c r="D13" s="418"/>
      <c r="E13" s="731"/>
      <c r="F13" s="703"/>
      <c r="G13" s="731"/>
      <c r="H13" s="703"/>
      <c r="I13" s="731"/>
      <c r="J13" s="703"/>
      <c r="K13" s="731"/>
      <c r="L13" s="703"/>
      <c r="M13" s="409"/>
      <c r="N13" s="416"/>
      <c r="O13" s="409"/>
      <c r="P13" s="409"/>
      <c r="Q13" s="409"/>
      <c r="R13" s="409"/>
      <c r="S13" s="409"/>
      <c r="T13" s="409"/>
      <c r="U13" s="409"/>
      <c r="V13" s="409"/>
      <c r="W13" s="409"/>
      <c r="X13" s="409"/>
      <c r="Y13" s="409"/>
      <c r="Z13" s="409"/>
    </row>
    <row r="14" spans="1:26" ht="12.75" customHeight="1">
      <c r="A14" s="409"/>
      <c r="B14" s="409"/>
      <c r="C14" s="728" t="s">
        <v>286</v>
      </c>
      <c r="D14" s="418">
        <f t="shared" ref="D14:D18" si="1">D5</f>
        <v>2016</v>
      </c>
      <c r="E14" s="726">
        <v>114.08</v>
      </c>
      <c r="F14" s="706"/>
      <c r="G14" s="726">
        <v>88.34</v>
      </c>
      <c r="H14" s="706"/>
      <c r="I14" s="726">
        <v>117.55</v>
      </c>
      <c r="J14" s="706"/>
      <c r="K14" s="726">
        <v>150.34</v>
      </c>
      <c r="L14" s="706"/>
      <c r="M14" s="409"/>
      <c r="N14" s="409"/>
      <c r="O14" s="409"/>
      <c r="P14" s="409"/>
      <c r="Q14" s="409"/>
      <c r="R14" s="409"/>
      <c r="S14" s="409"/>
      <c r="T14" s="409"/>
      <c r="U14" s="409"/>
      <c r="V14" s="409"/>
      <c r="W14" s="409"/>
      <c r="X14" s="409"/>
      <c r="Y14" s="409"/>
      <c r="Z14" s="409"/>
    </row>
    <row r="15" spans="1:26" ht="12.75" customHeight="1">
      <c r="A15" s="409"/>
      <c r="B15" s="409"/>
      <c r="C15" s="708"/>
      <c r="D15" s="418">
        <f t="shared" si="1"/>
        <v>2017</v>
      </c>
      <c r="E15" s="726">
        <v>123.71</v>
      </c>
      <c r="F15" s="706"/>
      <c r="G15" s="726">
        <v>77.03</v>
      </c>
      <c r="H15" s="706"/>
      <c r="I15" s="726">
        <v>120.32</v>
      </c>
      <c r="J15" s="706"/>
      <c r="K15" s="726">
        <v>156.68</v>
      </c>
      <c r="L15" s="706"/>
      <c r="M15" s="409"/>
      <c r="N15" s="409"/>
      <c r="O15" s="409"/>
      <c r="P15" s="409"/>
      <c r="Q15" s="409"/>
      <c r="R15" s="409"/>
      <c r="S15" s="409"/>
      <c r="T15" s="409"/>
      <c r="U15" s="409"/>
      <c r="V15" s="409"/>
      <c r="W15" s="409"/>
      <c r="X15" s="409"/>
      <c r="Y15" s="409"/>
      <c r="Z15" s="409"/>
    </row>
    <row r="16" spans="1:26" ht="12.75" customHeight="1">
      <c r="A16" s="409"/>
      <c r="B16" s="409"/>
      <c r="C16" s="417"/>
      <c r="D16" s="418">
        <f t="shared" si="1"/>
        <v>2018</v>
      </c>
      <c r="E16" s="726">
        <v>140.32</v>
      </c>
      <c r="F16" s="706"/>
      <c r="G16" s="726">
        <v>84.29</v>
      </c>
      <c r="H16" s="706"/>
      <c r="I16" s="726">
        <v>132.97999999999999</v>
      </c>
      <c r="J16" s="706"/>
      <c r="K16" s="726">
        <v>167.06</v>
      </c>
      <c r="L16" s="706"/>
      <c r="M16" s="426"/>
      <c r="N16" s="426"/>
      <c r="O16" s="409"/>
      <c r="P16" s="409"/>
      <c r="Q16" s="409"/>
      <c r="R16" s="409"/>
      <c r="S16" s="409"/>
      <c r="T16" s="409"/>
      <c r="U16" s="409"/>
      <c r="V16" s="409"/>
      <c r="W16" s="409"/>
      <c r="X16" s="409"/>
      <c r="Y16" s="409"/>
      <c r="Z16" s="409"/>
    </row>
    <row r="17" spans="1:26" ht="12.75" customHeight="1">
      <c r="A17" s="409"/>
      <c r="B17" s="409"/>
      <c r="C17" s="417"/>
      <c r="D17" s="418">
        <f t="shared" si="1"/>
        <v>2019</v>
      </c>
      <c r="E17" s="726">
        <v>155.13</v>
      </c>
      <c r="F17" s="706"/>
      <c r="G17" s="726">
        <v>81.150000000000006</v>
      </c>
      <c r="H17" s="706"/>
      <c r="I17" s="726">
        <v>142.56</v>
      </c>
      <c r="J17" s="706"/>
      <c r="K17" s="726">
        <v>175.62</v>
      </c>
      <c r="L17" s="706"/>
      <c r="M17" s="427"/>
      <c r="N17" s="427"/>
      <c r="O17" s="409"/>
      <c r="P17" s="409"/>
      <c r="Q17" s="409"/>
      <c r="R17" s="409"/>
      <c r="S17" s="409"/>
      <c r="T17" s="409"/>
      <c r="U17" s="409"/>
      <c r="V17" s="409"/>
      <c r="W17" s="409"/>
      <c r="X17" s="409"/>
      <c r="Y17" s="409"/>
      <c r="Z17" s="409"/>
    </row>
    <row r="18" spans="1:26" ht="12.75" customHeight="1">
      <c r="A18" s="409"/>
      <c r="B18" s="409"/>
      <c r="C18" s="422"/>
      <c r="D18" s="428">
        <f t="shared" si="1"/>
        <v>2020</v>
      </c>
      <c r="E18" s="727">
        <v>164.73</v>
      </c>
      <c r="F18" s="705"/>
      <c r="G18" s="727">
        <v>73.900000000000006</v>
      </c>
      <c r="H18" s="705"/>
      <c r="I18" s="727">
        <v>152.88999999999999</v>
      </c>
      <c r="J18" s="705"/>
      <c r="K18" s="727">
        <v>183.85</v>
      </c>
      <c r="L18" s="705"/>
      <c r="M18" s="427"/>
      <c r="N18" s="427"/>
      <c r="O18" s="409"/>
      <c r="P18" s="409"/>
      <c r="Q18" s="409"/>
      <c r="R18" s="409"/>
      <c r="S18" s="409"/>
      <c r="T18" s="409"/>
      <c r="U18" s="409"/>
      <c r="V18" s="409"/>
      <c r="W18" s="409"/>
      <c r="X18" s="409"/>
      <c r="Y18" s="409"/>
      <c r="Z18" s="409"/>
    </row>
    <row r="19" spans="1:26" ht="12.75" customHeight="1">
      <c r="A19" s="409"/>
      <c r="B19" s="409"/>
      <c r="C19" s="417"/>
      <c r="D19" s="409"/>
      <c r="E19" s="409"/>
      <c r="F19" s="409"/>
      <c r="G19" s="409"/>
      <c r="H19" s="409"/>
      <c r="I19" s="409"/>
      <c r="J19" s="409"/>
      <c r="K19" s="409"/>
      <c r="L19" s="424"/>
      <c r="M19" s="427"/>
      <c r="N19" s="427"/>
      <c r="O19" s="409"/>
      <c r="P19" s="409"/>
      <c r="Q19" s="409"/>
      <c r="R19" s="409"/>
      <c r="S19" s="409"/>
      <c r="T19" s="409"/>
      <c r="U19" s="409"/>
      <c r="V19" s="409"/>
      <c r="W19" s="409"/>
      <c r="X19" s="409"/>
      <c r="Y19" s="409"/>
      <c r="Z19" s="409"/>
    </row>
    <row r="20" spans="1:26" ht="12.75" customHeight="1">
      <c r="A20" s="409"/>
      <c r="B20" s="409"/>
      <c r="C20" s="410"/>
      <c r="D20" s="410"/>
      <c r="E20" s="729" t="str">
        <f>Ticker</f>
        <v>TSM</v>
      </c>
      <c r="F20" s="687"/>
      <c r="G20" s="725" t="str">
        <f>Comp1Ticker</f>
        <v>Texas Instruments</v>
      </c>
      <c r="H20" s="608"/>
      <c r="I20" s="725" t="str">
        <f>Comp2Ticker</f>
        <v>Intel Corporation</v>
      </c>
      <c r="J20" s="608"/>
      <c r="K20" s="725" t="str">
        <f>Comp3Ticker</f>
        <v>Broadcom</v>
      </c>
      <c r="L20" s="608"/>
      <c r="M20" s="409"/>
      <c r="N20" s="409"/>
      <c r="O20" s="409"/>
      <c r="P20" s="409"/>
      <c r="Q20" s="409"/>
      <c r="R20" s="409"/>
      <c r="S20" s="409"/>
      <c r="T20" s="409"/>
      <c r="U20" s="409"/>
      <c r="V20" s="409"/>
      <c r="W20" s="409"/>
      <c r="X20" s="409"/>
      <c r="Y20" s="409"/>
      <c r="Z20" s="409"/>
    </row>
    <row r="21" spans="1:26" ht="12.75" customHeight="1">
      <c r="A21" s="409"/>
      <c r="B21" s="409"/>
      <c r="C21" s="417"/>
      <c r="D21" s="418" t="s">
        <v>121</v>
      </c>
      <c r="E21" s="430" t="s">
        <v>265</v>
      </c>
      <c r="F21" s="431" t="s">
        <v>266</v>
      </c>
      <c r="G21" s="426" t="s">
        <v>265</v>
      </c>
      <c r="H21" s="426" t="s">
        <v>266</v>
      </c>
      <c r="I21" s="418" t="s">
        <v>265</v>
      </c>
      <c r="J21" s="426" t="s">
        <v>266</v>
      </c>
      <c r="K21" s="418" t="s">
        <v>265</v>
      </c>
      <c r="L21" s="432" t="s">
        <v>266</v>
      </c>
      <c r="M21" s="409"/>
      <c r="N21" s="409"/>
      <c r="O21" s="409"/>
      <c r="P21" s="409"/>
      <c r="Q21" s="409"/>
      <c r="R21" s="409"/>
      <c r="S21" s="409"/>
      <c r="T21" s="409"/>
      <c r="U21" s="409"/>
      <c r="V21" s="409"/>
      <c r="W21" s="409"/>
      <c r="X21" s="409"/>
      <c r="Y21" s="409"/>
      <c r="Z21" s="409"/>
    </row>
    <row r="22" spans="1:26" ht="12.75" customHeight="1">
      <c r="A22" s="409"/>
      <c r="B22" s="409"/>
      <c r="C22" s="417"/>
      <c r="D22" s="418"/>
      <c r="E22" s="433"/>
      <c r="F22" s="434"/>
      <c r="G22" s="427"/>
      <c r="H22" s="434"/>
      <c r="I22" s="427"/>
      <c r="J22" s="434"/>
      <c r="K22" s="427"/>
      <c r="L22" s="434"/>
      <c r="M22" s="409"/>
      <c r="N22" s="409"/>
      <c r="O22" s="409"/>
      <c r="P22" s="409"/>
      <c r="Q22" s="409"/>
      <c r="R22" s="409"/>
      <c r="S22" s="409"/>
      <c r="T22" s="409"/>
      <c r="U22" s="409"/>
      <c r="V22" s="409"/>
      <c r="W22" s="409"/>
      <c r="X22" s="409"/>
      <c r="Y22" s="409"/>
      <c r="Z22" s="409"/>
    </row>
    <row r="23" spans="1:26" ht="15" customHeight="1">
      <c r="A23" s="409"/>
      <c r="B23" s="409"/>
      <c r="C23" s="417"/>
      <c r="D23" s="418">
        <f t="shared" ref="D23:D27" si="2">D5</f>
        <v>2016</v>
      </c>
      <c r="E23" s="433">
        <f t="shared" ref="E23:E27" si="3">E5/E14</f>
        <v>0.24842215988779803</v>
      </c>
      <c r="F23" s="434">
        <f t="shared" ref="F23:F27" si="4">F5/E14</f>
        <v>0.26858344144460028</v>
      </c>
      <c r="G23" s="427">
        <f t="shared" ref="G23:G27" si="5">G5/G14</f>
        <v>0.79148743491057283</v>
      </c>
      <c r="H23" s="434">
        <f t="shared" ref="H23:H27" si="6">H5/G14</f>
        <v>0.8506905139234775</v>
      </c>
      <c r="I23" s="427">
        <f t="shared" ref="I23:I27" si="7">I5/I14</f>
        <v>0.28549553381539772</v>
      </c>
      <c r="J23" s="434">
        <f t="shared" ref="J23:J27" si="8">J5/I14</f>
        <v>0.31773713313483626</v>
      </c>
      <c r="K23" s="427">
        <f t="shared" ref="K23:K27" si="9">K5/K14</f>
        <v>1.0683783424238393</v>
      </c>
      <c r="L23" s="434">
        <f t="shared" ref="L23:L27" si="10">L5/K14</f>
        <v>1.2238259944126646</v>
      </c>
      <c r="M23" s="409"/>
      <c r="N23" s="409"/>
      <c r="O23" s="409"/>
      <c r="P23" s="409"/>
      <c r="Q23" s="409"/>
      <c r="R23" s="409"/>
      <c r="S23" s="409"/>
      <c r="T23" s="409"/>
      <c r="U23" s="409"/>
      <c r="V23" s="409"/>
      <c r="W23" s="409"/>
      <c r="X23" s="409"/>
      <c r="Y23" s="409"/>
      <c r="Z23" s="409"/>
    </row>
    <row r="24" spans="1:26" ht="12.75" customHeight="1">
      <c r="A24" s="409"/>
      <c r="B24" s="409"/>
      <c r="C24" s="414" t="s">
        <v>287</v>
      </c>
      <c r="D24" s="418">
        <f t="shared" si="2"/>
        <v>2017</v>
      </c>
      <c r="E24" s="435">
        <f t="shared" si="3"/>
        <v>0.23425753778999275</v>
      </c>
      <c r="F24" s="436">
        <f t="shared" si="4"/>
        <v>0.34774876727831222</v>
      </c>
      <c r="G24" s="427">
        <f t="shared" si="5"/>
        <v>0.94080228482409445</v>
      </c>
      <c r="H24" s="434">
        <f t="shared" si="6"/>
        <v>1.3673893288329222</v>
      </c>
      <c r="I24" s="427">
        <f t="shared" si="7"/>
        <v>0.27618018617021278</v>
      </c>
      <c r="J24" s="434">
        <f t="shared" si="8"/>
        <v>0.3934507978723405</v>
      </c>
      <c r="K24" s="427">
        <f t="shared" si="9"/>
        <v>1.1061399029869798</v>
      </c>
      <c r="L24" s="434">
        <f t="shared" si="10"/>
        <v>1.8233341843247384</v>
      </c>
      <c r="M24" s="409"/>
      <c r="N24" s="409"/>
      <c r="O24" s="409"/>
      <c r="P24" s="409"/>
      <c r="Q24" s="409"/>
      <c r="R24" s="409"/>
      <c r="S24" s="409"/>
      <c r="T24" s="409"/>
      <c r="U24" s="409"/>
      <c r="V24" s="409"/>
      <c r="W24" s="409"/>
      <c r="X24" s="409"/>
      <c r="Y24" s="409"/>
      <c r="Z24" s="409"/>
    </row>
    <row r="25" spans="1:26" ht="12.75" customHeight="1">
      <c r="A25" s="409"/>
      <c r="B25" s="409"/>
      <c r="C25" s="414"/>
      <c r="D25" s="418">
        <f t="shared" si="2"/>
        <v>2018</v>
      </c>
      <c r="E25" s="433">
        <f t="shared" si="3"/>
        <v>0.25099771949828964</v>
      </c>
      <c r="F25" s="434">
        <f t="shared" si="4"/>
        <v>0.33188426453819841</v>
      </c>
      <c r="G25" s="427">
        <f t="shared" si="5"/>
        <v>1.0404555700557598</v>
      </c>
      <c r="H25" s="434">
        <f t="shared" si="6"/>
        <v>1.4325542769011743</v>
      </c>
      <c r="I25" s="427">
        <f t="shared" si="7"/>
        <v>0.31613776507745528</v>
      </c>
      <c r="J25" s="434">
        <f t="shared" si="8"/>
        <v>0.43314784178071897</v>
      </c>
      <c r="K25" s="427">
        <f t="shared" si="9"/>
        <v>1.1819705495031725</v>
      </c>
      <c r="L25" s="434">
        <f t="shared" si="10"/>
        <v>1.6416856219322398</v>
      </c>
      <c r="M25" s="409"/>
      <c r="N25" s="409"/>
      <c r="O25" s="409"/>
      <c r="P25" s="409"/>
      <c r="Q25" s="409"/>
      <c r="R25" s="409"/>
      <c r="S25" s="409"/>
      <c r="T25" s="409"/>
      <c r="U25" s="409"/>
      <c r="V25" s="409"/>
      <c r="W25" s="409"/>
      <c r="X25" s="409"/>
      <c r="Y25" s="409"/>
      <c r="Z25" s="409"/>
    </row>
    <row r="26" spans="1:26" ht="12.75" customHeight="1">
      <c r="A26" s="409"/>
      <c r="B26" s="409"/>
      <c r="C26" s="414"/>
      <c r="D26" s="418">
        <f t="shared" si="2"/>
        <v>2019</v>
      </c>
      <c r="E26" s="435">
        <f t="shared" si="3"/>
        <v>0.22052472120157288</v>
      </c>
      <c r="F26" s="436">
        <f t="shared" si="4"/>
        <v>0.3849029845935667</v>
      </c>
      <c r="G26" s="427">
        <f t="shared" si="5"/>
        <v>1.0927911275415896</v>
      </c>
      <c r="H26" s="434">
        <f t="shared" si="6"/>
        <v>1.6290819470117064</v>
      </c>
      <c r="I26" s="427">
        <f t="shared" si="7"/>
        <v>0.30064534231200896</v>
      </c>
      <c r="J26" s="434">
        <f t="shared" si="8"/>
        <v>0.4242424242424242</v>
      </c>
      <c r="K26" s="427">
        <f t="shared" si="9"/>
        <v>1.311524883270698</v>
      </c>
      <c r="L26" s="434">
        <f t="shared" si="10"/>
        <v>1.8858899897505979</v>
      </c>
      <c r="M26" s="409"/>
      <c r="N26" s="409"/>
      <c r="O26" s="409"/>
      <c r="P26" s="409"/>
      <c r="Q26" s="409"/>
      <c r="R26" s="409"/>
      <c r="S26" s="409"/>
      <c r="T26" s="409"/>
      <c r="U26" s="409"/>
      <c r="V26" s="409"/>
      <c r="W26" s="409"/>
      <c r="X26" s="409"/>
      <c r="Y26" s="409"/>
      <c r="Z26" s="409"/>
    </row>
    <row r="27" spans="1:26" ht="12.75" customHeight="1">
      <c r="A27" s="409"/>
      <c r="B27" s="409"/>
      <c r="C27" s="417"/>
      <c r="D27" s="428">
        <f t="shared" si="2"/>
        <v>2020</v>
      </c>
      <c r="E27" s="437">
        <f t="shared" si="3"/>
        <v>0.25921204395070724</v>
      </c>
      <c r="F27" s="438">
        <f t="shared" si="4"/>
        <v>0.66593213136647855</v>
      </c>
      <c r="G27" s="437">
        <f t="shared" si="5"/>
        <v>1.2596752368064952</v>
      </c>
      <c r="H27" s="438">
        <f t="shared" si="6"/>
        <v>2.2630581867388364</v>
      </c>
      <c r="I27" s="439">
        <f t="shared" si="7"/>
        <v>0.2852377526326117</v>
      </c>
      <c r="J27" s="438">
        <f t="shared" si="8"/>
        <v>0.45320164824383552</v>
      </c>
      <c r="K27" s="439">
        <f t="shared" si="9"/>
        <v>0.84672287190644546</v>
      </c>
      <c r="L27" s="438">
        <f t="shared" si="10"/>
        <v>2.3850965460973619</v>
      </c>
      <c r="M27" s="409"/>
      <c r="N27" s="409"/>
      <c r="O27" s="409"/>
      <c r="P27" s="409"/>
      <c r="Q27" s="409"/>
      <c r="R27" s="409"/>
      <c r="S27" s="409"/>
      <c r="T27" s="409"/>
      <c r="U27" s="409"/>
      <c r="V27" s="409"/>
      <c r="W27" s="409"/>
      <c r="X27" s="409"/>
      <c r="Y27" s="409"/>
      <c r="Z27" s="409"/>
    </row>
    <row r="28" spans="1:26" ht="12.75" customHeight="1">
      <c r="A28" s="409"/>
      <c r="B28" s="409"/>
      <c r="C28" s="422"/>
      <c r="D28" s="440" t="s">
        <v>47</v>
      </c>
      <c r="E28" s="441">
        <f t="shared" ref="E28:L28" si="11">AVERAGE(E22:E27)</f>
        <v>0.24268283646567212</v>
      </c>
      <c r="F28" s="442">
        <f t="shared" si="11"/>
        <v>0.39981031784423127</v>
      </c>
      <c r="G28" s="441">
        <f t="shared" si="11"/>
        <v>1.0250423308277024</v>
      </c>
      <c r="H28" s="442">
        <f t="shared" si="11"/>
        <v>1.5085548506816235</v>
      </c>
      <c r="I28" s="441">
        <f t="shared" si="11"/>
        <v>0.2927393160015373</v>
      </c>
      <c r="J28" s="442">
        <f t="shared" si="11"/>
        <v>0.40435596905483112</v>
      </c>
      <c r="K28" s="441">
        <f t="shared" si="11"/>
        <v>1.102947310018227</v>
      </c>
      <c r="L28" s="442">
        <f t="shared" si="11"/>
        <v>1.7919664673035207</v>
      </c>
      <c r="M28" s="409"/>
      <c r="N28" s="409"/>
      <c r="O28" s="409"/>
      <c r="P28" s="409"/>
      <c r="Q28" s="409"/>
      <c r="R28" s="409"/>
      <c r="S28" s="409"/>
      <c r="T28" s="409"/>
      <c r="U28" s="409"/>
      <c r="V28" s="409"/>
      <c r="W28" s="409"/>
      <c r="X28" s="409"/>
      <c r="Y28" s="409"/>
      <c r="Z28" s="409"/>
    </row>
    <row r="29" spans="1:26" ht="12.75" customHeight="1">
      <c r="A29" s="409"/>
      <c r="B29" s="409"/>
      <c r="C29" s="417"/>
      <c r="D29" s="409"/>
      <c r="E29" s="409"/>
      <c r="F29" s="409"/>
      <c r="G29" s="409"/>
      <c r="H29" s="409"/>
      <c r="I29" s="409"/>
      <c r="J29" s="409"/>
      <c r="K29" s="409"/>
      <c r="L29" s="424"/>
      <c r="M29" s="427"/>
      <c r="N29" s="427"/>
      <c r="O29" s="409"/>
      <c r="P29" s="409"/>
      <c r="Q29" s="409"/>
      <c r="R29" s="409"/>
      <c r="S29" s="409"/>
      <c r="T29" s="409"/>
      <c r="U29" s="409"/>
      <c r="V29" s="409"/>
      <c r="W29" s="409"/>
      <c r="X29" s="409"/>
      <c r="Y29" s="409"/>
      <c r="Z29" s="409"/>
    </row>
    <row r="30" spans="1:26" ht="12.75" customHeight="1">
      <c r="A30" s="409"/>
      <c r="B30" s="409"/>
      <c r="C30" s="417"/>
      <c r="D30" s="725" t="s">
        <v>270</v>
      </c>
      <c r="E30" s="656"/>
      <c r="F30" s="608"/>
      <c r="G30" s="725" t="str">
        <f>Ticker&amp;" Relative P/S"</f>
        <v>TSM Relative P/S</v>
      </c>
      <c r="H30" s="608"/>
      <c r="I30" s="725" t="str">
        <f>Ticker&amp;" Average P/S"</f>
        <v>TSM Average P/S</v>
      </c>
      <c r="J30" s="608"/>
      <c r="K30" s="725" t="s">
        <v>288</v>
      </c>
      <c r="L30" s="608"/>
      <c r="M30" s="443"/>
      <c r="N30" s="443"/>
      <c r="O30" s="409"/>
      <c r="P30" s="409"/>
      <c r="Q30" s="409"/>
      <c r="R30" s="409"/>
      <c r="S30" s="409"/>
      <c r="T30" s="409"/>
      <c r="U30" s="409"/>
      <c r="V30" s="409"/>
      <c r="W30" s="409"/>
      <c r="X30" s="409"/>
      <c r="Y30" s="409"/>
      <c r="Z30" s="409"/>
    </row>
    <row r="31" spans="1:26" ht="12.75" customHeight="1">
      <c r="A31" s="409"/>
      <c r="B31" s="409"/>
      <c r="C31" s="417"/>
      <c r="D31" s="429" t="s">
        <v>121</v>
      </c>
      <c r="E31" s="429" t="s">
        <v>272</v>
      </c>
      <c r="F31" s="415" t="s">
        <v>266</v>
      </c>
      <c r="G31" s="413" t="s">
        <v>272</v>
      </c>
      <c r="H31" s="415" t="s">
        <v>266</v>
      </c>
      <c r="I31" s="409"/>
      <c r="J31" s="444"/>
      <c r="K31" s="409"/>
      <c r="L31" s="424"/>
      <c r="M31" s="409"/>
      <c r="N31" s="409"/>
      <c r="O31" s="409"/>
      <c r="P31" s="409"/>
      <c r="Q31" s="409"/>
      <c r="R31" s="409"/>
      <c r="S31" s="409"/>
      <c r="T31" s="409"/>
      <c r="U31" s="409"/>
      <c r="V31" s="409"/>
      <c r="W31" s="409"/>
      <c r="X31" s="409"/>
      <c r="Y31" s="409"/>
      <c r="Z31" s="409"/>
    </row>
    <row r="32" spans="1:26" ht="12.75" customHeight="1">
      <c r="A32" s="409"/>
      <c r="B32" s="409"/>
      <c r="C32" s="417"/>
      <c r="D32" s="418"/>
      <c r="E32" s="445"/>
      <c r="F32" s="446"/>
      <c r="G32" s="409"/>
      <c r="H32" s="424"/>
      <c r="I32" s="737"/>
      <c r="J32" s="703"/>
      <c r="K32" s="409"/>
      <c r="L32" s="424"/>
      <c r="M32" s="409"/>
      <c r="N32" s="409"/>
      <c r="O32" s="409"/>
      <c r="P32" s="409"/>
      <c r="Q32" s="409"/>
      <c r="R32" s="409"/>
      <c r="S32" s="409"/>
      <c r="T32" s="409"/>
      <c r="U32" s="409"/>
      <c r="V32" s="409"/>
      <c r="W32" s="409"/>
      <c r="X32" s="409"/>
      <c r="Y32" s="409"/>
      <c r="Z32" s="409"/>
    </row>
    <row r="33" spans="1:26" ht="12.75" customHeight="1">
      <c r="A33" s="409"/>
      <c r="B33" s="409"/>
      <c r="C33" s="417"/>
      <c r="D33" s="418">
        <f t="shared" ref="D33:D37" si="12">D5</f>
        <v>2016</v>
      </c>
      <c r="E33" s="445">
        <f t="shared" ref="E33:F33" si="13">AVERAGE(G23,I23,K23)</f>
        <v>0.71512043704993677</v>
      </c>
      <c r="F33" s="446">
        <f t="shared" si="13"/>
        <v>0.79741788049032614</v>
      </c>
      <c r="G33" s="447">
        <f t="shared" ref="G33:H33" si="14">E23/E33</f>
        <v>0.34738506553190668</v>
      </c>
      <c r="H33" s="436">
        <f t="shared" si="14"/>
        <v>0.33681642714037258</v>
      </c>
      <c r="I33" s="737">
        <f t="shared" ref="I33:I37" si="15">AVERAGE(E23:F23)</f>
        <v>0.25850280066619913</v>
      </c>
      <c r="J33" s="703"/>
      <c r="K33" s="737">
        <f t="shared" ref="K33:K37" si="16">AVERAGE(E33:F33)</f>
        <v>0.75626915877013146</v>
      </c>
      <c r="L33" s="703"/>
      <c r="M33" s="409"/>
      <c r="N33" s="409"/>
      <c r="O33" s="409"/>
      <c r="P33" s="409"/>
      <c r="Q33" s="409"/>
      <c r="R33" s="409"/>
      <c r="S33" s="409"/>
      <c r="T33" s="409"/>
      <c r="U33" s="409"/>
      <c r="V33" s="409"/>
      <c r="W33" s="409"/>
      <c r="X33" s="409"/>
      <c r="Y33" s="409"/>
      <c r="Z33" s="409"/>
    </row>
    <row r="34" spans="1:26" ht="12.75" customHeight="1">
      <c r="A34" s="409"/>
      <c r="B34" s="409"/>
      <c r="C34" s="417"/>
      <c r="D34" s="418">
        <f t="shared" si="12"/>
        <v>2017</v>
      </c>
      <c r="E34" s="445">
        <f t="shared" ref="E34:F34" si="17">AVERAGE(G24,I24,K24)</f>
        <v>0.7743741246604291</v>
      </c>
      <c r="F34" s="446">
        <f t="shared" si="17"/>
        <v>1.1947247703433337</v>
      </c>
      <c r="G34" s="447">
        <f t="shared" ref="G34:H34" si="18">E24/E34</f>
        <v>0.30251209374114491</v>
      </c>
      <c r="H34" s="436">
        <f t="shared" si="18"/>
        <v>0.29107019115237565</v>
      </c>
      <c r="I34" s="737">
        <f t="shared" si="15"/>
        <v>0.29100315253415249</v>
      </c>
      <c r="J34" s="703"/>
      <c r="K34" s="737">
        <f t="shared" si="16"/>
        <v>0.98454944750188145</v>
      </c>
      <c r="L34" s="703"/>
      <c r="M34" s="409"/>
      <c r="N34" s="409"/>
      <c r="O34" s="409"/>
      <c r="P34" s="409"/>
      <c r="Q34" s="409"/>
      <c r="R34" s="409"/>
      <c r="S34" s="409"/>
      <c r="T34" s="409"/>
      <c r="U34" s="409"/>
      <c r="V34" s="409"/>
      <c r="W34" s="409"/>
      <c r="X34" s="409"/>
      <c r="Y34" s="409"/>
      <c r="Z34" s="409"/>
    </row>
    <row r="35" spans="1:26" ht="12.75" customHeight="1">
      <c r="A35" s="409"/>
      <c r="B35" s="409"/>
      <c r="C35" s="417"/>
      <c r="D35" s="418">
        <f t="shared" si="12"/>
        <v>2018</v>
      </c>
      <c r="E35" s="445">
        <f t="shared" ref="E35:F35" si="19">AVERAGE(G25,I25,K25)</f>
        <v>0.8461879615454625</v>
      </c>
      <c r="F35" s="446">
        <f t="shared" si="19"/>
        <v>1.1691292468713776</v>
      </c>
      <c r="G35" s="447">
        <f t="shared" ref="G35:H35" si="20">E25/E35</f>
        <v>0.29662170924751979</v>
      </c>
      <c r="H35" s="436">
        <f t="shared" si="20"/>
        <v>0.28387303236689182</v>
      </c>
      <c r="I35" s="737">
        <f t="shared" si="15"/>
        <v>0.29144099201824403</v>
      </c>
      <c r="J35" s="703"/>
      <c r="K35" s="737">
        <f t="shared" si="16"/>
        <v>1.0076586042084201</v>
      </c>
      <c r="L35" s="703"/>
      <c r="M35" s="409"/>
      <c r="N35" s="409"/>
      <c r="O35" s="409"/>
      <c r="P35" s="409"/>
      <c r="Q35" s="409"/>
      <c r="R35" s="409"/>
      <c r="S35" s="409"/>
      <c r="T35" s="409"/>
      <c r="U35" s="409"/>
      <c r="V35" s="409"/>
      <c r="W35" s="409"/>
      <c r="X35" s="409"/>
      <c r="Y35" s="409"/>
      <c r="Z35" s="409"/>
    </row>
    <row r="36" spans="1:26" ht="12.75" customHeight="1">
      <c r="A36" s="409"/>
      <c r="B36" s="409"/>
      <c r="C36" s="417"/>
      <c r="D36" s="418">
        <f t="shared" si="12"/>
        <v>2019</v>
      </c>
      <c r="E36" s="445">
        <f t="shared" ref="E36:F36" si="21">AVERAGE(G26,I26,K26)</f>
        <v>0.90165378437476562</v>
      </c>
      <c r="F36" s="446">
        <f t="shared" si="21"/>
        <v>1.3130714536682426</v>
      </c>
      <c r="G36" s="447">
        <f t="shared" ref="G36:H36" si="22">E26/E36</f>
        <v>0.24457804649984527</v>
      </c>
      <c r="H36" s="436">
        <f t="shared" si="22"/>
        <v>0.29313178922463679</v>
      </c>
      <c r="I36" s="737">
        <f t="shared" si="15"/>
        <v>0.3027138528975698</v>
      </c>
      <c r="J36" s="703"/>
      <c r="K36" s="737">
        <f t="shared" si="16"/>
        <v>1.107362619021504</v>
      </c>
      <c r="L36" s="703"/>
      <c r="M36" s="409"/>
      <c r="N36" s="409"/>
      <c r="O36" s="409"/>
      <c r="P36" s="409"/>
      <c r="Q36" s="409"/>
      <c r="R36" s="409"/>
      <c r="S36" s="409"/>
      <c r="T36" s="409"/>
      <c r="U36" s="409"/>
      <c r="V36" s="409"/>
      <c r="W36" s="409"/>
      <c r="X36" s="409"/>
      <c r="Y36" s="409"/>
      <c r="Z36" s="409"/>
    </row>
    <row r="37" spans="1:26" ht="12.75" customHeight="1">
      <c r="A37" s="409"/>
      <c r="B37" s="409"/>
      <c r="C37" s="417"/>
      <c r="D37" s="418">
        <f t="shared" si="12"/>
        <v>2020</v>
      </c>
      <c r="E37" s="448">
        <f t="shared" ref="E37:F37" si="23">AVERAGE(G27,I27,K27)</f>
        <v>0.79721195378185072</v>
      </c>
      <c r="F37" s="446">
        <f t="shared" si="23"/>
        <v>1.7004521270266781</v>
      </c>
      <c r="G37" s="447">
        <f t="shared" ref="G37:H37" si="24">E27/E37</f>
        <v>0.32514821525322746</v>
      </c>
      <c r="H37" s="436">
        <f t="shared" si="24"/>
        <v>0.39162062887997484</v>
      </c>
      <c r="I37" s="737">
        <f t="shared" si="15"/>
        <v>0.46257208765859292</v>
      </c>
      <c r="J37" s="703"/>
      <c r="K37" s="737">
        <f t="shared" si="16"/>
        <v>1.2488320404042645</v>
      </c>
      <c r="L37" s="703"/>
      <c r="M37" s="409"/>
      <c r="N37" s="409"/>
      <c r="O37" s="409"/>
      <c r="P37" s="409"/>
      <c r="Q37" s="409"/>
      <c r="R37" s="409"/>
      <c r="S37" s="409"/>
      <c r="T37" s="409"/>
      <c r="U37" s="409"/>
      <c r="V37" s="409"/>
      <c r="W37" s="409"/>
      <c r="X37" s="409"/>
      <c r="Y37" s="409"/>
      <c r="Z37" s="409"/>
    </row>
    <row r="38" spans="1:26" ht="12.75" customHeight="1">
      <c r="A38" s="409"/>
      <c r="B38" s="409"/>
      <c r="C38" s="417"/>
      <c r="D38" s="411" t="s">
        <v>47</v>
      </c>
      <c r="E38" s="449">
        <f t="shared" ref="E38:H38" si="25">AVERAGE(E32:E37)</f>
        <v>0.8069096522824889</v>
      </c>
      <c r="F38" s="449">
        <f t="shared" si="25"/>
        <v>1.2349590956799916</v>
      </c>
      <c r="G38" s="450">
        <f t="shared" si="25"/>
        <v>0.30324902605472881</v>
      </c>
      <c r="H38" s="451">
        <f t="shared" si="25"/>
        <v>0.31930241375285034</v>
      </c>
      <c r="I38" s="733">
        <f>AVERAGE(I33:J37)</f>
        <v>0.32124657715495164</v>
      </c>
      <c r="J38" s="608"/>
      <c r="K38" s="733">
        <f>AVERAGE(K33:L37)</f>
        <v>1.0209343739812404</v>
      </c>
      <c r="L38" s="608"/>
      <c r="M38" s="409"/>
      <c r="N38" s="409"/>
      <c r="O38" s="409"/>
      <c r="P38" s="409"/>
      <c r="Q38" s="409"/>
      <c r="R38" s="409"/>
      <c r="S38" s="409"/>
      <c r="T38" s="409"/>
      <c r="U38" s="409"/>
      <c r="V38" s="409"/>
      <c r="W38" s="409"/>
      <c r="X38" s="409"/>
      <c r="Y38" s="409"/>
      <c r="Z38" s="409"/>
    </row>
    <row r="39" spans="1:26" ht="12.75" customHeight="1">
      <c r="A39" s="409"/>
      <c r="B39" s="409"/>
      <c r="C39" s="417"/>
      <c r="D39" s="409"/>
      <c r="E39" s="409"/>
      <c r="F39" s="409"/>
      <c r="G39" s="409"/>
      <c r="H39" s="409" t="s">
        <v>273</v>
      </c>
      <c r="I39" s="409">
        <f>_xlfn.STDEV.S(I33:J37)</f>
        <v>8.0709635288670728E-2</v>
      </c>
      <c r="J39" s="409"/>
      <c r="K39" s="409">
        <f>_xlfn.STDEV.S(K33:L37)</f>
        <v>0.18093850680722406</v>
      </c>
      <c r="L39" s="424"/>
      <c r="M39" s="409"/>
      <c r="N39" s="409"/>
      <c r="O39" s="409"/>
      <c r="P39" s="409"/>
      <c r="Q39" s="409"/>
      <c r="R39" s="409"/>
      <c r="S39" s="409"/>
      <c r="T39" s="409"/>
      <c r="U39" s="409"/>
      <c r="V39" s="409"/>
      <c r="W39" s="409"/>
      <c r="X39" s="409"/>
      <c r="Y39" s="409"/>
      <c r="Z39" s="409"/>
    </row>
    <row r="40" spans="1:26" ht="12.75" customHeight="1">
      <c r="A40" s="409"/>
      <c r="B40" s="409"/>
      <c r="C40" s="417"/>
      <c r="D40" s="409"/>
      <c r="E40" s="409"/>
      <c r="F40" s="409"/>
      <c r="G40" s="409"/>
      <c r="H40" s="409"/>
      <c r="I40" s="409"/>
      <c r="J40" s="409"/>
      <c r="K40" s="409"/>
      <c r="L40" s="424"/>
      <c r="M40" s="409"/>
      <c r="N40" s="409"/>
      <c r="O40" s="409"/>
      <c r="P40" s="409"/>
      <c r="Q40" s="409"/>
      <c r="R40" s="409"/>
      <c r="S40" s="409"/>
      <c r="T40" s="409"/>
      <c r="U40" s="409"/>
      <c r="V40" s="409"/>
      <c r="W40" s="409"/>
      <c r="X40" s="409"/>
      <c r="Y40" s="409"/>
      <c r="Z40" s="409"/>
    </row>
    <row r="41" spans="1:26" ht="12.75" customHeight="1">
      <c r="A41" s="409"/>
      <c r="B41" s="409"/>
      <c r="C41" s="417"/>
      <c r="D41" s="409"/>
      <c r="E41" s="409"/>
      <c r="F41" s="409"/>
      <c r="G41" s="452" t="s">
        <v>275</v>
      </c>
      <c r="H41" s="453"/>
      <c r="I41" s="409"/>
      <c r="J41" s="409"/>
      <c r="K41" s="409"/>
      <c r="L41" s="424"/>
      <c r="M41" s="409"/>
      <c r="N41" s="409"/>
      <c r="O41" s="409"/>
      <c r="P41" s="409"/>
      <c r="Q41" s="409"/>
      <c r="R41" s="409"/>
      <c r="S41" s="409"/>
      <c r="T41" s="409"/>
      <c r="U41" s="409"/>
      <c r="V41" s="409"/>
      <c r="W41" s="409"/>
      <c r="X41" s="409"/>
      <c r="Y41" s="409"/>
      <c r="Z41" s="409"/>
    </row>
    <row r="42" spans="1:26" ht="12.75" customHeight="1">
      <c r="A42" s="409"/>
      <c r="B42" s="409"/>
      <c r="C42" s="417"/>
      <c r="D42" s="409"/>
      <c r="E42" s="409"/>
      <c r="F42" s="409"/>
      <c r="G42" s="454" t="s">
        <v>276</v>
      </c>
      <c r="H42" s="455">
        <f>AVERAGE(E38:F38)</f>
        <v>1.0209343739812402</v>
      </c>
      <c r="I42" s="409"/>
      <c r="J42" s="409"/>
      <c r="K42" s="409"/>
      <c r="L42" s="424"/>
      <c r="M42" s="409"/>
      <c r="N42" s="409"/>
      <c r="O42" s="409"/>
      <c r="P42" s="409"/>
      <c r="Q42" s="409"/>
      <c r="R42" s="409"/>
      <c r="S42" s="409"/>
      <c r="T42" s="409"/>
      <c r="U42" s="409"/>
      <c r="V42" s="409"/>
      <c r="W42" s="409"/>
      <c r="X42" s="409"/>
      <c r="Y42" s="409"/>
      <c r="Z42" s="409"/>
    </row>
    <row r="43" spans="1:26" ht="12.75" customHeight="1">
      <c r="A43" s="409"/>
      <c r="B43" s="409"/>
      <c r="C43" s="417"/>
      <c r="D43" s="409"/>
      <c r="E43" s="409"/>
      <c r="F43" s="409"/>
      <c r="G43" s="454" t="s">
        <v>277</v>
      </c>
      <c r="H43" s="456">
        <f>AVERAGE(E28:F28)</f>
        <v>0.3212465771549517</v>
      </c>
      <c r="I43" s="409"/>
      <c r="J43" s="412"/>
      <c r="K43" s="409"/>
      <c r="L43" s="424"/>
      <c r="M43" s="409"/>
      <c r="N43" s="409"/>
      <c r="O43" s="409"/>
      <c r="P43" s="409"/>
      <c r="Q43" s="409"/>
      <c r="R43" s="409"/>
      <c r="S43" s="409"/>
      <c r="T43" s="409"/>
      <c r="U43" s="409"/>
      <c r="V43" s="409"/>
      <c r="W43" s="409"/>
      <c r="X43" s="409"/>
      <c r="Y43" s="409"/>
      <c r="Z43" s="409"/>
    </row>
    <row r="44" spans="1:26" ht="12.75" customHeight="1">
      <c r="A44" s="409"/>
      <c r="B44" s="409"/>
      <c r="C44" s="417"/>
      <c r="D44" s="409"/>
      <c r="E44" s="409"/>
      <c r="F44" s="409"/>
      <c r="G44" s="454"/>
      <c r="H44" s="456"/>
      <c r="I44" s="409"/>
      <c r="J44" s="409"/>
      <c r="K44" s="409"/>
      <c r="L44" s="424"/>
      <c r="M44" s="409"/>
      <c r="N44" s="409"/>
      <c r="O44" s="409"/>
      <c r="P44" s="409"/>
      <c r="Q44" s="409"/>
      <c r="R44" s="409"/>
      <c r="S44" s="409"/>
      <c r="T44" s="409"/>
      <c r="U44" s="409"/>
      <c r="V44" s="409"/>
      <c r="W44" s="409"/>
      <c r="X44" s="409"/>
      <c r="Y44" s="409"/>
      <c r="Z44" s="409"/>
    </row>
    <row r="45" spans="1:26" ht="12.75" customHeight="1">
      <c r="A45" s="409"/>
      <c r="B45" s="409"/>
      <c r="C45" s="417"/>
      <c r="D45" s="409"/>
      <c r="E45" s="409"/>
      <c r="F45" s="409"/>
      <c r="G45" s="454" t="s">
        <v>289</v>
      </c>
      <c r="H45" s="456">
        <f>AVERAGE(H43,H42)</f>
        <v>0.67109047556809598</v>
      </c>
      <c r="I45" s="409"/>
      <c r="J45" s="409"/>
      <c r="K45" s="409"/>
      <c r="L45" s="424"/>
      <c r="M45" s="409"/>
      <c r="N45" s="409"/>
      <c r="O45" s="409"/>
      <c r="P45" s="409"/>
      <c r="Q45" s="409"/>
      <c r="R45" s="409"/>
      <c r="S45" s="409"/>
      <c r="T45" s="409"/>
      <c r="U45" s="409"/>
      <c r="V45" s="409"/>
      <c r="W45" s="409"/>
      <c r="X45" s="409"/>
      <c r="Y45" s="409"/>
      <c r="Z45" s="409"/>
    </row>
    <row r="46" spans="1:26" ht="12.75" customHeight="1">
      <c r="A46" s="409"/>
      <c r="B46" s="409"/>
      <c r="C46" s="417"/>
      <c r="D46" s="409"/>
      <c r="E46" s="409"/>
      <c r="F46" s="409"/>
      <c r="G46" s="454"/>
      <c r="H46" s="457"/>
      <c r="I46" s="409"/>
      <c r="J46" s="409"/>
      <c r="K46" s="409"/>
      <c r="L46" s="424"/>
      <c r="M46" s="409"/>
      <c r="N46" s="409"/>
      <c r="O46" s="409"/>
      <c r="P46" s="409"/>
      <c r="Q46" s="409"/>
      <c r="R46" s="409"/>
      <c r="S46" s="409"/>
      <c r="T46" s="409"/>
      <c r="U46" s="409"/>
      <c r="V46" s="409"/>
      <c r="W46" s="409"/>
      <c r="X46" s="409"/>
      <c r="Y46" s="409"/>
      <c r="Z46" s="409"/>
    </row>
    <row r="47" spans="1:26" ht="12.75" customHeight="1">
      <c r="A47" s="409"/>
      <c r="B47" s="409"/>
      <c r="C47" s="417"/>
      <c r="D47" s="409"/>
      <c r="E47" s="409"/>
      <c r="F47" s="409"/>
      <c r="G47" s="458" t="s">
        <v>290</v>
      </c>
      <c r="H47" s="459">
        <f>Summary!F18/Summary!K7</f>
        <v>2.0473059984616953</v>
      </c>
      <c r="I47" s="409"/>
      <c r="J47" s="409"/>
      <c r="K47" s="409"/>
      <c r="L47" s="424"/>
      <c r="M47" s="409"/>
      <c r="N47" s="409"/>
      <c r="O47" s="409"/>
      <c r="P47" s="409"/>
      <c r="Q47" s="409"/>
      <c r="R47" s="409"/>
      <c r="S47" s="409"/>
      <c r="T47" s="409"/>
      <c r="U47" s="409"/>
      <c r="V47" s="409"/>
      <c r="W47" s="409"/>
      <c r="X47" s="409"/>
      <c r="Y47" s="409"/>
      <c r="Z47" s="409"/>
    </row>
    <row r="48" spans="1:26" ht="12.75" customHeight="1">
      <c r="A48" s="409"/>
      <c r="B48" s="409"/>
      <c r="C48" s="417"/>
      <c r="D48" s="409"/>
      <c r="E48" s="738" t="s">
        <v>291</v>
      </c>
      <c r="F48" s="625"/>
      <c r="G48" s="625"/>
      <c r="H48" s="460">
        <f>IS!H34</f>
        <v>61.27080281893285</v>
      </c>
      <c r="I48" s="409"/>
      <c r="J48" s="409"/>
      <c r="K48" s="409"/>
      <c r="L48" s="461"/>
      <c r="M48" s="409"/>
      <c r="N48" s="409"/>
      <c r="O48" s="409"/>
      <c r="P48" s="409"/>
      <c r="Q48" s="409"/>
      <c r="R48" s="409"/>
      <c r="S48" s="409"/>
      <c r="T48" s="409"/>
      <c r="U48" s="409"/>
      <c r="V48" s="409"/>
      <c r="W48" s="409"/>
      <c r="X48" s="409"/>
      <c r="Y48" s="409"/>
      <c r="Z48" s="409"/>
    </row>
    <row r="49" spans="1:26" ht="12.75" customHeight="1">
      <c r="A49" s="409"/>
      <c r="B49" s="409"/>
      <c r="C49" s="417"/>
      <c r="D49" s="409"/>
      <c r="E49" s="409"/>
      <c r="F49" s="409"/>
      <c r="G49" s="409"/>
      <c r="H49" s="416"/>
      <c r="I49" s="409"/>
      <c r="J49" s="409"/>
      <c r="K49" s="409"/>
      <c r="L49" s="461"/>
      <c r="M49" s="409"/>
      <c r="N49" s="409"/>
      <c r="O49" s="409"/>
      <c r="P49" s="409"/>
      <c r="Q49" s="409"/>
      <c r="R49" s="409"/>
      <c r="S49" s="409"/>
      <c r="T49" s="409"/>
      <c r="U49" s="409"/>
      <c r="V49" s="409"/>
      <c r="W49" s="409"/>
      <c r="X49" s="409"/>
      <c r="Y49" s="409"/>
      <c r="Z49" s="409"/>
    </row>
    <row r="50" spans="1:26" ht="12.75" customHeight="1">
      <c r="A50" s="409"/>
      <c r="B50" s="409"/>
      <c r="C50" s="417"/>
      <c r="D50" s="409"/>
      <c r="E50" s="453"/>
      <c r="F50" s="453"/>
      <c r="G50" s="458" t="s">
        <v>292</v>
      </c>
      <c r="H50" s="460">
        <f>H47*H48</f>
        <v>125.44008214176498</v>
      </c>
      <c r="I50" s="409"/>
      <c r="J50" s="409"/>
      <c r="K50" s="409"/>
      <c r="L50" s="424"/>
      <c r="M50" s="409"/>
      <c r="N50" s="409"/>
      <c r="O50" s="409"/>
      <c r="P50" s="409"/>
      <c r="Q50" s="409"/>
      <c r="R50" s="409"/>
      <c r="S50" s="409"/>
      <c r="T50" s="409"/>
      <c r="U50" s="409"/>
      <c r="V50" s="409"/>
      <c r="W50" s="409"/>
      <c r="X50" s="409"/>
      <c r="Y50" s="409"/>
      <c r="Z50" s="409"/>
    </row>
    <row r="51" spans="1:26" ht="12.75" customHeight="1">
      <c r="A51" s="409"/>
      <c r="B51" s="409"/>
      <c r="C51" s="417"/>
      <c r="D51" s="409"/>
      <c r="E51" s="462"/>
      <c r="F51" s="409"/>
      <c r="G51" s="463" t="s">
        <v>282</v>
      </c>
      <c r="H51" s="460">
        <f>H42*H48</f>
        <v>62.553468719275216</v>
      </c>
      <c r="I51" s="409"/>
      <c r="J51" s="734" t="s">
        <v>293</v>
      </c>
      <c r="K51" s="673"/>
      <c r="L51" s="735"/>
      <c r="M51" s="409"/>
      <c r="N51" s="409"/>
      <c r="O51" s="409"/>
      <c r="P51" s="409"/>
      <c r="Q51" s="409"/>
      <c r="R51" s="409"/>
      <c r="S51" s="409"/>
      <c r="T51" s="409"/>
      <c r="U51" s="409"/>
      <c r="V51" s="409"/>
      <c r="W51" s="409"/>
      <c r="X51" s="409"/>
      <c r="Y51" s="409"/>
      <c r="Z51" s="409"/>
    </row>
    <row r="52" spans="1:26" ht="12.75" customHeight="1">
      <c r="A52" s="409"/>
      <c r="B52" s="409"/>
      <c r="C52" s="417"/>
      <c r="D52" s="409"/>
      <c r="E52" s="462"/>
      <c r="F52" s="409"/>
      <c r="G52" s="409"/>
      <c r="H52" s="464"/>
      <c r="I52" s="409"/>
      <c r="J52" s="675"/>
      <c r="K52" s="625"/>
      <c r="L52" s="703"/>
      <c r="M52" s="409"/>
      <c r="N52" s="409"/>
      <c r="O52" s="409"/>
      <c r="P52" s="409"/>
      <c r="Q52" s="409"/>
      <c r="R52" s="409"/>
      <c r="S52" s="409"/>
      <c r="T52" s="409"/>
      <c r="U52" s="409"/>
      <c r="V52" s="409"/>
      <c r="W52" s="409"/>
      <c r="X52" s="409"/>
      <c r="Y52" s="409"/>
      <c r="Z52" s="409"/>
    </row>
    <row r="53" spans="1:26" ht="12.75" customHeight="1">
      <c r="A53" s="409"/>
      <c r="B53" s="409"/>
      <c r="C53" s="417"/>
      <c r="D53" s="409"/>
      <c r="E53" s="462"/>
      <c r="F53" s="409"/>
      <c r="G53" s="458" t="s">
        <v>283</v>
      </c>
      <c r="H53" s="460">
        <f>H43*H48</f>
        <v>19.683035685118142</v>
      </c>
      <c r="I53" s="409"/>
      <c r="J53" s="675"/>
      <c r="K53" s="625"/>
      <c r="L53" s="703"/>
      <c r="M53" s="409"/>
      <c r="N53" s="409"/>
      <c r="O53" s="409"/>
      <c r="P53" s="409"/>
      <c r="Q53" s="409"/>
      <c r="R53" s="409"/>
      <c r="S53" s="409"/>
      <c r="T53" s="409"/>
      <c r="U53" s="409"/>
      <c r="V53" s="409"/>
      <c r="W53" s="409"/>
      <c r="X53" s="409"/>
      <c r="Y53" s="409"/>
      <c r="Z53" s="409"/>
    </row>
    <row r="54" spans="1:26" ht="12.75" customHeight="1">
      <c r="A54" s="409"/>
      <c r="B54" s="409"/>
      <c r="C54" s="417"/>
      <c r="D54" s="409"/>
      <c r="E54" s="409"/>
      <c r="F54" s="409"/>
      <c r="G54" s="458" t="s">
        <v>284</v>
      </c>
      <c r="H54" s="460">
        <f>H44*H48</f>
        <v>0</v>
      </c>
      <c r="I54" s="409"/>
      <c r="J54" s="675"/>
      <c r="K54" s="625"/>
      <c r="L54" s="703"/>
      <c r="M54" s="409"/>
      <c r="N54" s="409"/>
      <c r="O54" s="409"/>
      <c r="P54" s="409"/>
      <c r="Q54" s="409"/>
      <c r="R54" s="409"/>
      <c r="S54" s="409"/>
      <c r="T54" s="409"/>
      <c r="U54" s="409"/>
      <c r="V54" s="409"/>
      <c r="W54" s="409"/>
      <c r="X54" s="409"/>
      <c r="Y54" s="409"/>
      <c r="Z54" s="409"/>
    </row>
    <row r="55" spans="1:26" ht="12.75" customHeight="1">
      <c r="A55" s="409"/>
      <c r="B55" s="409"/>
      <c r="C55" s="417"/>
      <c r="D55" s="409"/>
      <c r="E55" s="462"/>
      <c r="F55" s="462"/>
      <c r="G55" s="462"/>
      <c r="H55" s="409"/>
      <c r="I55" s="409"/>
      <c r="J55" s="677"/>
      <c r="K55" s="678"/>
      <c r="L55" s="736"/>
      <c r="M55" s="409"/>
      <c r="N55" s="409"/>
      <c r="O55" s="409"/>
      <c r="P55" s="409"/>
      <c r="Q55" s="409"/>
      <c r="R55" s="409"/>
      <c r="S55" s="409"/>
      <c r="T55" s="409"/>
      <c r="U55" s="409"/>
      <c r="V55" s="409"/>
      <c r="W55" s="409"/>
      <c r="X55" s="409"/>
      <c r="Y55" s="409"/>
      <c r="Z55" s="409"/>
    </row>
    <row r="56" spans="1:26" ht="12.75" customHeight="1">
      <c r="A56" s="409"/>
      <c r="B56" s="409"/>
      <c r="C56" s="417"/>
      <c r="D56" s="409"/>
      <c r="E56" s="732" t="s">
        <v>294</v>
      </c>
      <c r="F56" s="625"/>
      <c r="G56" s="625"/>
      <c r="H56" s="465">
        <f>H45*H48</f>
        <v>41.118252202196679</v>
      </c>
      <c r="I56" s="409"/>
      <c r="J56" s="409"/>
      <c r="K56" s="409"/>
      <c r="L56" s="424"/>
      <c r="M56" s="409"/>
      <c r="N56" s="409"/>
      <c r="O56" s="409"/>
      <c r="P56" s="409"/>
      <c r="Q56" s="409"/>
      <c r="R56" s="409"/>
      <c r="S56" s="409"/>
      <c r="T56" s="409"/>
      <c r="U56" s="409"/>
      <c r="V56" s="409"/>
      <c r="W56" s="409"/>
      <c r="X56" s="409"/>
      <c r="Y56" s="409"/>
      <c r="Z56" s="409"/>
    </row>
    <row r="57" spans="1:26" ht="12.75" customHeight="1">
      <c r="A57" s="409"/>
      <c r="B57" s="409"/>
      <c r="C57" s="422"/>
      <c r="D57" s="466"/>
      <c r="E57" s="466"/>
      <c r="F57" s="466"/>
      <c r="G57" s="466"/>
      <c r="H57" s="466"/>
      <c r="I57" s="466"/>
      <c r="J57" s="466"/>
      <c r="K57" s="466"/>
      <c r="L57" s="423"/>
      <c r="M57" s="409"/>
      <c r="N57" s="409"/>
      <c r="O57" s="409"/>
      <c r="P57" s="409"/>
      <c r="Q57" s="409"/>
      <c r="R57" s="409"/>
      <c r="S57" s="409"/>
      <c r="T57" s="409"/>
      <c r="U57" s="409"/>
      <c r="V57" s="409"/>
      <c r="W57" s="409"/>
      <c r="X57" s="409"/>
      <c r="Y57" s="409"/>
      <c r="Z57" s="409"/>
    </row>
    <row r="58" spans="1:26" ht="12.75" customHeight="1">
      <c r="A58" s="409"/>
      <c r="B58" s="409"/>
      <c r="C58" s="409"/>
      <c r="D58" s="409"/>
      <c r="E58" s="409"/>
      <c r="F58" s="409"/>
      <c r="G58" s="409"/>
      <c r="H58" s="409"/>
      <c r="I58" s="409"/>
      <c r="J58" s="409"/>
      <c r="K58" s="409"/>
      <c r="L58" s="409"/>
      <c r="M58" s="409"/>
      <c r="N58" s="409"/>
      <c r="O58" s="409"/>
      <c r="P58" s="409"/>
      <c r="Q58" s="409"/>
      <c r="R58" s="409"/>
      <c r="S58" s="409"/>
      <c r="T58" s="409"/>
      <c r="U58" s="409"/>
      <c r="V58" s="409"/>
      <c r="W58" s="409"/>
      <c r="X58" s="409"/>
      <c r="Y58" s="409"/>
      <c r="Z58" s="409"/>
    </row>
    <row r="59" spans="1:26" ht="12.75" customHeight="1">
      <c r="A59" s="409"/>
      <c r="B59" s="409"/>
      <c r="C59" s="409"/>
      <c r="D59" s="409"/>
      <c r="E59" s="409"/>
      <c r="F59" s="409"/>
      <c r="G59" s="409"/>
      <c r="H59" s="409"/>
      <c r="I59" s="409"/>
      <c r="J59" s="409"/>
      <c r="K59" s="409"/>
      <c r="L59" s="409"/>
      <c r="M59" s="409"/>
      <c r="N59" s="409"/>
      <c r="O59" s="409"/>
      <c r="P59" s="409"/>
      <c r="Q59" s="409"/>
      <c r="R59" s="409"/>
      <c r="S59" s="409"/>
      <c r="T59" s="409"/>
      <c r="U59" s="409"/>
      <c r="V59" s="409"/>
      <c r="W59" s="409"/>
      <c r="X59" s="409"/>
      <c r="Y59" s="409"/>
      <c r="Z59" s="409"/>
    </row>
    <row r="60" spans="1:26" ht="12.75" customHeight="1">
      <c r="A60" s="409"/>
      <c r="B60" s="409"/>
      <c r="C60" s="409"/>
      <c r="D60" s="409"/>
      <c r="E60" s="409"/>
      <c r="F60" s="409"/>
      <c r="G60" s="409"/>
      <c r="H60" s="409"/>
      <c r="I60" s="409"/>
      <c r="J60" s="409"/>
      <c r="K60" s="409"/>
      <c r="L60" s="409"/>
      <c r="M60" s="409"/>
      <c r="N60" s="409"/>
      <c r="O60" s="409"/>
      <c r="P60" s="409"/>
      <c r="Q60" s="409"/>
      <c r="R60" s="409"/>
      <c r="S60" s="409"/>
      <c r="T60" s="409"/>
      <c r="U60" s="409"/>
      <c r="V60" s="409"/>
      <c r="W60" s="409"/>
      <c r="X60" s="409"/>
      <c r="Y60" s="409"/>
      <c r="Z60" s="409"/>
    </row>
    <row r="61" spans="1:26" ht="12.75" customHeight="1">
      <c r="A61" s="409"/>
      <c r="B61" s="409"/>
      <c r="C61" s="409"/>
      <c r="D61" s="409"/>
      <c r="E61" s="409"/>
      <c r="F61" s="409"/>
      <c r="G61" s="409"/>
      <c r="H61" s="409"/>
      <c r="I61" s="409"/>
      <c r="J61" s="409"/>
      <c r="K61" s="409"/>
      <c r="L61" s="409"/>
      <c r="M61" s="409"/>
      <c r="N61" s="409"/>
      <c r="O61" s="409"/>
      <c r="P61" s="409"/>
      <c r="Q61" s="409"/>
      <c r="R61" s="409"/>
      <c r="S61" s="409"/>
      <c r="T61" s="409"/>
      <c r="U61" s="409"/>
      <c r="V61" s="409"/>
      <c r="W61" s="409"/>
      <c r="X61" s="409"/>
      <c r="Y61" s="409"/>
      <c r="Z61" s="409"/>
    </row>
    <row r="62" spans="1:26" ht="12.75" customHeight="1">
      <c r="A62" s="409"/>
      <c r="B62" s="409"/>
      <c r="C62" s="409"/>
      <c r="D62" s="409"/>
      <c r="E62" s="409"/>
      <c r="F62" s="409"/>
      <c r="G62" s="409"/>
      <c r="H62" s="409"/>
      <c r="I62" s="409"/>
      <c r="J62" s="409"/>
      <c r="K62" s="409"/>
      <c r="L62" s="409"/>
      <c r="M62" s="409"/>
      <c r="N62" s="409"/>
      <c r="O62" s="409"/>
      <c r="P62" s="409"/>
      <c r="Q62" s="409"/>
      <c r="R62" s="409"/>
      <c r="S62" s="409"/>
      <c r="T62" s="409"/>
      <c r="U62" s="409"/>
      <c r="V62" s="409"/>
      <c r="W62" s="409"/>
      <c r="X62" s="409"/>
      <c r="Y62" s="409"/>
      <c r="Z62" s="409"/>
    </row>
    <row r="63" spans="1:26" ht="12.75" customHeight="1">
      <c r="A63" s="409"/>
      <c r="B63" s="409"/>
      <c r="C63" s="409"/>
      <c r="D63" s="409"/>
      <c r="E63" s="409"/>
      <c r="F63" s="409"/>
      <c r="G63" s="409"/>
      <c r="H63" s="409"/>
      <c r="I63" s="409"/>
      <c r="J63" s="409"/>
      <c r="K63" s="409"/>
      <c r="L63" s="409"/>
      <c r="M63" s="409"/>
      <c r="N63" s="409"/>
      <c r="O63" s="409"/>
      <c r="P63" s="409"/>
      <c r="Q63" s="409"/>
      <c r="R63" s="409"/>
      <c r="S63" s="409"/>
      <c r="T63" s="409"/>
      <c r="U63" s="409"/>
      <c r="V63" s="409"/>
      <c r="W63" s="409"/>
      <c r="X63" s="409"/>
      <c r="Y63" s="409"/>
      <c r="Z63" s="409"/>
    </row>
    <row r="64" spans="1:26" ht="12.75" customHeight="1">
      <c r="A64" s="409"/>
      <c r="B64" s="409"/>
      <c r="C64" s="409"/>
      <c r="D64" s="409"/>
      <c r="E64" s="409"/>
      <c r="F64" s="409"/>
      <c r="G64" s="409"/>
      <c r="H64" s="409"/>
      <c r="I64" s="409"/>
      <c r="J64" s="409"/>
      <c r="K64" s="409"/>
      <c r="L64" s="409"/>
      <c r="M64" s="409"/>
      <c r="N64" s="409"/>
      <c r="O64" s="409"/>
      <c r="P64" s="409"/>
      <c r="Q64" s="409"/>
      <c r="R64" s="409"/>
      <c r="S64" s="409"/>
      <c r="T64" s="409"/>
      <c r="U64" s="409"/>
      <c r="V64" s="409"/>
      <c r="W64" s="409"/>
      <c r="X64" s="409"/>
      <c r="Y64" s="409"/>
      <c r="Z64" s="409"/>
    </row>
    <row r="65" spans="1:26" ht="12.75" customHeight="1">
      <c r="A65" s="409"/>
      <c r="B65" s="409"/>
      <c r="C65" s="409"/>
      <c r="D65" s="409"/>
      <c r="E65" s="409"/>
      <c r="F65" s="409"/>
      <c r="G65" s="409"/>
      <c r="H65" s="409"/>
      <c r="I65" s="409"/>
      <c r="J65" s="409"/>
      <c r="K65" s="409"/>
      <c r="L65" s="409"/>
      <c r="M65" s="409"/>
      <c r="N65" s="409"/>
      <c r="O65" s="409"/>
      <c r="P65" s="409"/>
      <c r="Q65" s="409"/>
      <c r="R65" s="409"/>
      <c r="S65" s="409"/>
      <c r="T65" s="409"/>
      <c r="U65" s="409"/>
      <c r="V65" s="409"/>
      <c r="W65" s="409"/>
      <c r="X65" s="409"/>
      <c r="Y65" s="409"/>
      <c r="Z65" s="409"/>
    </row>
    <row r="66" spans="1:26" ht="12.75" customHeight="1">
      <c r="A66" s="409"/>
      <c r="B66" s="409"/>
      <c r="C66" s="409"/>
      <c r="D66" s="409"/>
      <c r="E66" s="409"/>
      <c r="F66" s="409"/>
      <c r="G66" s="409"/>
      <c r="H66" s="409"/>
      <c r="I66" s="409"/>
      <c r="J66" s="409"/>
      <c r="K66" s="409"/>
      <c r="L66" s="409"/>
      <c r="M66" s="409"/>
      <c r="N66" s="409"/>
      <c r="O66" s="409"/>
      <c r="P66" s="409"/>
      <c r="Q66" s="409"/>
      <c r="R66" s="409"/>
      <c r="S66" s="409"/>
      <c r="T66" s="409"/>
      <c r="U66" s="409"/>
      <c r="V66" s="409"/>
      <c r="W66" s="409"/>
      <c r="X66" s="409"/>
      <c r="Y66" s="409"/>
      <c r="Z66" s="409"/>
    </row>
    <row r="67" spans="1:26" ht="12.75" customHeight="1">
      <c r="A67" s="409"/>
      <c r="B67" s="409"/>
      <c r="C67" s="409"/>
      <c r="D67" s="409"/>
      <c r="E67" s="409"/>
      <c r="F67" s="409"/>
      <c r="G67" s="409"/>
      <c r="H67" s="409"/>
      <c r="I67" s="409"/>
      <c r="J67" s="409"/>
      <c r="K67" s="409"/>
      <c r="L67" s="409"/>
      <c r="M67" s="409"/>
      <c r="N67" s="409"/>
      <c r="O67" s="409"/>
      <c r="P67" s="409"/>
      <c r="Q67" s="409"/>
      <c r="R67" s="409"/>
      <c r="S67" s="409"/>
      <c r="T67" s="409"/>
      <c r="U67" s="409"/>
      <c r="V67" s="409"/>
      <c r="W67" s="409"/>
      <c r="X67" s="409"/>
      <c r="Y67" s="409"/>
      <c r="Z67" s="409"/>
    </row>
    <row r="68" spans="1:26" ht="12.75" customHeight="1">
      <c r="A68" s="409"/>
      <c r="B68" s="409"/>
      <c r="C68" s="409"/>
      <c r="D68" s="409"/>
      <c r="E68" s="409"/>
      <c r="F68" s="409"/>
      <c r="G68" s="409"/>
      <c r="H68" s="409"/>
      <c r="I68" s="409"/>
      <c r="J68" s="409"/>
      <c r="K68" s="409"/>
      <c r="L68" s="409"/>
      <c r="M68" s="409"/>
      <c r="N68" s="409"/>
      <c r="O68" s="409"/>
      <c r="P68" s="409"/>
      <c r="Q68" s="409"/>
      <c r="R68" s="409"/>
      <c r="S68" s="409"/>
      <c r="T68" s="409"/>
      <c r="U68" s="409"/>
      <c r="V68" s="409"/>
      <c r="W68" s="409"/>
      <c r="X68" s="409"/>
      <c r="Y68" s="409"/>
      <c r="Z68" s="409"/>
    </row>
    <row r="69" spans="1:26" ht="12.75" customHeight="1">
      <c r="A69" s="409"/>
      <c r="B69" s="409"/>
      <c r="C69" s="409"/>
      <c r="D69" s="409"/>
      <c r="E69" s="409"/>
      <c r="F69" s="409"/>
      <c r="G69" s="409"/>
      <c r="H69" s="409"/>
      <c r="I69" s="409"/>
      <c r="J69" s="409"/>
      <c r="K69" s="409"/>
      <c r="L69" s="409"/>
      <c r="M69" s="409"/>
      <c r="N69" s="409"/>
      <c r="O69" s="409"/>
      <c r="P69" s="409"/>
      <c r="Q69" s="409"/>
      <c r="R69" s="409"/>
      <c r="S69" s="409"/>
      <c r="T69" s="409"/>
      <c r="U69" s="409"/>
      <c r="V69" s="409"/>
      <c r="W69" s="409"/>
      <c r="X69" s="409"/>
      <c r="Y69" s="409"/>
      <c r="Z69" s="409"/>
    </row>
    <row r="70" spans="1:26" ht="12.75" customHeight="1">
      <c r="A70" s="409"/>
      <c r="B70" s="409"/>
      <c r="C70" s="409"/>
      <c r="D70" s="409"/>
      <c r="E70" s="409"/>
      <c r="F70" s="409"/>
      <c r="G70" s="409"/>
      <c r="H70" s="409"/>
      <c r="I70" s="409"/>
      <c r="J70" s="409"/>
      <c r="K70" s="409"/>
      <c r="L70" s="409"/>
      <c r="M70" s="409"/>
      <c r="N70" s="409"/>
      <c r="O70" s="409"/>
      <c r="P70" s="409"/>
      <c r="Q70" s="409"/>
      <c r="R70" s="409"/>
      <c r="S70" s="409"/>
      <c r="T70" s="409"/>
      <c r="U70" s="409"/>
      <c r="V70" s="409"/>
      <c r="W70" s="409"/>
      <c r="X70" s="409"/>
      <c r="Y70" s="409"/>
      <c r="Z70" s="409"/>
    </row>
    <row r="71" spans="1:26" ht="12.75" customHeight="1">
      <c r="A71" s="409"/>
      <c r="B71" s="409"/>
      <c r="C71" s="409"/>
      <c r="D71" s="409"/>
      <c r="E71" s="409"/>
      <c r="F71" s="409"/>
      <c r="G71" s="409"/>
      <c r="H71" s="409"/>
      <c r="I71" s="409"/>
      <c r="J71" s="409"/>
      <c r="K71" s="409"/>
      <c r="L71" s="409"/>
      <c r="M71" s="409"/>
      <c r="N71" s="409"/>
      <c r="O71" s="409"/>
      <c r="P71" s="409"/>
      <c r="Q71" s="409"/>
      <c r="R71" s="409"/>
      <c r="S71" s="409"/>
      <c r="T71" s="409"/>
      <c r="U71" s="409"/>
      <c r="V71" s="409"/>
      <c r="W71" s="409"/>
      <c r="X71" s="409"/>
      <c r="Y71" s="409"/>
      <c r="Z71" s="409"/>
    </row>
    <row r="72" spans="1:26" ht="12.75" customHeight="1">
      <c r="A72" s="409"/>
      <c r="B72" s="409"/>
      <c r="C72" s="409"/>
      <c r="D72" s="409"/>
      <c r="E72" s="409"/>
      <c r="F72" s="409"/>
      <c r="G72" s="409"/>
      <c r="H72" s="409"/>
      <c r="I72" s="409"/>
      <c r="J72" s="409"/>
      <c r="K72" s="409"/>
      <c r="L72" s="409"/>
      <c r="M72" s="409"/>
      <c r="N72" s="409"/>
      <c r="O72" s="409"/>
      <c r="P72" s="409"/>
      <c r="Q72" s="409"/>
      <c r="R72" s="409"/>
      <c r="S72" s="409"/>
      <c r="T72" s="409"/>
      <c r="U72" s="409"/>
      <c r="V72" s="409"/>
      <c r="W72" s="409"/>
      <c r="X72" s="409"/>
      <c r="Y72" s="409"/>
      <c r="Z72" s="409"/>
    </row>
    <row r="73" spans="1:26" ht="12.75" customHeight="1">
      <c r="A73" s="409"/>
      <c r="B73" s="409"/>
      <c r="C73" s="409"/>
      <c r="D73" s="409"/>
      <c r="E73" s="409"/>
      <c r="F73" s="409"/>
      <c r="G73" s="409"/>
      <c r="H73" s="409"/>
      <c r="I73" s="409"/>
      <c r="J73" s="409"/>
      <c r="K73" s="409"/>
      <c r="L73" s="409"/>
      <c r="M73" s="409"/>
      <c r="N73" s="409"/>
      <c r="O73" s="409"/>
      <c r="P73" s="409"/>
      <c r="Q73" s="409"/>
      <c r="R73" s="409"/>
      <c r="S73" s="409"/>
      <c r="T73" s="409"/>
      <c r="U73" s="409"/>
      <c r="V73" s="409"/>
      <c r="W73" s="409"/>
      <c r="X73" s="409"/>
      <c r="Y73" s="409"/>
      <c r="Z73" s="409"/>
    </row>
    <row r="74" spans="1:26" ht="12.75" customHeight="1">
      <c r="A74" s="409"/>
      <c r="B74" s="409"/>
      <c r="C74" s="409"/>
      <c r="D74" s="409"/>
      <c r="E74" s="409"/>
      <c r="F74" s="409"/>
      <c r="G74" s="409"/>
      <c r="H74" s="409"/>
      <c r="I74" s="409"/>
      <c r="J74" s="409"/>
      <c r="K74" s="409"/>
      <c r="L74" s="409"/>
      <c r="M74" s="409"/>
      <c r="N74" s="409"/>
      <c r="O74" s="409"/>
      <c r="P74" s="409"/>
      <c r="Q74" s="409"/>
      <c r="R74" s="409"/>
      <c r="S74" s="409"/>
      <c r="T74" s="409"/>
      <c r="U74" s="409"/>
      <c r="V74" s="409"/>
      <c r="W74" s="409"/>
      <c r="X74" s="409"/>
      <c r="Y74" s="409"/>
      <c r="Z74" s="409"/>
    </row>
    <row r="75" spans="1:26" ht="12.75" customHeight="1">
      <c r="A75" s="409"/>
      <c r="B75" s="409"/>
      <c r="C75" s="409"/>
      <c r="D75" s="409"/>
      <c r="E75" s="409"/>
      <c r="F75" s="409"/>
      <c r="G75" s="409"/>
      <c r="H75" s="409"/>
      <c r="I75" s="409"/>
      <c r="J75" s="409"/>
      <c r="K75" s="409"/>
      <c r="L75" s="409"/>
      <c r="M75" s="409"/>
      <c r="N75" s="409"/>
      <c r="O75" s="409"/>
      <c r="P75" s="409"/>
      <c r="Q75" s="409"/>
      <c r="R75" s="409"/>
      <c r="S75" s="409"/>
      <c r="T75" s="409"/>
      <c r="U75" s="409"/>
      <c r="V75" s="409"/>
      <c r="W75" s="409"/>
      <c r="X75" s="409"/>
      <c r="Y75" s="409"/>
      <c r="Z75" s="409"/>
    </row>
    <row r="76" spans="1:26" ht="12.75" customHeight="1">
      <c r="A76" s="409"/>
      <c r="B76" s="409"/>
      <c r="C76" s="409"/>
      <c r="D76" s="409"/>
      <c r="E76" s="409"/>
      <c r="F76" s="409"/>
      <c r="G76" s="409"/>
      <c r="H76" s="409"/>
      <c r="I76" s="409"/>
      <c r="J76" s="409"/>
      <c r="K76" s="409"/>
      <c r="L76" s="409"/>
      <c r="M76" s="409"/>
      <c r="N76" s="409"/>
      <c r="O76" s="409"/>
      <c r="P76" s="409"/>
      <c r="Q76" s="409"/>
      <c r="R76" s="409"/>
      <c r="S76" s="409"/>
      <c r="T76" s="409"/>
      <c r="U76" s="409"/>
      <c r="V76" s="409"/>
      <c r="W76" s="409"/>
      <c r="X76" s="409"/>
      <c r="Y76" s="409"/>
      <c r="Z76" s="409"/>
    </row>
    <row r="77" spans="1:26" ht="12.75" customHeight="1">
      <c r="A77" s="409"/>
      <c r="B77" s="409"/>
      <c r="C77" s="409"/>
      <c r="D77" s="409"/>
      <c r="E77" s="409"/>
      <c r="F77" s="409"/>
      <c r="G77" s="409"/>
      <c r="H77" s="409"/>
      <c r="I77" s="409"/>
      <c r="J77" s="409"/>
      <c r="K77" s="409"/>
      <c r="L77" s="409"/>
      <c r="M77" s="409"/>
      <c r="N77" s="409"/>
      <c r="O77" s="409"/>
      <c r="P77" s="409"/>
      <c r="Q77" s="409"/>
      <c r="R77" s="409"/>
      <c r="S77" s="409"/>
      <c r="T77" s="409"/>
      <c r="U77" s="409"/>
      <c r="V77" s="409"/>
      <c r="W77" s="409"/>
      <c r="X77" s="409"/>
      <c r="Y77" s="409"/>
      <c r="Z77" s="409"/>
    </row>
    <row r="78" spans="1:26" ht="12.75" customHeight="1">
      <c r="A78" s="409"/>
      <c r="B78" s="409"/>
      <c r="C78" s="409"/>
      <c r="D78" s="409"/>
      <c r="E78" s="409"/>
      <c r="F78" s="409"/>
      <c r="G78" s="409"/>
      <c r="H78" s="409"/>
      <c r="I78" s="409"/>
      <c r="J78" s="409"/>
      <c r="K78" s="409"/>
      <c r="L78" s="409"/>
      <c r="M78" s="409"/>
      <c r="N78" s="409"/>
      <c r="O78" s="409"/>
      <c r="P78" s="409"/>
      <c r="Q78" s="409"/>
      <c r="R78" s="409"/>
      <c r="S78" s="409"/>
      <c r="T78" s="409"/>
      <c r="U78" s="409"/>
      <c r="V78" s="409"/>
      <c r="W78" s="409"/>
      <c r="X78" s="409"/>
      <c r="Y78" s="409"/>
      <c r="Z78" s="409"/>
    </row>
    <row r="79" spans="1:26" ht="12.75" customHeight="1">
      <c r="A79" s="409"/>
      <c r="B79" s="409"/>
      <c r="C79" s="409"/>
      <c r="D79" s="409"/>
      <c r="E79" s="409"/>
      <c r="F79" s="409"/>
      <c r="G79" s="409"/>
      <c r="H79" s="409"/>
      <c r="I79" s="409"/>
      <c r="J79" s="409"/>
      <c r="K79" s="409"/>
      <c r="L79" s="409"/>
      <c r="M79" s="409"/>
      <c r="N79" s="409"/>
      <c r="O79" s="409"/>
      <c r="P79" s="409"/>
      <c r="Q79" s="409"/>
      <c r="R79" s="409"/>
      <c r="S79" s="409"/>
      <c r="T79" s="409"/>
      <c r="U79" s="409"/>
      <c r="V79" s="409"/>
      <c r="W79" s="409"/>
      <c r="X79" s="409"/>
      <c r="Y79" s="409"/>
      <c r="Z79" s="409"/>
    </row>
    <row r="80" spans="1:26" ht="12.75" customHeight="1">
      <c r="A80" s="409"/>
      <c r="B80" s="409"/>
      <c r="C80" s="409"/>
      <c r="D80" s="409"/>
      <c r="E80" s="409"/>
      <c r="F80" s="409"/>
      <c r="G80" s="409"/>
      <c r="H80" s="409"/>
      <c r="I80" s="409"/>
      <c r="J80" s="409"/>
      <c r="K80" s="409"/>
      <c r="L80" s="409"/>
      <c r="M80" s="409"/>
      <c r="N80" s="409"/>
      <c r="O80" s="409"/>
      <c r="P80" s="409"/>
      <c r="Q80" s="409"/>
      <c r="R80" s="409"/>
      <c r="S80" s="409"/>
      <c r="T80" s="409"/>
      <c r="U80" s="409"/>
      <c r="V80" s="409"/>
      <c r="W80" s="409"/>
      <c r="X80" s="409"/>
      <c r="Y80" s="409"/>
      <c r="Z80" s="409"/>
    </row>
    <row r="81" spans="1:26" ht="12.75" customHeight="1">
      <c r="A81" s="409"/>
      <c r="B81" s="409"/>
      <c r="C81" s="409"/>
      <c r="D81" s="409"/>
      <c r="E81" s="409"/>
      <c r="F81" s="409"/>
      <c r="G81" s="409"/>
      <c r="H81" s="409"/>
      <c r="I81" s="409"/>
      <c r="J81" s="409"/>
      <c r="K81" s="409"/>
      <c r="L81" s="409"/>
      <c r="M81" s="409"/>
      <c r="N81" s="409"/>
      <c r="O81" s="409"/>
      <c r="P81" s="409"/>
      <c r="Q81" s="409"/>
      <c r="R81" s="409"/>
      <c r="S81" s="409"/>
      <c r="T81" s="409"/>
      <c r="U81" s="409"/>
      <c r="V81" s="409"/>
      <c r="W81" s="409"/>
      <c r="X81" s="409"/>
      <c r="Y81" s="409"/>
      <c r="Z81" s="409"/>
    </row>
    <row r="82" spans="1:26" ht="12.75" customHeight="1">
      <c r="A82" s="409"/>
      <c r="B82" s="409"/>
      <c r="C82" s="409"/>
      <c r="D82" s="409"/>
      <c r="E82" s="409"/>
      <c r="F82" s="409"/>
      <c r="G82" s="409"/>
      <c r="H82" s="409"/>
      <c r="I82" s="409"/>
      <c r="J82" s="409"/>
      <c r="K82" s="409"/>
      <c r="L82" s="409"/>
      <c r="M82" s="409"/>
      <c r="N82" s="409"/>
      <c r="O82" s="409"/>
      <c r="P82" s="409"/>
      <c r="Q82" s="409"/>
      <c r="R82" s="409"/>
      <c r="S82" s="409"/>
      <c r="T82" s="409"/>
      <c r="U82" s="409"/>
      <c r="V82" s="409"/>
      <c r="W82" s="409"/>
      <c r="X82" s="409"/>
      <c r="Y82" s="409"/>
      <c r="Z82" s="409"/>
    </row>
    <row r="83" spans="1:26" ht="12.75" customHeight="1">
      <c r="A83" s="409"/>
      <c r="B83" s="409"/>
      <c r="C83" s="409"/>
      <c r="D83" s="409"/>
      <c r="E83" s="409"/>
      <c r="F83" s="409"/>
      <c r="G83" s="409"/>
      <c r="H83" s="409"/>
      <c r="I83" s="409"/>
      <c r="J83" s="409"/>
      <c r="K83" s="409"/>
      <c r="L83" s="409"/>
      <c r="M83" s="409"/>
      <c r="N83" s="409"/>
      <c r="O83" s="409"/>
      <c r="P83" s="409"/>
      <c r="Q83" s="409"/>
      <c r="R83" s="409"/>
      <c r="S83" s="409"/>
      <c r="T83" s="409"/>
      <c r="U83" s="409"/>
      <c r="V83" s="409"/>
      <c r="W83" s="409"/>
      <c r="X83" s="409"/>
      <c r="Y83" s="409"/>
      <c r="Z83" s="409"/>
    </row>
    <row r="84" spans="1:26" ht="12.75" customHeight="1">
      <c r="A84" s="409"/>
      <c r="B84" s="409"/>
      <c r="C84" s="409"/>
      <c r="D84" s="409"/>
      <c r="E84" s="409"/>
      <c r="F84" s="409"/>
      <c r="G84" s="409"/>
      <c r="H84" s="409"/>
      <c r="I84" s="409"/>
      <c r="J84" s="409"/>
      <c r="K84" s="409"/>
      <c r="L84" s="409"/>
      <c r="M84" s="409"/>
      <c r="N84" s="409"/>
      <c r="O84" s="409"/>
      <c r="P84" s="409"/>
      <c r="Q84" s="409"/>
      <c r="R84" s="409"/>
      <c r="S84" s="409"/>
      <c r="T84" s="409"/>
      <c r="U84" s="409"/>
      <c r="V84" s="409"/>
      <c r="W84" s="409"/>
      <c r="X84" s="409"/>
      <c r="Y84" s="409"/>
      <c r="Z84" s="409"/>
    </row>
    <row r="85" spans="1:26" ht="12.75" customHeight="1">
      <c r="A85" s="409"/>
      <c r="B85" s="409"/>
      <c r="C85" s="409"/>
      <c r="D85" s="409"/>
      <c r="E85" s="409"/>
      <c r="F85" s="409"/>
      <c r="G85" s="409"/>
      <c r="H85" s="409"/>
      <c r="I85" s="409"/>
      <c r="J85" s="409"/>
      <c r="K85" s="409"/>
      <c r="L85" s="409"/>
      <c r="M85" s="409"/>
      <c r="N85" s="409"/>
      <c r="O85" s="409"/>
      <c r="P85" s="409"/>
      <c r="Q85" s="409"/>
      <c r="R85" s="409"/>
      <c r="S85" s="409"/>
      <c r="T85" s="409"/>
      <c r="U85" s="409"/>
      <c r="V85" s="409"/>
      <c r="W85" s="409"/>
      <c r="X85" s="409"/>
      <c r="Y85" s="409"/>
      <c r="Z85" s="409"/>
    </row>
    <row r="86" spans="1:26" ht="12.75" customHeight="1">
      <c r="A86" s="409"/>
      <c r="B86" s="409"/>
      <c r="C86" s="409"/>
      <c r="D86" s="409"/>
      <c r="E86" s="409"/>
      <c r="F86" s="409"/>
      <c r="G86" s="409"/>
      <c r="H86" s="409"/>
      <c r="I86" s="409"/>
      <c r="J86" s="409"/>
      <c r="K86" s="409"/>
      <c r="L86" s="409"/>
      <c r="M86" s="409"/>
      <c r="N86" s="409"/>
      <c r="O86" s="409"/>
      <c r="P86" s="409"/>
      <c r="Q86" s="409"/>
      <c r="R86" s="409"/>
      <c r="S86" s="409"/>
      <c r="T86" s="409"/>
      <c r="U86" s="409"/>
      <c r="V86" s="409"/>
      <c r="W86" s="409"/>
      <c r="X86" s="409"/>
      <c r="Y86" s="409"/>
      <c r="Z86" s="409"/>
    </row>
    <row r="87" spans="1:26" ht="12.75" customHeight="1">
      <c r="A87" s="409"/>
      <c r="B87" s="409"/>
      <c r="C87" s="409"/>
      <c r="D87" s="409"/>
      <c r="E87" s="409"/>
      <c r="F87" s="409"/>
      <c r="G87" s="409"/>
      <c r="H87" s="409"/>
      <c r="I87" s="409"/>
      <c r="J87" s="409"/>
      <c r="K87" s="409"/>
      <c r="L87" s="409"/>
      <c r="M87" s="409"/>
      <c r="N87" s="409"/>
      <c r="O87" s="409"/>
      <c r="P87" s="409"/>
      <c r="Q87" s="409"/>
      <c r="R87" s="409"/>
      <c r="S87" s="409"/>
      <c r="T87" s="409"/>
      <c r="U87" s="409"/>
      <c r="V87" s="409"/>
      <c r="W87" s="409"/>
      <c r="X87" s="409"/>
      <c r="Y87" s="409"/>
      <c r="Z87" s="409"/>
    </row>
    <row r="88" spans="1:26" ht="12.75" customHeight="1">
      <c r="A88" s="409"/>
      <c r="B88" s="409"/>
      <c r="C88" s="409"/>
      <c r="D88" s="409"/>
      <c r="E88" s="409"/>
      <c r="F88" s="409"/>
      <c r="G88" s="409"/>
      <c r="H88" s="409"/>
      <c r="I88" s="409"/>
      <c r="J88" s="409"/>
      <c r="K88" s="409"/>
      <c r="L88" s="409"/>
      <c r="M88" s="409"/>
      <c r="N88" s="409"/>
      <c r="O88" s="409"/>
      <c r="P88" s="409"/>
      <c r="Q88" s="409"/>
      <c r="R88" s="409"/>
      <c r="S88" s="409"/>
      <c r="T88" s="409"/>
      <c r="U88" s="409"/>
      <c r="V88" s="409"/>
      <c r="W88" s="409"/>
      <c r="X88" s="409"/>
      <c r="Y88" s="409"/>
      <c r="Z88" s="409"/>
    </row>
    <row r="89" spans="1:26" ht="12.75" customHeight="1">
      <c r="A89" s="409"/>
      <c r="B89" s="409"/>
      <c r="C89" s="409"/>
      <c r="D89" s="409"/>
      <c r="E89" s="409"/>
      <c r="F89" s="409"/>
      <c r="G89" s="409"/>
      <c r="H89" s="409"/>
      <c r="I89" s="409"/>
      <c r="J89" s="409"/>
      <c r="K89" s="409"/>
      <c r="L89" s="409"/>
      <c r="M89" s="409"/>
      <c r="N89" s="409"/>
      <c r="O89" s="409"/>
      <c r="P89" s="409"/>
      <c r="Q89" s="409"/>
      <c r="R89" s="409"/>
      <c r="S89" s="409"/>
      <c r="T89" s="409"/>
      <c r="U89" s="409"/>
      <c r="V89" s="409"/>
      <c r="W89" s="409"/>
      <c r="X89" s="409"/>
      <c r="Y89" s="409"/>
      <c r="Z89" s="409"/>
    </row>
    <row r="90" spans="1:26" ht="12.75" customHeight="1">
      <c r="A90" s="409"/>
      <c r="B90" s="409"/>
      <c r="C90" s="409"/>
      <c r="D90" s="409"/>
      <c r="E90" s="409"/>
      <c r="F90" s="409"/>
      <c r="G90" s="409"/>
      <c r="H90" s="409"/>
      <c r="I90" s="409"/>
      <c r="J90" s="409"/>
      <c r="K90" s="409"/>
      <c r="L90" s="409"/>
      <c r="M90" s="409"/>
      <c r="N90" s="409"/>
      <c r="O90" s="409"/>
      <c r="P90" s="409"/>
      <c r="Q90" s="409"/>
      <c r="R90" s="409"/>
      <c r="S90" s="409"/>
      <c r="T90" s="409"/>
      <c r="U90" s="409"/>
      <c r="V90" s="409"/>
      <c r="W90" s="409"/>
      <c r="X90" s="409"/>
      <c r="Y90" s="409"/>
      <c r="Z90" s="409"/>
    </row>
    <row r="91" spans="1:26" ht="12.75" customHeight="1">
      <c r="A91" s="409"/>
      <c r="B91" s="409"/>
      <c r="C91" s="409"/>
      <c r="D91" s="409"/>
      <c r="E91" s="409"/>
      <c r="F91" s="409"/>
      <c r="G91" s="409"/>
      <c r="H91" s="409"/>
      <c r="I91" s="409"/>
      <c r="J91" s="409"/>
      <c r="K91" s="409"/>
      <c r="L91" s="409"/>
      <c r="M91" s="409"/>
      <c r="N91" s="409"/>
      <c r="O91" s="409"/>
      <c r="P91" s="409"/>
      <c r="Q91" s="409"/>
      <c r="R91" s="409"/>
      <c r="S91" s="409"/>
      <c r="T91" s="409"/>
      <c r="U91" s="409"/>
      <c r="V91" s="409"/>
      <c r="W91" s="409"/>
      <c r="X91" s="409"/>
      <c r="Y91" s="409"/>
      <c r="Z91" s="409"/>
    </row>
    <row r="92" spans="1:26" ht="12.75" customHeight="1">
      <c r="A92" s="409"/>
      <c r="B92" s="409"/>
      <c r="C92" s="409"/>
      <c r="D92" s="409"/>
      <c r="E92" s="409"/>
      <c r="F92" s="409"/>
      <c r="G92" s="409"/>
      <c r="H92" s="409"/>
      <c r="I92" s="409"/>
      <c r="J92" s="409"/>
      <c r="K92" s="409"/>
      <c r="L92" s="409"/>
      <c r="M92" s="409"/>
      <c r="N92" s="409"/>
      <c r="O92" s="409"/>
      <c r="P92" s="409"/>
      <c r="Q92" s="409"/>
      <c r="R92" s="409"/>
      <c r="S92" s="409"/>
      <c r="T92" s="409"/>
      <c r="U92" s="409"/>
      <c r="V92" s="409"/>
      <c r="W92" s="409"/>
      <c r="X92" s="409"/>
      <c r="Y92" s="409"/>
      <c r="Z92" s="409"/>
    </row>
    <row r="93" spans="1:26" ht="12.75" customHeight="1">
      <c r="A93" s="409"/>
      <c r="B93" s="409"/>
      <c r="C93" s="409"/>
      <c r="D93" s="409"/>
      <c r="E93" s="409"/>
      <c r="F93" s="409"/>
      <c r="G93" s="409"/>
      <c r="H93" s="409"/>
      <c r="I93" s="409"/>
      <c r="J93" s="409"/>
      <c r="K93" s="409"/>
      <c r="L93" s="409"/>
      <c r="M93" s="409"/>
      <c r="N93" s="409"/>
      <c r="O93" s="409"/>
      <c r="P93" s="409"/>
      <c r="Q93" s="409"/>
      <c r="R93" s="409"/>
      <c r="S93" s="409"/>
      <c r="T93" s="409"/>
      <c r="U93" s="409"/>
      <c r="V93" s="409"/>
      <c r="W93" s="409"/>
      <c r="X93" s="409"/>
      <c r="Y93" s="409"/>
      <c r="Z93" s="409"/>
    </row>
    <row r="94" spans="1:26" ht="12.75" customHeight="1">
      <c r="A94" s="409"/>
      <c r="B94" s="409"/>
      <c r="C94" s="409"/>
      <c r="D94" s="409"/>
      <c r="E94" s="409"/>
      <c r="F94" s="409"/>
      <c r="G94" s="409"/>
      <c r="H94" s="409"/>
      <c r="I94" s="409"/>
      <c r="J94" s="409"/>
      <c r="K94" s="409"/>
      <c r="L94" s="409"/>
      <c r="M94" s="409"/>
      <c r="N94" s="409"/>
      <c r="O94" s="409"/>
      <c r="P94" s="409"/>
      <c r="Q94" s="409"/>
      <c r="R94" s="409"/>
      <c r="S94" s="409"/>
      <c r="T94" s="409"/>
      <c r="U94" s="409"/>
      <c r="V94" s="409"/>
      <c r="W94" s="409"/>
      <c r="X94" s="409"/>
      <c r="Y94" s="409"/>
      <c r="Z94" s="409"/>
    </row>
    <row r="95" spans="1:26" ht="12.75" customHeight="1">
      <c r="A95" s="409"/>
      <c r="B95" s="409"/>
      <c r="C95" s="409"/>
      <c r="D95" s="409"/>
      <c r="E95" s="409"/>
      <c r="F95" s="409"/>
      <c r="G95" s="409"/>
      <c r="H95" s="409"/>
      <c r="I95" s="409"/>
      <c r="J95" s="409"/>
      <c r="K95" s="409"/>
      <c r="L95" s="409"/>
      <c r="M95" s="409"/>
      <c r="N95" s="409"/>
      <c r="O95" s="409"/>
      <c r="P95" s="409"/>
      <c r="Q95" s="409"/>
      <c r="R95" s="409"/>
      <c r="S95" s="409"/>
      <c r="T95" s="409"/>
      <c r="U95" s="409"/>
      <c r="V95" s="409"/>
      <c r="W95" s="409"/>
      <c r="X95" s="409"/>
      <c r="Y95" s="409"/>
      <c r="Z95" s="409"/>
    </row>
    <row r="96" spans="1:26" ht="12.75" customHeight="1">
      <c r="A96" s="409"/>
      <c r="B96" s="409"/>
      <c r="C96" s="409"/>
      <c r="D96" s="409"/>
      <c r="E96" s="409"/>
      <c r="F96" s="409"/>
      <c r="G96" s="409"/>
      <c r="H96" s="409"/>
      <c r="I96" s="409"/>
      <c r="J96" s="409"/>
      <c r="K96" s="409"/>
      <c r="L96" s="409"/>
      <c r="M96" s="409"/>
      <c r="N96" s="409"/>
      <c r="O96" s="409"/>
      <c r="P96" s="409"/>
      <c r="Q96" s="409"/>
      <c r="R96" s="409"/>
      <c r="S96" s="409"/>
      <c r="T96" s="409"/>
      <c r="U96" s="409"/>
      <c r="V96" s="409"/>
      <c r="W96" s="409"/>
      <c r="X96" s="409"/>
      <c r="Y96" s="409"/>
      <c r="Z96" s="409"/>
    </row>
    <row r="97" spans="1:26" ht="12.75" customHeight="1">
      <c r="A97" s="409"/>
      <c r="B97" s="409"/>
      <c r="C97" s="409"/>
      <c r="D97" s="409"/>
      <c r="E97" s="409"/>
      <c r="F97" s="409"/>
      <c r="G97" s="409"/>
      <c r="H97" s="409"/>
      <c r="I97" s="409"/>
      <c r="J97" s="409"/>
      <c r="K97" s="409"/>
      <c r="L97" s="409"/>
      <c r="M97" s="409"/>
      <c r="N97" s="409"/>
      <c r="O97" s="409"/>
      <c r="P97" s="409"/>
      <c r="Q97" s="409"/>
      <c r="R97" s="409"/>
      <c r="S97" s="409"/>
      <c r="T97" s="409"/>
      <c r="U97" s="409"/>
      <c r="V97" s="409"/>
      <c r="W97" s="409"/>
      <c r="X97" s="409"/>
      <c r="Y97" s="409"/>
      <c r="Z97" s="409"/>
    </row>
    <row r="98" spans="1:26" ht="12.75" customHeight="1">
      <c r="A98" s="409"/>
      <c r="B98" s="409"/>
      <c r="C98" s="409"/>
      <c r="D98" s="409"/>
      <c r="E98" s="409"/>
      <c r="F98" s="409"/>
      <c r="G98" s="409"/>
      <c r="H98" s="409"/>
      <c r="I98" s="409"/>
      <c r="J98" s="409"/>
      <c r="K98" s="409"/>
      <c r="L98" s="409"/>
      <c r="M98" s="409"/>
      <c r="N98" s="409"/>
      <c r="O98" s="409"/>
      <c r="P98" s="409"/>
      <c r="Q98" s="409"/>
      <c r="R98" s="409"/>
      <c r="S98" s="409"/>
      <c r="T98" s="409"/>
      <c r="U98" s="409"/>
      <c r="V98" s="409"/>
      <c r="W98" s="409"/>
      <c r="X98" s="409"/>
      <c r="Y98" s="409"/>
      <c r="Z98" s="409"/>
    </row>
    <row r="99" spans="1:26" ht="12.75" customHeight="1">
      <c r="A99" s="409"/>
      <c r="B99" s="409"/>
      <c r="C99" s="409"/>
      <c r="D99" s="409"/>
      <c r="E99" s="409"/>
      <c r="F99" s="409"/>
      <c r="G99" s="409"/>
      <c r="H99" s="409"/>
      <c r="I99" s="409"/>
      <c r="J99" s="409"/>
      <c r="K99" s="409"/>
      <c r="L99" s="409"/>
      <c r="M99" s="409"/>
      <c r="N99" s="409"/>
      <c r="O99" s="409"/>
      <c r="P99" s="409"/>
      <c r="Q99" s="409"/>
      <c r="R99" s="409"/>
      <c r="S99" s="409"/>
      <c r="T99" s="409"/>
      <c r="U99" s="409"/>
      <c r="V99" s="409"/>
      <c r="W99" s="409"/>
      <c r="X99" s="409"/>
      <c r="Y99" s="409"/>
      <c r="Z99" s="409"/>
    </row>
    <row r="100" spans="1:26" ht="12.75" customHeight="1">
      <c r="A100" s="409"/>
      <c r="B100" s="409"/>
      <c r="C100" s="409"/>
      <c r="D100" s="409"/>
      <c r="E100" s="409"/>
      <c r="F100" s="409"/>
      <c r="G100" s="409"/>
      <c r="H100" s="409"/>
      <c r="I100" s="409"/>
      <c r="J100" s="409"/>
      <c r="K100" s="409"/>
      <c r="L100" s="409"/>
      <c r="M100" s="409"/>
      <c r="N100" s="409"/>
      <c r="O100" s="409"/>
      <c r="P100" s="409"/>
      <c r="Q100" s="409"/>
      <c r="R100" s="409"/>
      <c r="S100" s="409"/>
      <c r="T100" s="409"/>
      <c r="U100" s="409"/>
      <c r="V100" s="409"/>
      <c r="W100" s="409"/>
      <c r="X100" s="409"/>
      <c r="Y100" s="409"/>
      <c r="Z100" s="409"/>
    </row>
    <row r="101" spans="1:26" ht="12.75" customHeight="1">
      <c r="A101" s="409"/>
      <c r="B101" s="409"/>
      <c r="C101" s="409"/>
      <c r="D101" s="409"/>
      <c r="E101" s="409"/>
      <c r="F101" s="409"/>
      <c r="G101" s="409"/>
      <c r="H101" s="409"/>
      <c r="I101" s="409"/>
      <c r="J101" s="409"/>
      <c r="K101" s="409"/>
      <c r="L101" s="409"/>
      <c r="M101" s="409"/>
      <c r="N101" s="409"/>
      <c r="O101" s="409"/>
      <c r="P101" s="409"/>
      <c r="Q101" s="409"/>
      <c r="R101" s="409"/>
      <c r="S101" s="409"/>
      <c r="T101" s="409"/>
      <c r="U101" s="409"/>
      <c r="V101" s="409"/>
      <c r="W101" s="409"/>
      <c r="X101" s="409"/>
      <c r="Y101" s="409"/>
      <c r="Z101" s="409"/>
    </row>
    <row r="102" spans="1:26" ht="12.75" customHeight="1">
      <c r="A102" s="409"/>
      <c r="B102" s="409"/>
      <c r="C102" s="409"/>
      <c r="D102" s="409"/>
      <c r="E102" s="409"/>
      <c r="F102" s="409"/>
      <c r="G102" s="409"/>
      <c r="H102" s="409"/>
      <c r="I102" s="409"/>
      <c r="J102" s="409"/>
      <c r="K102" s="409"/>
      <c r="L102" s="409"/>
      <c r="M102" s="409"/>
      <c r="N102" s="409"/>
      <c r="O102" s="409"/>
      <c r="P102" s="409"/>
      <c r="Q102" s="409"/>
      <c r="R102" s="409"/>
      <c r="S102" s="409"/>
      <c r="T102" s="409"/>
      <c r="U102" s="409"/>
      <c r="V102" s="409"/>
      <c r="W102" s="409"/>
      <c r="X102" s="409"/>
      <c r="Y102" s="409"/>
      <c r="Z102" s="409"/>
    </row>
    <row r="103" spans="1:26" ht="12.75" customHeight="1">
      <c r="A103" s="409"/>
      <c r="B103" s="409"/>
      <c r="C103" s="409"/>
      <c r="D103" s="409"/>
      <c r="E103" s="409"/>
      <c r="F103" s="409"/>
      <c r="G103" s="409"/>
      <c r="H103" s="409"/>
      <c r="I103" s="409"/>
      <c r="J103" s="409"/>
      <c r="K103" s="409"/>
      <c r="L103" s="409"/>
      <c r="M103" s="409"/>
      <c r="N103" s="409"/>
      <c r="O103" s="409"/>
      <c r="P103" s="409"/>
      <c r="Q103" s="409"/>
      <c r="R103" s="409"/>
      <c r="S103" s="409"/>
      <c r="T103" s="409"/>
      <c r="U103" s="409"/>
      <c r="V103" s="409"/>
      <c r="W103" s="409"/>
      <c r="X103" s="409"/>
      <c r="Y103" s="409"/>
      <c r="Z103" s="409"/>
    </row>
    <row r="104" spans="1:26" ht="12.75" customHeight="1">
      <c r="A104" s="409"/>
      <c r="B104" s="409"/>
      <c r="C104" s="409"/>
      <c r="D104" s="409"/>
      <c r="E104" s="409"/>
      <c r="F104" s="409"/>
      <c r="G104" s="409"/>
      <c r="H104" s="409"/>
      <c r="I104" s="409"/>
      <c r="J104" s="409"/>
      <c r="K104" s="409"/>
      <c r="L104" s="409"/>
      <c r="M104" s="409"/>
      <c r="N104" s="409"/>
      <c r="O104" s="409"/>
      <c r="P104" s="409"/>
      <c r="Q104" s="409"/>
      <c r="R104" s="409"/>
      <c r="S104" s="409"/>
      <c r="T104" s="409"/>
      <c r="U104" s="409"/>
      <c r="V104" s="409"/>
      <c r="W104" s="409"/>
      <c r="X104" s="409"/>
      <c r="Y104" s="409"/>
      <c r="Z104" s="409"/>
    </row>
    <row r="105" spans="1:26" ht="12.75" customHeight="1">
      <c r="A105" s="409"/>
      <c r="B105" s="409"/>
      <c r="C105" s="409"/>
      <c r="D105" s="409"/>
      <c r="E105" s="409"/>
      <c r="F105" s="409"/>
      <c r="G105" s="409"/>
      <c r="H105" s="409"/>
      <c r="I105" s="409"/>
      <c r="J105" s="409"/>
      <c r="K105" s="409"/>
      <c r="L105" s="409"/>
      <c r="M105" s="409"/>
      <c r="N105" s="409"/>
      <c r="O105" s="409"/>
      <c r="P105" s="409"/>
      <c r="Q105" s="409"/>
      <c r="R105" s="409"/>
      <c r="S105" s="409"/>
      <c r="T105" s="409"/>
      <c r="U105" s="409"/>
      <c r="V105" s="409"/>
      <c r="W105" s="409"/>
      <c r="X105" s="409"/>
      <c r="Y105" s="409"/>
      <c r="Z105" s="409"/>
    </row>
    <row r="106" spans="1:26" ht="12.75" customHeight="1">
      <c r="A106" s="409"/>
      <c r="B106" s="409"/>
      <c r="C106" s="409"/>
      <c r="D106" s="409"/>
      <c r="E106" s="409"/>
      <c r="F106" s="409"/>
      <c r="G106" s="409"/>
      <c r="H106" s="409"/>
      <c r="I106" s="409"/>
      <c r="J106" s="409"/>
      <c r="K106" s="409"/>
      <c r="L106" s="409"/>
      <c r="M106" s="409"/>
      <c r="N106" s="409"/>
      <c r="O106" s="409"/>
      <c r="P106" s="409"/>
      <c r="Q106" s="409"/>
      <c r="R106" s="409"/>
      <c r="S106" s="409"/>
      <c r="T106" s="409"/>
      <c r="U106" s="409"/>
      <c r="V106" s="409"/>
      <c r="W106" s="409"/>
      <c r="X106" s="409"/>
      <c r="Y106" s="409"/>
      <c r="Z106" s="409"/>
    </row>
    <row r="107" spans="1:26" ht="12.75" customHeight="1">
      <c r="A107" s="409"/>
      <c r="B107" s="409"/>
      <c r="C107" s="409"/>
      <c r="D107" s="409"/>
      <c r="E107" s="409"/>
      <c r="F107" s="409"/>
      <c r="G107" s="409"/>
      <c r="H107" s="409"/>
      <c r="I107" s="409"/>
      <c r="J107" s="409"/>
      <c r="K107" s="409"/>
      <c r="L107" s="409"/>
      <c r="M107" s="409"/>
      <c r="N107" s="409"/>
      <c r="O107" s="409"/>
      <c r="P107" s="409"/>
      <c r="Q107" s="409"/>
      <c r="R107" s="409"/>
      <c r="S107" s="409"/>
      <c r="T107" s="409"/>
      <c r="U107" s="409"/>
      <c r="V107" s="409"/>
      <c r="W107" s="409"/>
      <c r="X107" s="409"/>
      <c r="Y107" s="409"/>
      <c r="Z107" s="409"/>
    </row>
    <row r="108" spans="1:26" ht="12.75" customHeight="1">
      <c r="A108" s="409"/>
      <c r="B108" s="409"/>
      <c r="C108" s="409"/>
      <c r="D108" s="409"/>
      <c r="E108" s="409"/>
      <c r="F108" s="409"/>
      <c r="G108" s="409"/>
      <c r="H108" s="409"/>
      <c r="I108" s="409"/>
      <c r="J108" s="409"/>
      <c r="K108" s="409"/>
      <c r="L108" s="409"/>
      <c r="M108" s="409"/>
      <c r="N108" s="409"/>
      <c r="O108" s="409"/>
      <c r="P108" s="409"/>
      <c r="Q108" s="409"/>
      <c r="R108" s="409"/>
      <c r="S108" s="409"/>
      <c r="T108" s="409"/>
      <c r="U108" s="409"/>
      <c r="V108" s="409"/>
      <c r="W108" s="409"/>
      <c r="X108" s="409"/>
      <c r="Y108" s="409"/>
      <c r="Z108" s="409"/>
    </row>
    <row r="109" spans="1:26" ht="12.75" customHeight="1">
      <c r="A109" s="409"/>
      <c r="B109" s="409"/>
      <c r="C109" s="409"/>
      <c r="D109" s="409"/>
      <c r="E109" s="409"/>
      <c r="F109" s="409"/>
      <c r="G109" s="409"/>
      <c r="H109" s="409"/>
      <c r="I109" s="409"/>
      <c r="J109" s="409"/>
      <c r="K109" s="409"/>
      <c r="L109" s="409"/>
      <c r="M109" s="409"/>
      <c r="N109" s="409"/>
      <c r="O109" s="409"/>
      <c r="P109" s="409"/>
      <c r="Q109" s="409"/>
      <c r="R109" s="409"/>
      <c r="S109" s="409"/>
      <c r="T109" s="409"/>
      <c r="U109" s="409"/>
      <c r="V109" s="409"/>
      <c r="W109" s="409"/>
      <c r="X109" s="409"/>
      <c r="Y109" s="409"/>
      <c r="Z109" s="409"/>
    </row>
    <row r="110" spans="1:26" ht="12.75" customHeight="1">
      <c r="A110" s="409"/>
      <c r="B110" s="409"/>
      <c r="C110" s="409"/>
      <c r="D110" s="409"/>
      <c r="E110" s="409"/>
      <c r="F110" s="409"/>
      <c r="G110" s="409"/>
      <c r="H110" s="409"/>
      <c r="I110" s="409"/>
      <c r="J110" s="409"/>
      <c r="K110" s="409"/>
      <c r="L110" s="409"/>
      <c r="M110" s="409"/>
      <c r="N110" s="409"/>
      <c r="O110" s="409"/>
      <c r="P110" s="409"/>
      <c r="Q110" s="409"/>
      <c r="R110" s="409"/>
      <c r="S110" s="409"/>
      <c r="T110" s="409"/>
      <c r="U110" s="409"/>
      <c r="V110" s="409"/>
      <c r="W110" s="409"/>
      <c r="X110" s="409"/>
      <c r="Y110" s="409"/>
      <c r="Z110" s="409"/>
    </row>
    <row r="111" spans="1:26" ht="12.75" customHeight="1">
      <c r="A111" s="409"/>
      <c r="B111" s="409"/>
      <c r="C111" s="409"/>
      <c r="D111" s="409"/>
      <c r="E111" s="409"/>
      <c r="F111" s="409"/>
      <c r="G111" s="409"/>
      <c r="H111" s="409"/>
      <c r="I111" s="409"/>
      <c r="J111" s="409"/>
      <c r="K111" s="409"/>
      <c r="L111" s="409"/>
      <c r="M111" s="409"/>
      <c r="N111" s="409"/>
      <c r="O111" s="409"/>
      <c r="P111" s="409"/>
      <c r="Q111" s="409"/>
      <c r="R111" s="409"/>
      <c r="S111" s="409"/>
      <c r="T111" s="409"/>
      <c r="U111" s="409"/>
      <c r="V111" s="409"/>
      <c r="W111" s="409"/>
      <c r="X111" s="409"/>
      <c r="Y111" s="409"/>
      <c r="Z111" s="409"/>
    </row>
    <row r="112" spans="1:26" ht="12.75" customHeight="1">
      <c r="A112" s="409"/>
      <c r="B112" s="409"/>
      <c r="C112" s="409"/>
      <c r="D112" s="409"/>
      <c r="E112" s="409"/>
      <c r="F112" s="409"/>
      <c r="G112" s="409"/>
      <c r="H112" s="409"/>
      <c r="I112" s="409"/>
      <c r="J112" s="409"/>
      <c r="K112" s="409"/>
      <c r="L112" s="409"/>
      <c r="M112" s="409"/>
      <c r="N112" s="409"/>
      <c r="O112" s="409"/>
      <c r="P112" s="409"/>
      <c r="Q112" s="409"/>
      <c r="R112" s="409"/>
      <c r="S112" s="409"/>
      <c r="T112" s="409"/>
      <c r="U112" s="409"/>
      <c r="V112" s="409"/>
      <c r="W112" s="409"/>
      <c r="X112" s="409"/>
      <c r="Y112" s="409"/>
      <c r="Z112" s="409"/>
    </row>
    <row r="113" spans="1:26" ht="12.75" customHeight="1">
      <c r="A113" s="409"/>
      <c r="B113" s="409"/>
      <c r="C113" s="409"/>
      <c r="D113" s="409"/>
      <c r="E113" s="409"/>
      <c r="F113" s="409"/>
      <c r="G113" s="409"/>
      <c r="H113" s="409"/>
      <c r="I113" s="409"/>
      <c r="J113" s="409"/>
      <c r="K113" s="409"/>
      <c r="L113" s="409"/>
      <c r="M113" s="409"/>
      <c r="N113" s="409"/>
      <c r="O113" s="409"/>
      <c r="P113" s="409"/>
      <c r="Q113" s="409"/>
      <c r="R113" s="409"/>
      <c r="S113" s="409"/>
      <c r="T113" s="409"/>
      <c r="U113" s="409"/>
      <c r="V113" s="409"/>
      <c r="W113" s="409"/>
      <c r="X113" s="409"/>
      <c r="Y113" s="409"/>
      <c r="Z113" s="409"/>
    </row>
    <row r="114" spans="1:26" ht="12.75" customHeight="1">
      <c r="A114" s="409"/>
      <c r="B114" s="409"/>
      <c r="C114" s="409"/>
      <c r="D114" s="409"/>
      <c r="E114" s="409"/>
      <c r="F114" s="409"/>
      <c r="G114" s="409"/>
      <c r="H114" s="409"/>
      <c r="I114" s="409"/>
      <c r="J114" s="409"/>
      <c r="K114" s="409"/>
      <c r="L114" s="409"/>
      <c r="M114" s="409"/>
      <c r="N114" s="409"/>
      <c r="O114" s="409"/>
      <c r="P114" s="409"/>
      <c r="Q114" s="409"/>
      <c r="R114" s="409"/>
      <c r="S114" s="409"/>
      <c r="T114" s="409"/>
      <c r="U114" s="409"/>
      <c r="V114" s="409"/>
      <c r="W114" s="409"/>
      <c r="X114" s="409"/>
      <c r="Y114" s="409"/>
      <c r="Z114" s="409"/>
    </row>
    <row r="115" spans="1:26" ht="12.75" customHeight="1">
      <c r="A115" s="409"/>
      <c r="B115" s="409"/>
      <c r="C115" s="409"/>
      <c r="D115" s="409"/>
      <c r="E115" s="409"/>
      <c r="F115" s="409"/>
      <c r="G115" s="409"/>
      <c r="H115" s="409"/>
      <c r="I115" s="409"/>
      <c r="J115" s="409"/>
      <c r="K115" s="409"/>
      <c r="L115" s="409"/>
      <c r="M115" s="409"/>
      <c r="N115" s="409"/>
      <c r="O115" s="409"/>
      <c r="P115" s="409"/>
      <c r="Q115" s="409"/>
      <c r="R115" s="409"/>
      <c r="S115" s="409"/>
      <c r="T115" s="409"/>
      <c r="U115" s="409"/>
      <c r="V115" s="409"/>
      <c r="W115" s="409"/>
      <c r="X115" s="409"/>
      <c r="Y115" s="409"/>
      <c r="Z115" s="409"/>
    </row>
    <row r="116" spans="1:26" ht="12.75" customHeight="1">
      <c r="A116" s="409"/>
      <c r="B116" s="409"/>
      <c r="C116" s="409"/>
      <c r="D116" s="409"/>
      <c r="E116" s="409"/>
      <c r="F116" s="409"/>
      <c r="G116" s="409"/>
      <c r="H116" s="409"/>
      <c r="I116" s="409"/>
      <c r="J116" s="409"/>
      <c r="K116" s="409"/>
      <c r="L116" s="409"/>
      <c r="M116" s="409"/>
      <c r="N116" s="409"/>
      <c r="O116" s="409"/>
      <c r="P116" s="409"/>
      <c r="Q116" s="409"/>
      <c r="R116" s="409"/>
      <c r="S116" s="409"/>
      <c r="T116" s="409"/>
      <c r="U116" s="409"/>
      <c r="V116" s="409"/>
      <c r="W116" s="409"/>
      <c r="X116" s="409"/>
      <c r="Y116" s="409"/>
      <c r="Z116" s="409"/>
    </row>
    <row r="117" spans="1:26" ht="12.75" customHeight="1">
      <c r="A117" s="409"/>
      <c r="B117" s="409"/>
      <c r="C117" s="409"/>
      <c r="D117" s="409"/>
      <c r="E117" s="409"/>
      <c r="F117" s="409"/>
      <c r="G117" s="409"/>
      <c r="H117" s="409"/>
      <c r="I117" s="409"/>
      <c r="J117" s="409"/>
      <c r="K117" s="409"/>
      <c r="L117" s="409"/>
      <c r="M117" s="409"/>
      <c r="N117" s="409"/>
      <c r="O117" s="409"/>
      <c r="P117" s="409"/>
      <c r="Q117" s="409"/>
      <c r="R117" s="409"/>
      <c r="S117" s="409"/>
      <c r="T117" s="409"/>
      <c r="U117" s="409"/>
      <c r="V117" s="409"/>
      <c r="W117" s="409"/>
      <c r="X117" s="409"/>
      <c r="Y117" s="409"/>
      <c r="Z117" s="409"/>
    </row>
    <row r="118" spans="1:26" ht="12.75" customHeight="1">
      <c r="A118" s="409"/>
      <c r="B118" s="409"/>
      <c r="C118" s="409"/>
      <c r="D118" s="409"/>
      <c r="E118" s="409"/>
      <c r="F118" s="409"/>
      <c r="G118" s="409"/>
      <c r="H118" s="409"/>
      <c r="I118" s="409"/>
      <c r="J118" s="409"/>
      <c r="K118" s="409"/>
      <c r="L118" s="409"/>
      <c r="M118" s="409"/>
      <c r="N118" s="409"/>
      <c r="O118" s="409"/>
      <c r="P118" s="409"/>
      <c r="Q118" s="409"/>
      <c r="R118" s="409"/>
      <c r="S118" s="409"/>
      <c r="T118" s="409"/>
      <c r="U118" s="409"/>
      <c r="V118" s="409"/>
      <c r="W118" s="409"/>
      <c r="X118" s="409"/>
      <c r="Y118" s="409"/>
      <c r="Z118" s="409"/>
    </row>
    <row r="119" spans="1:26" ht="12.75" customHeight="1">
      <c r="A119" s="409"/>
      <c r="B119" s="409"/>
      <c r="C119" s="409"/>
      <c r="D119" s="409"/>
      <c r="E119" s="409"/>
      <c r="F119" s="409"/>
      <c r="G119" s="409"/>
      <c r="H119" s="409"/>
      <c r="I119" s="409"/>
      <c r="J119" s="409"/>
      <c r="K119" s="409"/>
      <c r="L119" s="409"/>
      <c r="M119" s="409"/>
      <c r="N119" s="409"/>
      <c r="O119" s="409"/>
      <c r="P119" s="409"/>
      <c r="Q119" s="409"/>
      <c r="R119" s="409"/>
      <c r="S119" s="409"/>
      <c r="T119" s="409"/>
      <c r="U119" s="409"/>
      <c r="V119" s="409"/>
      <c r="W119" s="409"/>
      <c r="X119" s="409"/>
      <c r="Y119" s="409"/>
      <c r="Z119" s="409"/>
    </row>
    <row r="120" spans="1:26" ht="12.75" customHeight="1">
      <c r="A120" s="409"/>
      <c r="B120" s="409"/>
      <c r="C120" s="409"/>
      <c r="D120" s="409"/>
      <c r="E120" s="409"/>
      <c r="F120" s="409"/>
      <c r="G120" s="409"/>
      <c r="H120" s="409"/>
      <c r="I120" s="409"/>
      <c r="J120" s="409"/>
      <c r="K120" s="409"/>
      <c r="L120" s="409"/>
      <c r="M120" s="409"/>
      <c r="N120" s="409"/>
      <c r="O120" s="409"/>
      <c r="P120" s="409"/>
      <c r="Q120" s="409"/>
      <c r="R120" s="409"/>
      <c r="S120" s="409"/>
      <c r="T120" s="409"/>
      <c r="U120" s="409"/>
      <c r="V120" s="409"/>
      <c r="W120" s="409"/>
      <c r="X120" s="409"/>
      <c r="Y120" s="409"/>
      <c r="Z120" s="409"/>
    </row>
    <row r="121" spans="1:26" ht="12.75" customHeight="1">
      <c r="A121" s="409"/>
      <c r="B121" s="409"/>
      <c r="C121" s="409"/>
      <c r="D121" s="409"/>
      <c r="E121" s="409"/>
      <c r="F121" s="409"/>
      <c r="G121" s="409"/>
      <c r="H121" s="409"/>
      <c r="I121" s="409"/>
      <c r="J121" s="409"/>
      <c r="K121" s="409"/>
      <c r="L121" s="409"/>
      <c r="M121" s="409"/>
      <c r="N121" s="409"/>
      <c r="O121" s="409"/>
      <c r="P121" s="409"/>
      <c r="Q121" s="409"/>
      <c r="R121" s="409"/>
      <c r="S121" s="409"/>
      <c r="T121" s="409"/>
      <c r="U121" s="409"/>
      <c r="V121" s="409"/>
      <c r="W121" s="409"/>
      <c r="X121" s="409"/>
      <c r="Y121" s="409"/>
      <c r="Z121" s="409"/>
    </row>
    <row r="122" spans="1:26" ht="12.75" customHeight="1">
      <c r="A122" s="409"/>
      <c r="B122" s="409"/>
      <c r="C122" s="409"/>
      <c r="D122" s="409"/>
      <c r="E122" s="409"/>
      <c r="F122" s="409"/>
      <c r="G122" s="409"/>
      <c r="H122" s="409"/>
      <c r="I122" s="409"/>
      <c r="J122" s="409"/>
      <c r="K122" s="409"/>
      <c r="L122" s="409"/>
      <c r="M122" s="409"/>
      <c r="N122" s="409"/>
      <c r="O122" s="409"/>
      <c r="P122" s="409"/>
      <c r="Q122" s="409"/>
      <c r="R122" s="409"/>
      <c r="S122" s="409"/>
      <c r="T122" s="409"/>
      <c r="U122" s="409"/>
      <c r="V122" s="409"/>
      <c r="W122" s="409"/>
      <c r="X122" s="409"/>
      <c r="Y122" s="409"/>
      <c r="Z122" s="409"/>
    </row>
    <row r="123" spans="1:26" ht="12.75" customHeight="1">
      <c r="A123" s="409"/>
      <c r="B123" s="409"/>
      <c r="C123" s="409"/>
      <c r="D123" s="409"/>
      <c r="E123" s="409"/>
      <c r="F123" s="409"/>
      <c r="G123" s="409"/>
      <c r="H123" s="409"/>
      <c r="I123" s="409"/>
      <c r="J123" s="409"/>
      <c r="K123" s="409"/>
      <c r="L123" s="409"/>
      <c r="M123" s="409"/>
      <c r="N123" s="409"/>
      <c r="O123" s="409"/>
      <c r="P123" s="409"/>
      <c r="Q123" s="409"/>
      <c r="R123" s="409"/>
      <c r="S123" s="409"/>
      <c r="T123" s="409"/>
      <c r="U123" s="409"/>
      <c r="V123" s="409"/>
      <c r="W123" s="409"/>
      <c r="X123" s="409"/>
      <c r="Y123" s="409"/>
      <c r="Z123" s="409"/>
    </row>
    <row r="124" spans="1:26" ht="12.75" customHeight="1">
      <c r="A124" s="409"/>
      <c r="B124" s="409"/>
      <c r="C124" s="409"/>
      <c r="D124" s="409"/>
      <c r="E124" s="409"/>
      <c r="F124" s="409"/>
      <c r="G124" s="409"/>
      <c r="H124" s="409"/>
      <c r="I124" s="409"/>
      <c r="J124" s="409"/>
      <c r="K124" s="409"/>
      <c r="L124" s="409"/>
      <c r="M124" s="409"/>
      <c r="N124" s="409"/>
      <c r="O124" s="409"/>
      <c r="P124" s="409"/>
      <c r="Q124" s="409"/>
      <c r="R124" s="409"/>
      <c r="S124" s="409"/>
      <c r="T124" s="409"/>
      <c r="U124" s="409"/>
      <c r="V124" s="409"/>
      <c r="W124" s="409"/>
      <c r="X124" s="409"/>
      <c r="Y124" s="409"/>
      <c r="Z124" s="409"/>
    </row>
    <row r="125" spans="1:26" ht="12.75" customHeight="1">
      <c r="A125" s="409"/>
      <c r="B125" s="409"/>
      <c r="C125" s="409"/>
      <c r="D125" s="409"/>
      <c r="E125" s="409"/>
      <c r="F125" s="409"/>
      <c r="G125" s="409"/>
      <c r="H125" s="409"/>
      <c r="I125" s="409"/>
      <c r="J125" s="409"/>
      <c r="K125" s="409"/>
      <c r="L125" s="409"/>
      <c r="M125" s="409"/>
      <c r="N125" s="409"/>
      <c r="O125" s="409"/>
      <c r="P125" s="409"/>
      <c r="Q125" s="409"/>
      <c r="R125" s="409"/>
      <c r="S125" s="409"/>
      <c r="T125" s="409"/>
      <c r="U125" s="409"/>
      <c r="V125" s="409"/>
      <c r="W125" s="409"/>
      <c r="X125" s="409"/>
      <c r="Y125" s="409"/>
      <c r="Z125" s="409"/>
    </row>
    <row r="126" spans="1:26" ht="12.75" customHeight="1">
      <c r="A126" s="409"/>
      <c r="B126" s="409"/>
      <c r="C126" s="409"/>
      <c r="D126" s="409"/>
      <c r="E126" s="409"/>
      <c r="F126" s="409"/>
      <c r="G126" s="409"/>
      <c r="H126" s="409"/>
      <c r="I126" s="409"/>
      <c r="J126" s="409"/>
      <c r="K126" s="409"/>
      <c r="L126" s="409"/>
      <c r="M126" s="409"/>
      <c r="N126" s="409"/>
      <c r="O126" s="409"/>
      <c r="P126" s="409"/>
      <c r="Q126" s="409"/>
      <c r="R126" s="409"/>
      <c r="S126" s="409"/>
      <c r="T126" s="409"/>
      <c r="U126" s="409"/>
      <c r="V126" s="409"/>
      <c r="W126" s="409"/>
      <c r="X126" s="409"/>
      <c r="Y126" s="409"/>
      <c r="Z126" s="409"/>
    </row>
    <row r="127" spans="1:26" ht="12.75" customHeight="1">
      <c r="A127" s="409"/>
      <c r="B127" s="409"/>
      <c r="C127" s="409"/>
      <c r="D127" s="409"/>
      <c r="E127" s="409"/>
      <c r="F127" s="409"/>
      <c r="G127" s="409"/>
      <c r="H127" s="409"/>
      <c r="I127" s="409"/>
      <c r="J127" s="409"/>
      <c r="K127" s="409"/>
      <c r="L127" s="409"/>
      <c r="M127" s="409"/>
      <c r="N127" s="409"/>
      <c r="O127" s="409"/>
      <c r="P127" s="409"/>
      <c r="Q127" s="409"/>
      <c r="R127" s="409"/>
      <c r="S127" s="409"/>
      <c r="T127" s="409"/>
      <c r="U127" s="409"/>
      <c r="V127" s="409"/>
      <c r="W127" s="409"/>
      <c r="X127" s="409"/>
      <c r="Y127" s="409"/>
      <c r="Z127" s="409"/>
    </row>
    <row r="128" spans="1:26" ht="12.75" customHeight="1">
      <c r="A128" s="409"/>
      <c r="B128" s="409"/>
      <c r="C128" s="409"/>
      <c r="D128" s="409"/>
      <c r="E128" s="409"/>
      <c r="F128" s="409"/>
      <c r="G128" s="409"/>
      <c r="H128" s="409"/>
      <c r="I128" s="409"/>
      <c r="J128" s="409"/>
      <c r="K128" s="409"/>
      <c r="L128" s="409"/>
      <c r="M128" s="409"/>
      <c r="N128" s="409"/>
      <c r="O128" s="409"/>
      <c r="P128" s="409"/>
      <c r="Q128" s="409"/>
      <c r="R128" s="409"/>
      <c r="S128" s="409"/>
      <c r="T128" s="409"/>
      <c r="U128" s="409"/>
      <c r="V128" s="409"/>
      <c r="W128" s="409"/>
      <c r="X128" s="409"/>
      <c r="Y128" s="409"/>
      <c r="Z128" s="409"/>
    </row>
    <row r="129" spans="1:26" ht="12.75" customHeight="1">
      <c r="A129" s="409"/>
      <c r="B129" s="409"/>
      <c r="C129" s="409"/>
      <c r="D129" s="409"/>
      <c r="E129" s="409"/>
      <c r="F129" s="409"/>
      <c r="G129" s="409"/>
      <c r="H129" s="409"/>
      <c r="I129" s="409"/>
      <c r="J129" s="409"/>
      <c r="K129" s="409"/>
      <c r="L129" s="409"/>
      <c r="M129" s="409"/>
      <c r="N129" s="409"/>
      <c r="O129" s="409"/>
      <c r="P129" s="409"/>
      <c r="Q129" s="409"/>
      <c r="R129" s="409"/>
      <c r="S129" s="409"/>
      <c r="T129" s="409"/>
      <c r="U129" s="409"/>
      <c r="V129" s="409"/>
      <c r="W129" s="409"/>
      <c r="X129" s="409"/>
      <c r="Y129" s="409"/>
      <c r="Z129" s="409"/>
    </row>
    <row r="130" spans="1:26" ht="12.75" customHeight="1">
      <c r="A130" s="409"/>
      <c r="B130" s="409"/>
      <c r="C130" s="409"/>
      <c r="D130" s="409"/>
      <c r="E130" s="409"/>
      <c r="F130" s="409"/>
      <c r="G130" s="409"/>
      <c r="H130" s="409"/>
      <c r="I130" s="409"/>
      <c r="J130" s="409"/>
      <c r="K130" s="409"/>
      <c r="L130" s="409"/>
      <c r="M130" s="409"/>
      <c r="N130" s="409"/>
      <c r="O130" s="409"/>
      <c r="P130" s="409"/>
      <c r="Q130" s="409"/>
      <c r="R130" s="409"/>
      <c r="S130" s="409"/>
      <c r="T130" s="409"/>
      <c r="U130" s="409"/>
      <c r="V130" s="409"/>
      <c r="W130" s="409"/>
      <c r="X130" s="409"/>
      <c r="Y130" s="409"/>
      <c r="Z130" s="409"/>
    </row>
    <row r="131" spans="1:26" ht="12.75" customHeight="1">
      <c r="A131" s="409"/>
      <c r="B131" s="409"/>
      <c r="C131" s="409"/>
      <c r="D131" s="409"/>
      <c r="E131" s="409"/>
      <c r="F131" s="409"/>
      <c r="G131" s="409"/>
      <c r="H131" s="409"/>
      <c r="I131" s="409"/>
      <c r="J131" s="409"/>
      <c r="K131" s="409"/>
      <c r="L131" s="409"/>
      <c r="M131" s="409"/>
      <c r="N131" s="409"/>
      <c r="O131" s="409"/>
      <c r="P131" s="409"/>
      <c r="Q131" s="409"/>
      <c r="R131" s="409"/>
      <c r="S131" s="409"/>
      <c r="T131" s="409"/>
      <c r="U131" s="409"/>
      <c r="V131" s="409"/>
      <c r="W131" s="409"/>
      <c r="X131" s="409"/>
      <c r="Y131" s="409"/>
      <c r="Z131" s="409"/>
    </row>
    <row r="132" spans="1:26" ht="12.75" customHeight="1">
      <c r="A132" s="409"/>
      <c r="B132" s="409"/>
      <c r="C132" s="409"/>
      <c r="D132" s="409"/>
      <c r="E132" s="409"/>
      <c r="F132" s="409"/>
      <c r="G132" s="409"/>
      <c r="H132" s="409"/>
      <c r="I132" s="409"/>
      <c r="J132" s="409"/>
      <c r="K132" s="409"/>
      <c r="L132" s="409"/>
      <c r="M132" s="409"/>
      <c r="N132" s="409"/>
      <c r="O132" s="409"/>
      <c r="P132" s="409"/>
      <c r="Q132" s="409"/>
      <c r="R132" s="409"/>
      <c r="S132" s="409"/>
      <c r="T132" s="409"/>
      <c r="U132" s="409"/>
      <c r="V132" s="409"/>
      <c r="W132" s="409"/>
      <c r="X132" s="409"/>
      <c r="Y132" s="409"/>
      <c r="Z132" s="409"/>
    </row>
    <row r="133" spans="1:26" ht="12.75" customHeight="1">
      <c r="A133" s="409"/>
      <c r="B133" s="409"/>
      <c r="C133" s="409"/>
      <c r="D133" s="409"/>
      <c r="E133" s="409"/>
      <c r="F133" s="409"/>
      <c r="G133" s="409"/>
      <c r="H133" s="409"/>
      <c r="I133" s="409"/>
      <c r="J133" s="409"/>
      <c r="K133" s="409"/>
      <c r="L133" s="409"/>
      <c r="M133" s="409"/>
      <c r="N133" s="409"/>
      <c r="O133" s="409"/>
      <c r="P133" s="409"/>
      <c r="Q133" s="409"/>
      <c r="R133" s="409"/>
      <c r="S133" s="409"/>
      <c r="T133" s="409"/>
      <c r="U133" s="409"/>
      <c r="V133" s="409"/>
      <c r="W133" s="409"/>
      <c r="X133" s="409"/>
      <c r="Y133" s="409"/>
      <c r="Z133" s="409"/>
    </row>
    <row r="134" spans="1:26" ht="12.75" customHeight="1">
      <c r="A134" s="409"/>
      <c r="B134" s="409"/>
      <c r="C134" s="409"/>
      <c r="D134" s="409"/>
      <c r="E134" s="409"/>
      <c r="F134" s="409"/>
      <c r="G134" s="409"/>
      <c r="H134" s="409"/>
      <c r="I134" s="409"/>
      <c r="J134" s="409"/>
      <c r="K134" s="409"/>
      <c r="L134" s="409"/>
      <c r="M134" s="409"/>
      <c r="N134" s="409"/>
      <c r="O134" s="409"/>
      <c r="P134" s="409"/>
      <c r="Q134" s="409"/>
      <c r="R134" s="409"/>
      <c r="S134" s="409"/>
      <c r="T134" s="409"/>
      <c r="U134" s="409"/>
      <c r="V134" s="409"/>
      <c r="W134" s="409"/>
      <c r="X134" s="409"/>
      <c r="Y134" s="409"/>
      <c r="Z134" s="409"/>
    </row>
    <row r="135" spans="1:26" ht="12.75" customHeight="1">
      <c r="A135" s="409"/>
      <c r="B135" s="409"/>
      <c r="C135" s="409"/>
      <c r="D135" s="409"/>
      <c r="E135" s="409"/>
      <c r="F135" s="409"/>
      <c r="G135" s="409"/>
      <c r="H135" s="409"/>
      <c r="I135" s="409"/>
      <c r="J135" s="409"/>
      <c r="K135" s="409"/>
      <c r="L135" s="409"/>
      <c r="M135" s="409"/>
      <c r="N135" s="409"/>
      <c r="O135" s="409"/>
      <c r="P135" s="409"/>
      <c r="Q135" s="409"/>
      <c r="R135" s="409"/>
      <c r="S135" s="409"/>
      <c r="T135" s="409"/>
      <c r="U135" s="409"/>
      <c r="V135" s="409"/>
      <c r="W135" s="409"/>
      <c r="X135" s="409"/>
      <c r="Y135" s="409"/>
      <c r="Z135" s="409"/>
    </row>
    <row r="136" spans="1:26" ht="12.75" customHeight="1">
      <c r="A136" s="409"/>
      <c r="B136" s="409"/>
      <c r="C136" s="409"/>
      <c r="D136" s="409"/>
      <c r="E136" s="409"/>
      <c r="F136" s="409"/>
      <c r="G136" s="409"/>
      <c r="H136" s="409"/>
      <c r="I136" s="409"/>
      <c r="J136" s="409"/>
      <c r="K136" s="409"/>
      <c r="L136" s="409"/>
      <c r="M136" s="409"/>
      <c r="N136" s="409"/>
      <c r="O136" s="409"/>
      <c r="P136" s="409"/>
      <c r="Q136" s="409"/>
      <c r="R136" s="409"/>
      <c r="S136" s="409"/>
      <c r="T136" s="409"/>
      <c r="U136" s="409"/>
      <c r="V136" s="409"/>
      <c r="W136" s="409"/>
      <c r="X136" s="409"/>
      <c r="Y136" s="409"/>
      <c r="Z136" s="409"/>
    </row>
    <row r="137" spans="1:26" ht="12.75" customHeight="1">
      <c r="A137" s="409"/>
      <c r="B137" s="409"/>
      <c r="C137" s="409"/>
      <c r="D137" s="409"/>
      <c r="E137" s="409"/>
      <c r="F137" s="409"/>
      <c r="G137" s="409"/>
      <c r="H137" s="409"/>
      <c r="I137" s="409"/>
      <c r="J137" s="409"/>
      <c r="K137" s="409"/>
      <c r="L137" s="409"/>
      <c r="M137" s="409"/>
      <c r="N137" s="409"/>
      <c r="O137" s="409"/>
      <c r="P137" s="409"/>
      <c r="Q137" s="409"/>
      <c r="R137" s="409"/>
      <c r="S137" s="409"/>
      <c r="T137" s="409"/>
      <c r="U137" s="409"/>
      <c r="V137" s="409"/>
      <c r="W137" s="409"/>
      <c r="X137" s="409"/>
      <c r="Y137" s="409"/>
      <c r="Z137" s="409"/>
    </row>
    <row r="138" spans="1:26" ht="12.75" customHeight="1">
      <c r="A138" s="409"/>
      <c r="B138" s="409"/>
      <c r="C138" s="409"/>
      <c r="D138" s="409"/>
      <c r="E138" s="409"/>
      <c r="F138" s="409"/>
      <c r="G138" s="409"/>
      <c r="H138" s="409"/>
      <c r="I138" s="409"/>
      <c r="J138" s="409"/>
      <c r="K138" s="409"/>
      <c r="L138" s="409"/>
      <c r="M138" s="409"/>
      <c r="N138" s="409"/>
      <c r="O138" s="409"/>
      <c r="P138" s="409"/>
      <c r="Q138" s="409"/>
      <c r="R138" s="409"/>
      <c r="S138" s="409"/>
      <c r="T138" s="409"/>
      <c r="U138" s="409"/>
      <c r="V138" s="409"/>
      <c r="W138" s="409"/>
      <c r="X138" s="409"/>
      <c r="Y138" s="409"/>
      <c r="Z138" s="409"/>
    </row>
    <row r="139" spans="1:26" ht="12.75" customHeight="1">
      <c r="A139" s="409"/>
      <c r="B139" s="409"/>
      <c r="C139" s="409"/>
      <c r="D139" s="409"/>
      <c r="E139" s="409"/>
      <c r="F139" s="409"/>
      <c r="G139" s="409"/>
      <c r="H139" s="409"/>
      <c r="I139" s="409"/>
      <c r="J139" s="409"/>
      <c r="K139" s="409"/>
      <c r="L139" s="409"/>
      <c r="M139" s="409"/>
      <c r="N139" s="409"/>
      <c r="O139" s="409"/>
      <c r="P139" s="409"/>
      <c r="Q139" s="409"/>
      <c r="R139" s="409"/>
      <c r="S139" s="409"/>
      <c r="T139" s="409"/>
      <c r="U139" s="409"/>
      <c r="V139" s="409"/>
      <c r="W139" s="409"/>
      <c r="X139" s="409"/>
      <c r="Y139" s="409"/>
      <c r="Z139" s="409"/>
    </row>
    <row r="140" spans="1:26" ht="12.75" customHeight="1">
      <c r="A140" s="409"/>
      <c r="B140" s="409"/>
      <c r="C140" s="409"/>
      <c r="D140" s="409"/>
      <c r="E140" s="409"/>
      <c r="F140" s="409"/>
      <c r="G140" s="409"/>
      <c r="H140" s="409"/>
      <c r="I140" s="409"/>
      <c r="J140" s="409"/>
      <c r="K140" s="409"/>
      <c r="L140" s="409"/>
      <c r="M140" s="409"/>
      <c r="N140" s="409"/>
      <c r="O140" s="409"/>
      <c r="P140" s="409"/>
      <c r="Q140" s="409"/>
      <c r="R140" s="409"/>
      <c r="S140" s="409"/>
      <c r="T140" s="409"/>
      <c r="U140" s="409"/>
      <c r="V140" s="409"/>
      <c r="W140" s="409"/>
      <c r="X140" s="409"/>
      <c r="Y140" s="409"/>
      <c r="Z140" s="409"/>
    </row>
    <row r="141" spans="1:26" ht="12.75" customHeight="1">
      <c r="A141" s="409"/>
      <c r="B141" s="409"/>
      <c r="C141" s="409"/>
      <c r="D141" s="409"/>
      <c r="E141" s="409"/>
      <c r="F141" s="409"/>
      <c r="G141" s="409"/>
      <c r="H141" s="409"/>
      <c r="I141" s="409"/>
      <c r="J141" s="409"/>
      <c r="K141" s="409"/>
      <c r="L141" s="409"/>
      <c r="M141" s="409"/>
      <c r="N141" s="409"/>
      <c r="O141" s="409"/>
      <c r="P141" s="409"/>
      <c r="Q141" s="409"/>
      <c r="R141" s="409"/>
      <c r="S141" s="409"/>
      <c r="T141" s="409"/>
      <c r="U141" s="409"/>
      <c r="V141" s="409"/>
      <c r="W141" s="409"/>
      <c r="X141" s="409"/>
      <c r="Y141" s="409"/>
      <c r="Z141" s="409"/>
    </row>
    <row r="142" spans="1:26" ht="12.75" customHeight="1">
      <c r="A142" s="409"/>
      <c r="B142" s="409"/>
      <c r="C142" s="409"/>
      <c r="D142" s="409"/>
      <c r="E142" s="409"/>
      <c r="F142" s="409"/>
      <c r="G142" s="409"/>
      <c r="H142" s="409"/>
      <c r="I142" s="409"/>
      <c r="J142" s="409"/>
      <c r="K142" s="409"/>
      <c r="L142" s="409"/>
      <c r="M142" s="409"/>
      <c r="N142" s="409"/>
      <c r="O142" s="409"/>
      <c r="P142" s="409"/>
      <c r="Q142" s="409"/>
      <c r="R142" s="409"/>
      <c r="S142" s="409"/>
      <c r="T142" s="409"/>
      <c r="U142" s="409"/>
      <c r="V142" s="409"/>
      <c r="W142" s="409"/>
      <c r="X142" s="409"/>
      <c r="Y142" s="409"/>
      <c r="Z142" s="409"/>
    </row>
    <row r="143" spans="1:26" ht="12.75" customHeight="1">
      <c r="A143" s="409"/>
      <c r="B143" s="409"/>
      <c r="C143" s="409"/>
      <c r="D143" s="409"/>
      <c r="E143" s="409"/>
      <c r="F143" s="409"/>
      <c r="G143" s="409"/>
      <c r="H143" s="409"/>
      <c r="I143" s="409"/>
      <c r="J143" s="409"/>
      <c r="K143" s="409"/>
      <c r="L143" s="409"/>
      <c r="M143" s="409"/>
      <c r="N143" s="409"/>
      <c r="O143" s="409"/>
      <c r="P143" s="409"/>
      <c r="Q143" s="409"/>
      <c r="R143" s="409"/>
      <c r="S143" s="409"/>
      <c r="T143" s="409"/>
      <c r="U143" s="409"/>
      <c r="V143" s="409"/>
      <c r="W143" s="409"/>
      <c r="X143" s="409"/>
      <c r="Y143" s="409"/>
      <c r="Z143" s="409"/>
    </row>
    <row r="144" spans="1:26" ht="12.75" customHeight="1">
      <c r="A144" s="409"/>
      <c r="B144" s="409"/>
      <c r="C144" s="409"/>
      <c r="D144" s="409"/>
      <c r="E144" s="409"/>
      <c r="F144" s="409"/>
      <c r="G144" s="409"/>
      <c r="H144" s="409"/>
      <c r="I144" s="409"/>
      <c r="J144" s="409"/>
      <c r="K144" s="409"/>
      <c r="L144" s="409"/>
      <c r="M144" s="409"/>
      <c r="N144" s="409"/>
      <c r="O144" s="409"/>
      <c r="P144" s="409"/>
      <c r="Q144" s="409"/>
      <c r="R144" s="409"/>
      <c r="S144" s="409"/>
      <c r="T144" s="409"/>
      <c r="U144" s="409"/>
      <c r="V144" s="409"/>
      <c r="W144" s="409"/>
      <c r="X144" s="409"/>
      <c r="Y144" s="409"/>
      <c r="Z144" s="409"/>
    </row>
    <row r="145" spans="1:26" ht="12.75" customHeight="1">
      <c r="A145" s="409"/>
      <c r="B145" s="409"/>
      <c r="C145" s="409"/>
      <c r="D145" s="409"/>
      <c r="E145" s="409"/>
      <c r="F145" s="409"/>
      <c r="G145" s="409"/>
      <c r="H145" s="409"/>
      <c r="I145" s="409"/>
      <c r="J145" s="409"/>
      <c r="K145" s="409"/>
      <c r="L145" s="409"/>
      <c r="M145" s="409"/>
      <c r="N145" s="409"/>
      <c r="O145" s="409"/>
      <c r="P145" s="409"/>
      <c r="Q145" s="409"/>
      <c r="R145" s="409"/>
      <c r="S145" s="409"/>
      <c r="T145" s="409"/>
      <c r="U145" s="409"/>
      <c r="V145" s="409"/>
      <c r="W145" s="409"/>
      <c r="X145" s="409"/>
      <c r="Y145" s="409"/>
      <c r="Z145" s="409"/>
    </row>
    <row r="146" spans="1:26" ht="12.75" customHeight="1">
      <c r="A146" s="409"/>
      <c r="B146" s="409"/>
      <c r="C146" s="409"/>
      <c r="D146" s="409"/>
      <c r="E146" s="409"/>
      <c r="F146" s="409"/>
      <c r="G146" s="409"/>
      <c r="H146" s="409"/>
      <c r="I146" s="409"/>
      <c r="J146" s="409"/>
      <c r="K146" s="409"/>
      <c r="L146" s="409"/>
      <c r="M146" s="409"/>
      <c r="N146" s="409"/>
      <c r="O146" s="409"/>
      <c r="P146" s="409"/>
      <c r="Q146" s="409"/>
      <c r="R146" s="409"/>
      <c r="S146" s="409"/>
      <c r="T146" s="409"/>
      <c r="U146" s="409"/>
      <c r="V146" s="409"/>
      <c r="W146" s="409"/>
      <c r="X146" s="409"/>
      <c r="Y146" s="409"/>
      <c r="Z146" s="409"/>
    </row>
    <row r="147" spans="1:26" ht="12.75" customHeight="1">
      <c r="A147" s="409"/>
      <c r="B147" s="409"/>
      <c r="C147" s="409"/>
      <c r="D147" s="409"/>
      <c r="E147" s="409"/>
      <c r="F147" s="409"/>
      <c r="G147" s="409"/>
      <c r="H147" s="409"/>
      <c r="I147" s="409"/>
      <c r="J147" s="409"/>
      <c r="K147" s="409"/>
      <c r="L147" s="409"/>
      <c r="M147" s="409"/>
      <c r="N147" s="409"/>
      <c r="O147" s="409"/>
      <c r="P147" s="409"/>
      <c r="Q147" s="409"/>
      <c r="R147" s="409"/>
      <c r="S147" s="409"/>
      <c r="T147" s="409"/>
      <c r="U147" s="409"/>
      <c r="V147" s="409"/>
      <c r="W147" s="409"/>
      <c r="X147" s="409"/>
      <c r="Y147" s="409"/>
      <c r="Z147" s="409"/>
    </row>
    <row r="148" spans="1:26" ht="12.75" customHeight="1">
      <c r="A148" s="409"/>
      <c r="B148" s="409"/>
      <c r="C148" s="409"/>
      <c r="D148" s="409"/>
      <c r="E148" s="409"/>
      <c r="F148" s="409"/>
      <c r="G148" s="409"/>
      <c r="H148" s="409"/>
      <c r="I148" s="409"/>
      <c r="J148" s="409"/>
      <c r="K148" s="409"/>
      <c r="L148" s="409"/>
      <c r="M148" s="409"/>
      <c r="N148" s="409"/>
      <c r="O148" s="409"/>
      <c r="P148" s="409"/>
      <c r="Q148" s="409"/>
      <c r="R148" s="409"/>
      <c r="S148" s="409"/>
      <c r="T148" s="409"/>
      <c r="U148" s="409"/>
      <c r="V148" s="409"/>
      <c r="W148" s="409"/>
      <c r="X148" s="409"/>
      <c r="Y148" s="409"/>
      <c r="Z148" s="409"/>
    </row>
    <row r="149" spans="1:26" ht="12.75" customHeight="1">
      <c r="A149" s="409"/>
      <c r="B149" s="409"/>
      <c r="C149" s="409"/>
      <c r="D149" s="409"/>
      <c r="E149" s="409"/>
      <c r="F149" s="409"/>
      <c r="G149" s="409"/>
      <c r="H149" s="409"/>
      <c r="I149" s="409"/>
      <c r="J149" s="409"/>
      <c r="K149" s="409"/>
      <c r="L149" s="409"/>
      <c r="M149" s="409"/>
      <c r="N149" s="409"/>
      <c r="O149" s="409"/>
      <c r="P149" s="409"/>
      <c r="Q149" s="409"/>
      <c r="R149" s="409"/>
      <c r="S149" s="409"/>
      <c r="T149" s="409"/>
      <c r="U149" s="409"/>
      <c r="V149" s="409"/>
      <c r="W149" s="409"/>
      <c r="X149" s="409"/>
      <c r="Y149" s="409"/>
      <c r="Z149" s="409"/>
    </row>
    <row r="150" spans="1:26" ht="12.75" customHeight="1">
      <c r="A150" s="409"/>
      <c r="B150" s="409"/>
      <c r="C150" s="409"/>
      <c r="D150" s="409"/>
      <c r="E150" s="409"/>
      <c r="F150" s="409"/>
      <c r="G150" s="409"/>
      <c r="H150" s="409"/>
      <c r="I150" s="409"/>
      <c r="J150" s="409"/>
      <c r="K150" s="409"/>
      <c r="L150" s="409"/>
      <c r="M150" s="409"/>
      <c r="N150" s="409"/>
      <c r="O150" s="409"/>
      <c r="P150" s="409"/>
      <c r="Q150" s="409"/>
      <c r="R150" s="409"/>
      <c r="S150" s="409"/>
      <c r="T150" s="409"/>
      <c r="U150" s="409"/>
      <c r="V150" s="409"/>
      <c r="W150" s="409"/>
      <c r="X150" s="409"/>
      <c r="Y150" s="409"/>
      <c r="Z150" s="409"/>
    </row>
    <row r="151" spans="1:26" ht="12.75" customHeight="1">
      <c r="A151" s="409"/>
      <c r="B151" s="409"/>
      <c r="C151" s="409"/>
      <c r="D151" s="409"/>
      <c r="E151" s="409"/>
      <c r="F151" s="409"/>
      <c r="G151" s="409"/>
      <c r="H151" s="409"/>
      <c r="I151" s="409"/>
      <c r="J151" s="409"/>
      <c r="K151" s="409"/>
      <c r="L151" s="409"/>
      <c r="M151" s="409"/>
      <c r="N151" s="409"/>
      <c r="O151" s="409"/>
      <c r="P151" s="409"/>
      <c r="Q151" s="409"/>
      <c r="R151" s="409"/>
      <c r="S151" s="409"/>
      <c r="T151" s="409"/>
      <c r="U151" s="409"/>
      <c r="V151" s="409"/>
      <c r="W151" s="409"/>
      <c r="X151" s="409"/>
      <c r="Y151" s="409"/>
      <c r="Z151" s="409"/>
    </row>
    <row r="152" spans="1:26" ht="12.75" customHeight="1">
      <c r="A152" s="409"/>
      <c r="B152" s="409"/>
      <c r="C152" s="409"/>
      <c r="D152" s="409"/>
      <c r="E152" s="409"/>
      <c r="F152" s="409"/>
      <c r="G152" s="409"/>
      <c r="H152" s="409"/>
      <c r="I152" s="409"/>
      <c r="J152" s="409"/>
      <c r="K152" s="409"/>
      <c r="L152" s="409"/>
      <c r="M152" s="409"/>
      <c r="N152" s="409"/>
      <c r="O152" s="409"/>
      <c r="P152" s="409"/>
      <c r="Q152" s="409"/>
      <c r="R152" s="409"/>
      <c r="S152" s="409"/>
      <c r="T152" s="409"/>
      <c r="U152" s="409"/>
      <c r="V152" s="409"/>
      <c r="W152" s="409"/>
      <c r="X152" s="409"/>
      <c r="Y152" s="409"/>
      <c r="Z152" s="409"/>
    </row>
    <row r="153" spans="1:26" ht="12.75" customHeight="1">
      <c r="A153" s="409"/>
      <c r="B153" s="409"/>
      <c r="C153" s="409"/>
      <c r="D153" s="409"/>
      <c r="E153" s="409"/>
      <c r="F153" s="409"/>
      <c r="G153" s="409"/>
      <c r="H153" s="409"/>
      <c r="I153" s="409"/>
      <c r="J153" s="409"/>
      <c r="K153" s="409"/>
      <c r="L153" s="409"/>
      <c r="M153" s="409"/>
      <c r="N153" s="409"/>
      <c r="O153" s="409"/>
      <c r="P153" s="409"/>
      <c r="Q153" s="409"/>
      <c r="R153" s="409"/>
      <c r="S153" s="409"/>
      <c r="T153" s="409"/>
      <c r="U153" s="409"/>
      <c r="V153" s="409"/>
      <c r="W153" s="409"/>
      <c r="X153" s="409"/>
      <c r="Y153" s="409"/>
      <c r="Z153" s="409"/>
    </row>
    <row r="154" spans="1:26" ht="12.75" customHeight="1">
      <c r="A154" s="409"/>
      <c r="B154" s="409"/>
      <c r="C154" s="409"/>
      <c r="D154" s="409"/>
      <c r="E154" s="409"/>
      <c r="F154" s="409"/>
      <c r="G154" s="409"/>
      <c r="H154" s="409"/>
      <c r="I154" s="409"/>
      <c r="J154" s="409"/>
      <c r="K154" s="409"/>
      <c r="L154" s="409"/>
      <c r="M154" s="409"/>
      <c r="N154" s="409"/>
      <c r="O154" s="409"/>
      <c r="P154" s="409"/>
      <c r="Q154" s="409"/>
      <c r="R154" s="409"/>
      <c r="S154" s="409"/>
      <c r="T154" s="409"/>
      <c r="U154" s="409"/>
      <c r="V154" s="409"/>
      <c r="W154" s="409"/>
      <c r="X154" s="409"/>
      <c r="Y154" s="409"/>
      <c r="Z154" s="409"/>
    </row>
    <row r="155" spans="1:26" ht="12.75" customHeight="1">
      <c r="A155" s="409"/>
      <c r="B155" s="409"/>
      <c r="C155" s="409"/>
      <c r="D155" s="409"/>
      <c r="E155" s="409"/>
      <c r="F155" s="409"/>
      <c r="G155" s="409"/>
      <c r="H155" s="409"/>
      <c r="I155" s="409"/>
      <c r="J155" s="409"/>
      <c r="K155" s="409"/>
      <c r="L155" s="409"/>
      <c r="M155" s="409"/>
      <c r="N155" s="409"/>
      <c r="O155" s="409"/>
      <c r="P155" s="409"/>
      <c r="Q155" s="409"/>
      <c r="R155" s="409"/>
      <c r="S155" s="409"/>
      <c r="T155" s="409"/>
      <c r="U155" s="409"/>
      <c r="V155" s="409"/>
      <c r="W155" s="409"/>
      <c r="X155" s="409"/>
      <c r="Y155" s="409"/>
      <c r="Z155" s="409"/>
    </row>
    <row r="156" spans="1:26" ht="12.75" customHeight="1">
      <c r="A156" s="409"/>
      <c r="B156" s="409"/>
      <c r="C156" s="409"/>
      <c r="D156" s="409"/>
      <c r="E156" s="409"/>
      <c r="F156" s="409"/>
      <c r="G156" s="409"/>
      <c r="H156" s="409"/>
      <c r="I156" s="409"/>
      <c r="J156" s="409"/>
      <c r="K156" s="409"/>
      <c r="L156" s="409"/>
      <c r="M156" s="409"/>
      <c r="N156" s="409"/>
      <c r="O156" s="409"/>
      <c r="P156" s="409"/>
      <c r="Q156" s="409"/>
      <c r="R156" s="409"/>
      <c r="S156" s="409"/>
      <c r="T156" s="409"/>
      <c r="U156" s="409"/>
      <c r="V156" s="409"/>
      <c r="W156" s="409"/>
      <c r="X156" s="409"/>
      <c r="Y156" s="409"/>
      <c r="Z156" s="409"/>
    </row>
    <row r="157" spans="1:26" ht="12.75" customHeight="1">
      <c r="A157" s="409"/>
      <c r="B157" s="409"/>
      <c r="C157" s="409"/>
      <c r="D157" s="409"/>
      <c r="E157" s="409"/>
      <c r="F157" s="409"/>
      <c r="G157" s="409"/>
      <c r="H157" s="409"/>
      <c r="I157" s="409"/>
      <c r="J157" s="409"/>
      <c r="K157" s="409"/>
      <c r="L157" s="409"/>
      <c r="M157" s="409"/>
      <c r="N157" s="409"/>
      <c r="O157" s="409"/>
      <c r="P157" s="409"/>
      <c r="Q157" s="409"/>
      <c r="R157" s="409"/>
      <c r="S157" s="409"/>
      <c r="T157" s="409"/>
      <c r="U157" s="409"/>
      <c r="V157" s="409"/>
      <c r="W157" s="409"/>
      <c r="X157" s="409"/>
      <c r="Y157" s="409"/>
      <c r="Z157" s="409"/>
    </row>
    <row r="158" spans="1:26" ht="12.75" customHeight="1">
      <c r="A158" s="409"/>
      <c r="B158" s="409"/>
      <c r="C158" s="409"/>
      <c r="D158" s="409"/>
      <c r="E158" s="409"/>
      <c r="F158" s="409"/>
      <c r="G158" s="409"/>
      <c r="H158" s="409"/>
      <c r="I158" s="409"/>
      <c r="J158" s="409"/>
      <c r="K158" s="409"/>
      <c r="L158" s="409"/>
      <c r="M158" s="409"/>
      <c r="N158" s="409"/>
      <c r="O158" s="409"/>
      <c r="P158" s="409"/>
      <c r="Q158" s="409"/>
      <c r="R158" s="409"/>
      <c r="S158" s="409"/>
      <c r="T158" s="409"/>
      <c r="U158" s="409"/>
      <c r="V158" s="409"/>
      <c r="W158" s="409"/>
      <c r="X158" s="409"/>
      <c r="Y158" s="409"/>
      <c r="Z158" s="409"/>
    </row>
    <row r="159" spans="1:26" ht="12.75" customHeight="1">
      <c r="A159" s="409"/>
      <c r="B159" s="409"/>
      <c r="C159" s="409"/>
      <c r="D159" s="409"/>
      <c r="E159" s="409"/>
      <c r="F159" s="409"/>
      <c r="G159" s="409"/>
      <c r="H159" s="409"/>
      <c r="I159" s="409"/>
      <c r="J159" s="409"/>
      <c r="K159" s="409"/>
      <c r="L159" s="409"/>
      <c r="M159" s="409"/>
      <c r="N159" s="409"/>
      <c r="O159" s="409"/>
      <c r="P159" s="409"/>
      <c r="Q159" s="409"/>
      <c r="R159" s="409"/>
      <c r="S159" s="409"/>
      <c r="T159" s="409"/>
      <c r="U159" s="409"/>
      <c r="V159" s="409"/>
      <c r="W159" s="409"/>
      <c r="X159" s="409"/>
      <c r="Y159" s="409"/>
      <c r="Z159" s="409"/>
    </row>
    <row r="160" spans="1:26" ht="12.75" customHeight="1">
      <c r="A160" s="409"/>
      <c r="B160" s="409"/>
      <c r="C160" s="409"/>
      <c r="D160" s="409"/>
      <c r="E160" s="409"/>
      <c r="F160" s="409"/>
      <c r="G160" s="409"/>
      <c r="H160" s="409"/>
      <c r="I160" s="409"/>
      <c r="J160" s="409"/>
      <c r="K160" s="409"/>
      <c r="L160" s="409"/>
      <c r="M160" s="409"/>
      <c r="N160" s="409"/>
      <c r="O160" s="409"/>
      <c r="P160" s="409"/>
      <c r="Q160" s="409"/>
      <c r="R160" s="409"/>
      <c r="S160" s="409"/>
      <c r="T160" s="409"/>
      <c r="U160" s="409"/>
      <c r="V160" s="409"/>
      <c r="W160" s="409"/>
      <c r="X160" s="409"/>
      <c r="Y160" s="409"/>
      <c r="Z160" s="409"/>
    </row>
    <row r="161" spans="1:26" ht="12.75" customHeight="1">
      <c r="A161" s="409"/>
      <c r="B161" s="409"/>
      <c r="C161" s="409"/>
      <c r="D161" s="409"/>
      <c r="E161" s="409"/>
      <c r="F161" s="409"/>
      <c r="G161" s="409"/>
      <c r="H161" s="409"/>
      <c r="I161" s="409"/>
      <c r="J161" s="409"/>
      <c r="K161" s="409"/>
      <c r="L161" s="409"/>
      <c r="M161" s="409"/>
      <c r="N161" s="409"/>
      <c r="O161" s="409"/>
      <c r="P161" s="409"/>
      <c r="Q161" s="409"/>
      <c r="R161" s="409"/>
      <c r="S161" s="409"/>
      <c r="T161" s="409"/>
      <c r="U161" s="409"/>
      <c r="V161" s="409"/>
      <c r="W161" s="409"/>
      <c r="X161" s="409"/>
      <c r="Y161" s="409"/>
      <c r="Z161" s="409"/>
    </row>
    <row r="162" spans="1:26" ht="12.75" customHeight="1">
      <c r="A162" s="409"/>
      <c r="B162" s="409"/>
      <c r="C162" s="409"/>
      <c r="D162" s="409"/>
      <c r="E162" s="409"/>
      <c r="F162" s="409"/>
      <c r="G162" s="409"/>
      <c r="H162" s="409"/>
      <c r="I162" s="409"/>
      <c r="J162" s="409"/>
      <c r="K162" s="409"/>
      <c r="L162" s="409"/>
      <c r="M162" s="409"/>
      <c r="N162" s="409"/>
      <c r="O162" s="409"/>
      <c r="P162" s="409"/>
      <c r="Q162" s="409"/>
      <c r="R162" s="409"/>
      <c r="S162" s="409"/>
      <c r="T162" s="409"/>
      <c r="U162" s="409"/>
      <c r="V162" s="409"/>
      <c r="W162" s="409"/>
      <c r="X162" s="409"/>
      <c r="Y162" s="409"/>
      <c r="Z162" s="409"/>
    </row>
    <row r="163" spans="1:26" ht="12.75" customHeight="1">
      <c r="A163" s="409"/>
      <c r="B163" s="409"/>
      <c r="C163" s="409"/>
      <c r="D163" s="409"/>
      <c r="E163" s="409"/>
      <c r="F163" s="409"/>
      <c r="G163" s="409"/>
      <c r="H163" s="409"/>
      <c r="I163" s="409"/>
      <c r="J163" s="409"/>
      <c r="K163" s="409"/>
      <c r="L163" s="409"/>
      <c r="M163" s="409"/>
      <c r="N163" s="409"/>
      <c r="O163" s="409"/>
      <c r="P163" s="409"/>
      <c r="Q163" s="409"/>
      <c r="R163" s="409"/>
      <c r="S163" s="409"/>
      <c r="T163" s="409"/>
      <c r="U163" s="409"/>
      <c r="V163" s="409"/>
      <c r="W163" s="409"/>
      <c r="X163" s="409"/>
      <c r="Y163" s="409"/>
      <c r="Z163" s="409"/>
    </row>
    <row r="164" spans="1:26" ht="12.75" customHeight="1">
      <c r="A164" s="409"/>
      <c r="B164" s="409"/>
      <c r="C164" s="409"/>
      <c r="D164" s="409"/>
      <c r="E164" s="409"/>
      <c r="F164" s="409"/>
      <c r="G164" s="409"/>
      <c r="H164" s="409"/>
      <c r="I164" s="409"/>
      <c r="J164" s="409"/>
      <c r="K164" s="409"/>
      <c r="L164" s="409"/>
      <c r="M164" s="409"/>
      <c r="N164" s="409"/>
      <c r="O164" s="409"/>
      <c r="P164" s="409"/>
      <c r="Q164" s="409"/>
      <c r="R164" s="409"/>
      <c r="S164" s="409"/>
      <c r="T164" s="409"/>
      <c r="U164" s="409"/>
      <c r="V164" s="409"/>
      <c r="W164" s="409"/>
      <c r="X164" s="409"/>
      <c r="Y164" s="409"/>
      <c r="Z164" s="409"/>
    </row>
    <row r="165" spans="1:26" ht="12.75" customHeight="1">
      <c r="A165" s="409"/>
      <c r="B165" s="409"/>
      <c r="C165" s="409"/>
      <c r="D165" s="409"/>
      <c r="E165" s="409"/>
      <c r="F165" s="409"/>
      <c r="G165" s="409"/>
      <c r="H165" s="409"/>
      <c r="I165" s="409"/>
      <c r="J165" s="409"/>
      <c r="K165" s="409"/>
      <c r="L165" s="409"/>
      <c r="M165" s="409"/>
      <c r="N165" s="409"/>
      <c r="O165" s="409"/>
      <c r="P165" s="409"/>
      <c r="Q165" s="409"/>
      <c r="R165" s="409"/>
      <c r="S165" s="409"/>
      <c r="T165" s="409"/>
      <c r="U165" s="409"/>
      <c r="V165" s="409"/>
      <c r="W165" s="409"/>
      <c r="X165" s="409"/>
      <c r="Y165" s="409"/>
      <c r="Z165" s="409"/>
    </row>
    <row r="166" spans="1:26" ht="12.75" customHeight="1">
      <c r="A166" s="409"/>
      <c r="B166" s="409"/>
      <c r="C166" s="409"/>
      <c r="D166" s="409"/>
      <c r="E166" s="409"/>
      <c r="F166" s="409"/>
      <c r="G166" s="409"/>
      <c r="H166" s="409"/>
      <c r="I166" s="409"/>
      <c r="J166" s="409"/>
      <c r="K166" s="409"/>
      <c r="L166" s="409"/>
      <c r="M166" s="409"/>
      <c r="N166" s="409"/>
      <c r="O166" s="409"/>
      <c r="P166" s="409"/>
      <c r="Q166" s="409"/>
      <c r="R166" s="409"/>
      <c r="S166" s="409"/>
      <c r="T166" s="409"/>
      <c r="U166" s="409"/>
      <c r="V166" s="409"/>
      <c r="W166" s="409"/>
      <c r="X166" s="409"/>
      <c r="Y166" s="409"/>
      <c r="Z166" s="409"/>
    </row>
    <row r="167" spans="1:26" ht="12.75" customHeight="1">
      <c r="A167" s="409"/>
      <c r="B167" s="409"/>
      <c r="C167" s="409"/>
      <c r="D167" s="409"/>
      <c r="E167" s="409"/>
      <c r="F167" s="409"/>
      <c r="G167" s="409"/>
      <c r="H167" s="409"/>
      <c r="I167" s="409"/>
      <c r="J167" s="409"/>
      <c r="K167" s="409"/>
      <c r="L167" s="409"/>
      <c r="M167" s="409"/>
      <c r="N167" s="409"/>
      <c r="O167" s="409"/>
      <c r="P167" s="409"/>
      <c r="Q167" s="409"/>
      <c r="R167" s="409"/>
      <c r="S167" s="409"/>
      <c r="T167" s="409"/>
      <c r="U167" s="409"/>
      <c r="V167" s="409"/>
      <c r="W167" s="409"/>
      <c r="X167" s="409"/>
      <c r="Y167" s="409"/>
      <c r="Z167" s="409"/>
    </row>
    <row r="168" spans="1:26" ht="12.75" customHeight="1">
      <c r="A168" s="409"/>
      <c r="B168" s="409"/>
      <c r="C168" s="409"/>
      <c r="D168" s="409"/>
      <c r="E168" s="409"/>
      <c r="F168" s="409"/>
      <c r="G168" s="409"/>
      <c r="H168" s="409"/>
      <c r="I168" s="409"/>
      <c r="J168" s="409"/>
      <c r="K168" s="409"/>
      <c r="L168" s="409"/>
      <c r="M168" s="409"/>
      <c r="N168" s="409"/>
      <c r="O168" s="409"/>
      <c r="P168" s="409"/>
      <c r="Q168" s="409"/>
      <c r="R168" s="409"/>
      <c r="S168" s="409"/>
      <c r="T168" s="409"/>
      <c r="U168" s="409"/>
      <c r="V168" s="409"/>
      <c r="W168" s="409"/>
      <c r="X168" s="409"/>
      <c r="Y168" s="409"/>
      <c r="Z168" s="409"/>
    </row>
    <row r="169" spans="1:26" ht="12.75" customHeight="1">
      <c r="A169" s="409"/>
      <c r="B169" s="409"/>
      <c r="C169" s="409"/>
      <c r="D169" s="409"/>
      <c r="E169" s="409"/>
      <c r="F169" s="409"/>
      <c r="G169" s="409"/>
      <c r="H169" s="409"/>
      <c r="I169" s="409"/>
      <c r="J169" s="409"/>
      <c r="K169" s="409"/>
      <c r="L169" s="409"/>
      <c r="M169" s="409"/>
      <c r="N169" s="409"/>
      <c r="O169" s="409"/>
      <c r="P169" s="409"/>
      <c r="Q169" s="409"/>
      <c r="R169" s="409"/>
      <c r="S169" s="409"/>
      <c r="T169" s="409"/>
      <c r="U169" s="409"/>
      <c r="V169" s="409"/>
      <c r="W169" s="409"/>
      <c r="X169" s="409"/>
      <c r="Y169" s="409"/>
      <c r="Z169" s="409"/>
    </row>
    <row r="170" spans="1:26" ht="12.75" customHeight="1">
      <c r="A170" s="409"/>
      <c r="B170" s="409"/>
      <c r="C170" s="409"/>
      <c r="D170" s="409"/>
      <c r="E170" s="409"/>
      <c r="F170" s="409"/>
      <c r="G170" s="409"/>
      <c r="H170" s="409"/>
      <c r="I170" s="409"/>
      <c r="J170" s="409"/>
      <c r="K170" s="409"/>
      <c r="L170" s="409"/>
      <c r="M170" s="409"/>
      <c r="N170" s="409"/>
      <c r="O170" s="409"/>
      <c r="P170" s="409"/>
      <c r="Q170" s="409"/>
      <c r="R170" s="409"/>
      <c r="S170" s="409"/>
      <c r="T170" s="409"/>
      <c r="U170" s="409"/>
      <c r="V170" s="409"/>
      <c r="W170" s="409"/>
      <c r="X170" s="409"/>
      <c r="Y170" s="409"/>
      <c r="Z170" s="409"/>
    </row>
    <row r="171" spans="1:26" ht="12.75" customHeight="1">
      <c r="A171" s="409"/>
      <c r="B171" s="409"/>
      <c r="C171" s="409"/>
      <c r="D171" s="409"/>
      <c r="E171" s="409"/>
      <c r="F171" s="409"/>
      <c r="G171" s="409"/>
      <c r="H171" s="409"/>
      <c r="I171" s="409"/>
      <c r="J171" s="409"/>
      <c r="K171" s="409"/>
      <c r="L171" s="409"/>
      <c r="M171" s="409"/>
      <c r="N171" s="409"/>
      <c r="O171" s="409"/>
      <c r="P171" s="409"/>
      <c r="Q171" s="409"/>
      <c r="R171" s="409"/>
      <c r="S171" s="409"/>
      <c r="T171" s="409"/>
      <c r="U171" s="409"/>
      <c r="V171" s="409"/>
      <c r="W171" s="409"/>
      <c r="X171" s="409"/>
      <c r="Y171" s="409"/>
      <c r="Z171" s="409"/>
    </row>
    <row r="172" spans="1:26" ht="12.75" customHeight="1">
      <c r="A172" s="409"/>
      <c r="B172" s="409"/>
      <c r="C172" s="409"/>
      <c r="D172" s="409"/>
      <c r="E172" s="409"/>
      <c r="F172" s="409"/>
      <c r="G172" s="409"/>
      <c r="H172" s="409"/>
      <c r="I172" s="409"/>
      <c r="J172" s="409"/>
      <c r="K172" s="409"/>
      <c r="L172" s="409"/>
      <c r="M172" s="409"/>
      <c r="N172" s="409"/>
      <c r="O172" s="409"/>
      <c r="P172" s="409"/>
      <c r="Q172" s="409"/>
      <c r="R172" s="409"/>
      <c r="S172" s="409"/>
      <c r="T172" s="409"/>
      <c r="U172" s="409"/>
      <c r="V172" s="409"/>
      <c r="W172" s="409"/>
      <c r="X172" s="409"/>
      <c r="Y172" s="409"/>
      <c r="Z172" s="409"/>
    </row>
    <row r="173" spans="1:26" ht="12.75" customHeight="1">
      <c r="A173" s="409"/>
      <c r="B173" s="409"/>
      <c r="C173" s="409"/>
      <c r="D173" s="409"/>
      <c r="E173" s="409"/>
      <c r="F173" s="409"/>
      <c r="G173" s="409"/>
      <c r="H173" s="409"/>
      <c r="I173" s="409"/>
      <c r="J173" s="409"/>
      <c r="K173" s="409"/>
      <c r="L173" s="409"/>
      <c r="M173" s="409"/>
      <c r="N173" s="409"/>
      <c r="O173" s="409"/>
      <c r="P173" s="409"/>
      <c r="Q173" s="409"/>
      <c r="R173" s="409"/>
      <c r="S173" s="409"/>
      <c r="T173" s="409"/>
      <c r="U173" s="409"/>
      <c r="V173" s="409"/>
      <c r="W173" s="409"/>
      <c r="X173" s="409"/>
      <c r="Y173" s="409"/>
      <c r="Z173" s="409"/>
    </row>
    <row r="174" spans="1:26" ht="12.75" customHeight="1">
      <c r="A174" s="409"/>
      <c r="B174" s="409"/>
      <c r="C174" s="409"/>
      <c r="D174" s="409"/>
      <c r="E174" s="409"/>
      <c r="F174" s="409"/>
      <c r="G174" s="409"/>
      <c r="H174" s="409"/>
      <c r="I174" s="409"/>
      <c r="J174" s="409"/>
      <c r="K174" s="409"/>
      <c r="L174" s="409"/>
      <c r="M174" s="409"/>
      <c r="N174" s="409"/>
      <c r="O174" s="409"/>
      <c r="P174" s="409"/>
      <c r="Q174" s="409"/>
      <c r="R174" s="409"/>
      <c r="S174" s="409"/>
      <c r="T174" s="409"/>
      <c r="U174" s="409"/>
      <c r="V174" s="409"/>
      <c r="W174" s="409"/>
      <c r="X174" s="409"/>
      <c r="Y174" s="409"/>
      <c r="Z174" s="409"/>
    </row>
    <row r="175" spans="1:26" ht="12.75" customHeight="1">
      <c r="A175" s="409"/>
      <c r="B175" s="409"/>
      <c r="C175" s="409"/>
      <c r="D175" s="409"/>
      <c r="E175" s="409"/>
      <c r="F175" s="409"/>
      <c r="G175" s="409"/>
      <c r="H175" s="409"/>
      <c r="I175" s="409"/>
      <c r="J175" s="409"/>
      <c r="K175" s="409"/>
      <c r="L175" s="409"/>
      <c r="M175" s="409"/>
      <c r="N175" s="409"/>
      <c r="O175" s="409"/>
      <c r="P175" s="409"/>
      <c r="Q175" s="409"/>
      <c r="R175" s="409"/>
      <c r="S175" s="409"/>
      <c r="T175" s="409"/>
      <c r="U175" s="409"/>
      <c r="V175" s="409"/>
      <c r="W175" s="409"/>
      <c r="X175" s="409"/>
      <c r="Y175" s="409"/>
      <c r="Z175" s="409"/>
    </row>
    <row r="176" spans="1:26" ht="12.75" customHeight="1">
      <c r="A176" s="409"/>
      <c r="B176" s="409"/>
      <c r="C176" s="409"/>
      <c r="D176" s="409"/>
      <c r="E176" s="409"/>
      <c r="F176" s="409"/>
      <c r="G176" s="409"/>
      <c r="H176" s="409"/>
      <c r="I176" s="409"/>
      <c r="J176" s="409"/>
      <c r="K176" s="409"/>
      <c r="L176" s="409"/>
      <c r="M176" s="409"/>
      <c r="N176" s="409"/>
      <c r="O176" s="409"/>
      <c r="P176" s="409"/>
      <c r="Q176" s="409"/>
      <c r="R176" s="409"/>
      <c r="S176" s="409"/>
      <c r="T176" s="409"/>
      <c r="U176" s="409"/>
      <c r="V176" s="409"/>
      <c r="W176" s="409"/>
      <c r="X176" s="409"/>
      <c r="Y176" s="409"/>
      <c r="Z176" s="409"/>
    </row>
    <row r="177" spans="1:26" ht="12.75" customHeight="1">
      <c r="A177" s="409"/>
      <c r="B177" s="409"/>
      <c r="C177" s="409"/>
      <c r="D177" s="409"/>
      <c r="E177" s="409"/>
      <c r="F177" s="409"/>
      <c r="G177" s="409"/>
      <c r="H177" s="409"/>
      <c r="I177" s="409"/>
      <c r="J177" s="409"/>
      <c r="K177" s="409"/>
      <c r="L177" s="409"/>
      <c r="M177" s="409"/>
      <c r="N177" s="409"/>
      <c r="O177" s="409"/>
      <c r="P177" s="409"/>
      <c r="Q177" s="409"/>
      <c r="R177" s="409"/>
      <c r="S177" s="409"/>
      <c r="T177" s="409"/>
      <c r="U177" s="409"/>
      <c r="V177" s="409"/>
      <c r="W177" s="409"/>
      <c r="X177" s="409"/>
      <c r="Y177" s="409"/>
      <c r="Z177" s="409"/>
    </row>
    <row r="178" spans="1:26" ht="12.75" customHeight="1">
      <c r="A178" s="409"/>
      <c r="B178" s="409"/>
      <c r="C178" s="409"/>
      <c r="D178" s="409"/>
      <c r="E178" s="409"/>
      <c r="F178" s="409"/>
      <c r="G178" s="409"/>
      <c r="H178" s="409"/>
      <c r="I178" s="409"/>
      <c r="J178" s="409"/>
      <c r="K178" s="409"/>
      <c r="L178" s="409"/>
      <c r="M178" s="409"/>
      <c r="N178" s="409"/>
      <c r="O178" s="409"/>
      <c r="P178" s="409"/>
      <c r="Q178" s="409"/>
      <c r="R178" s="409"/>
      <c r="S178" s="409"/>
      <c r="T178" s="409"/>
      <c r="U178" s="409"/>
      <c r="V178" s="409"/>
      <c r="W178" s="409"/>
      <c r="X178" s="409"/>
      <c r="Y178" s="409"/>
      <c r="Z178" s="409"/>
    </row>
    <row r="179" spans="1:26" ht="12.75" customHeight="1">
      <c r="A179" s="409"/>
      <c r="B179" s="409"/>
      <c r="C179" s="409"/>
      <c r="D179" s="409"/>
      <c r="E179" s="409"/>
      <c r="F179" s="409"/>
      <c r="G179" s="409"/>
      <c r="H179" s="409"/>
      <c r="I179" s="409"/>
      <c r="J179" s="409"/>
      <c r="K179" s="409"/>
      <c r="L179" s="409"/>
      <c r="M179" s="409"/>
      <c r="N179" s="409"/>
      <c r="O179" s="409"/>
      <c r="P179" s="409"/>
      <c r="Q179" s="409"/>
      <c r="R179" s="409"/>
      <c r="S179" s="409"/>
      <c r="T179" s="409"/>
      <c r="U179" s="409"/>
      <c r="V179" s="409"/>
      <c r="W179" s="409"/>
      <c r="X179" s="409"/>
      <c r="Y179" s="409"/>
      <c r="Z179" s="409"/>
    </row>
    <row r="180" spans="1:26" ht="12.75" customHeight="1">
      <c r="A180" s="409"/>
      <c r="B180" s="409"/>
      <c r="C180" s="409"/>
      <c r="D180" s="409"/>
      <c r="E180" s="409"/>
      <c r="F180" s="409"/>
      <c r="G180" s="409"/>
      <c r="H180" s="409"/>
      <c r="I180" s="409"/>
      <c r="J180" s="409"/>
      <c r="K180" s="409"/>
      <c r="L180" s="409"/>
      <c r="M180" s="409"/>
      <c r="N180" s="409"/>
      <c r="O180" s="409"/>
      <c r="P180" s="409"/>
      <c r="Q180" s="409"/>
      <c r="R180" s="409"/>
      <c r="S180" s="409"/>
      <c r="T180" s="409"/>
      <c r="U180" s="409"/>
      <c r="V180" s="409"/>
      <c r="W180" s="409"/>
      <c r="X180" s="409"/>
      <c r="Y180" s="409"/>
      <c r="Z180" s="409"/>
    </row>
    <row r="181" spans="1:26" ht="12.75" customHeight="1">
      <c r="A181" s="409"/>
      <c r="B181" s="409"/>
      <c r="C181" s="409"/>
      <c r="D181" s="409"/>
      <c r="E181" s="409"/>
      <c r="F181" s="409"/>
      <c r="G181" s="409"/>
      <c r="H181" s="409"/>
      <c r="I181" s="409"/>
      <c r="J181" s="409"/>
      <c r="K181" s="409"/>
      <c r="L181" s="409"/>
      <c r="M181" s="409"/>
      <c r="N181" s="409"/>
      <c r="O181" s="409"/>
      <c r="P181" s="409"/>
      <c r="Q181" s="409"/>
      <c r="R181" s="409"/>
      <c r="S181" s="409"/>
      <c r="T181" s="409"/>
      <c r="U181" s="409"/>
      <c r="V181" s="409"/>
      <c r="W181" s="409"/>
      <c r="X181" s="409"/>
      <c r="Y181" s="409"/>
      <c r="Z181" s="409"/>
    </row>
    <row r="182" spans="1:26" ht="12.75" customHeight="1">
      <c r="A182" s="409"/>
      <c r="B182" s="409"/>
      <c r="C182" s="409"/>
      <c r="D182" s="409"/>
      <c r="E182" s="409"/>
      <c r="F182" s="409"/>
      <c r="G182" s="409"/>
      <c r="H182" s="409"/>
      <c r="I182" s="409"/>
      <c r="J182" s="409"/>
      <c r="K182" s="409"/>
      <c r="L182" s="409"/>
      <c r="M182" s="409"/>
      <c r="N182" s="409"/>
      <c r="O182" s="409"/>
      <c r="P182" s="409"/>
      <c r="Q182" s="409"/>
      <c r="R182" s="409"/>
      <c r="S182" s="409"/>
      <c r="T182" s="409"/>
      <c r="U182" s="409"/>
      <c r="V182" s="409"/>
      <c r="W182" s="409"/>
      <c r="X182" s="409"/>
      <c r="Y182" s="409"/>
      <c r="Z182" s="409"/>
    </row>
    <row r="183" spans="1:26" ht="12.75" customHeight="1">
      <c r="A183" s="409"/>
      <c r="B183" s="409"/>
      <c r="C183" s="409"/>
      <c r="D183" s="409"/>
      <c r="E183" s="409"/>
      <c r="F183" s="409"/>
      <c r="G183" s="409"/>
      <c r="H183" s="409"/>
      <c r="I183" s="409"/>
      <c r="J183" s="409"/>
      <c r="K183" s="409"/>
      <c r="L183" s="409"/>
      <c r="M183" s="409"/>
      <c r="N183" s="409"/>
      <c r="O183" s="409"/>
      <c r="P183" s="409"/>
      <c r="Q183" s="409"/>
      <c r="R183" s="409"/>
      <c r="S183" s="409"/>
      <c r="T183" s="409"/>
      <c r="U183" s="409"/>
      <c r="V183" s="409"/>
      <c r="W183" s="409"/>
      <c r="X183" s="409"/>
      <c r="Y183" s="409"/>
      <c r="Z183" s="409"/>
    </row>
    <row r="184" spans="1:26" ht="12.75" customHeight="1">
      <c r="A184" s="409"/>
      <c r="B184" s="409"/>
      <c r="C184" s="409"/>
      <c r="D184" s="409"/>
      <c r="E184" s="409"/>
      <c r="F184" s="409"/>
      <c r="G184" s="409"/>
      <c r="H184" s="409"/>
      <c r="I184" s="409"/>
      <c r="J184" s="409"/>
      <c r="K184" s="409"/>
      <c r="L184" s="409"/>
      <c r="M184" s="409"/>
      <c r="N184" s="409"/>
      <c r="O184" s="409"/>
      <c r="P184" s="409"/>
      <c r="Q184" s="409"/>
      <c r="R184" s="409"/>
      <c r="S184" s="409"/>
      <c r="T184" s="409"/>
      <c r="U184" s="409"/>
      <c r="V184" s="409"/>
      <c r="W184" s="409"/>
      <c r="X184" s="409"/>
      <c r="Y184" s="409"/>
      <c r="Z184" s="409"/>
    </row>
    <row r="185" spans="1:26" ht="12.75" customHeight="1">
      <c r="A185" s="409"/>
      <c r="B185" s="409"/>
      <c r="C185" s="409"/>
      <c r="D185" s="409"/>
      <c r="E185" s="409"/>
      <c r="F185" s="409"/>
      <c r="G185" s="409"/>
      <c r="H185" s="409"/>
      <c r="I185" s="409"/>
      <c r="J185" s="409"/>
      <c r="K185" s="409"/>
      <c r="L185" s="409"/>
      <c r="M185" s="409"/>
      <c r="N185" s="409"/>
      <c r="O185" s="409"/>
      <c r="P185" s="409"/>
      <c r="Q185" s="409"/>
      <c r="R185" s="409"/>
      <c r="S185" s="409"/>
      <c r="T185" s="409"/>
      <c r="U185" s="409"/>
      <c r="V185" s="409"/>
      <c r="W185" s="409"/>
      <c r="X185" s="409"/>
      <c r="Y185" s="409"/>
      <c r="Z185" s="409"/>
    </row>
    <row r="186" spans="1:26" ht="12.75" customHeight="1">
      <c r="A186" s="409"/>
      <c r="B186" s="409"/>
      <c r="C186" s="409"/>
      <c r="D186" s="409"/>
      <c r="E186" s="409"/>
      <c r="F186" s="409"/>
      <c r="G186" s="409"/>
      <c r="H186" s="409"/>
      <c r="I186" s="409"/>
      <c r="J186" s="409"/>
      <c r="K186" s="409"/>
      <c r="L186" s="409"/>
      <c r="M186" s="409"/>
      <c r="N186" s="409"/>
      <c r="O186" s="409"/>
      <c r="P186" s="409"/>
      <c r="Q186" s="409"/>
      <c r="R186" s="409"/>
      <c r="S186" s="409"/>
      <c r="T186" s="409"/>
      <c r="U186" s="409"/>
      <c r="V186" s="409"/>
      <c r="W186" s="409"/>
      <c r="X186" s="409"/>
      <c r="Y186" s="409"/>
      <c r="Z186" s="409"/>
    </row>
    <row r="187" spans="1:26" ht="12.75" customHeight="1">
      <c r="A187" s="409"/>
      <c r="B187" s="409"/>
      <c r="C187" s="409"/>
      <c r="D187" s="409"/>
      <c r="E187" s="409"/>
      <c r="F187" s="409"/>
      <c r="G187" s="409"/>
      <c r="H187" s="409"/>
      <c r="I187" s="409"/>
      <c r="J187" s="409"/>
      <c r="K187" s="409"/>
      <c r="L187" s="409"/>
      <c r="M187" s="409"/>
      <c r="N187" s="409"/>
      <c r="O187" s="409"/>
      <c r="P187" s="409"/>
      <c r="Q187" s="409"/>
      <c r="R187" s="409"/>
      <c r="S187" s="409"/>
      <c r="T187" s="409"/>
      <c r="U187" s="409"/>
      <c r="V187" s="409"/>
      <c r="W187" s="409"/>
      <c r="X187" s="409"/>
      <c r="Y187" s="409"/>
      <c r="Z187" s="409"/>
    </row>
    <row r="188" spans="1:26" ht="12.75" customHeight="1">
      <c r="A188" s="409"/>
      <c r="B188" s="409"/>
      <c r="C188" s="409"/>
      <c r="D188" s="409"/>
      <c r="E188" s="409"/>
      <c r="F188" s="409"/>
      <c r="G188" s="409"/>
      <c r="H188" s="409"/>
      <c r="I188" s="409"/>
      <c r="J188" s="409"/>
      <c r="K188" s="409"/>
      <c r="L188" s="409"/>
      <c r="M188" s="409"/>
      <c r="N188" s="409"/>
      <c r="O188" s="409"/>
      <c r="P188" s="409"/>
      <c r="Q188" s="409"/>
      <c r="R188" s="409"/>
      <c r="S188" s="409"/>
      <c r="T188" s="409"/>
      <c r="U188" s="409"/>
      <c r="V188" s="409"/>
      <c r="W188" s="409"/>
      <c r="X188" s="409"/>
      <c r="Y188" s="409"/>
      <c r="Z188" s="409"/>
    </row>
    <row r="189" spans="1:26" ht="12.75" customHeight="1">
      <c r="A189" s="409"/>
      <c r="B189" s="409"/>
      <c r="C189" s="409"/>
      <c r="D189" s="409"/>
      <c r="E189" s="409"/>
      <c r="F189" s="409"/>
      <c r="G189" s="409"/>
      <c r="H189" s="409"/>
      <c r="I189" s="409"/>
      <c r="J189" s="409"/>
      <c r="K189" s="409"/>
      <c r="L189" s="409"/>
      <c r="M189" s="409"/>
      <c r="N189" s="409"/>
      <c r="O189" s="409"/>
      <c r="P189" s="409"/>
      <c r="Q189" s="409"/>
      <c r="R189" s="409"/>
      <c r="S189" s="409"/>
      <c r="T189" s="409"/>
      <c r="U189" s="409"/>
      <c r="V189" s="409"/>
      <c r="W189" s="409"/>
      <c r="X189" s="409"/>
      <c r="Y189" s="409"/>
      <c r="Z189" s="409"/>
    </row>
    <row r="190" spans="1:26" ht="12.75" customHeight="1">
      <c r="A190" s="409"/>
      <c r="B190" s="409"/>
      <c r="C190" s="409"/>
      <c r="D190" s="409"/>
      <c r="E190" s="409"/>
      <c r="F190" s="409"/>
      <c r="G190" s="409"/>
      <c r="H190" s="409"/>
      <c r="I190" s="409"/>
      <c r="J190" s="409"/>
      <c r="K190" s="409"/>
      <c r="L190" s="409"/>
      <c r="M190" s="409"/>
      <c r="N190" s="409"/>
      <c r="O190" s="409"/>
      <c r="P190" s="409"/>
      <c r="Q190" s="409"/>
      <c r="R190" s="409"/>
      <c r="S190" s="409"/>
      <c r="T190" s="409"/>
      <c r="U190" s="409"/>
      <c r="V190" s="409"/>
      <c r="W190" s="409"/>
      <c r="X190" s="409"/>
      <c r="Y190" s="409"/>
      <c r="Z190" s="409"/>
    </row>
    <row r="191" spans="1:26" ht="12.75" customHeight="1">
      <c r="A191" s="409"/>
      <c r="B191" s="409"/>
      <c r="C191" s="409"/>
      <c r="D191" s="409"/>
      <c r="E191" s="409"/>
      <c r="F191" s="409"/>
      <c r="G191" s="409"/>
      <c r="H191" s="409"/>
      <c r="I191" s="409"/>
      <c r="J191" s="409"/>
      <c r="K191" s="409"/>
      <c r="L191" s="409"/>
      <c r="M191" s="409"/>
      <c r="N191" s="409"/>
      <c r="O191" s="409"/>
      <c r="P191" s="409"/>
      <c r="Q191" s="409"/>
      <c r="R191" s="409"/>
      <c r="S191" s="409"/>
      <c r="T191" s="409"/>
      <c r="U191" s="409"/>
      <c r="V191" s="409"/>
      <c r="W191" s="409"/>
      <c r="X191" s="409"/>
      <c r="Y191" s="409"/>
      <c r="Z191" s="409"/>
    </row>
    <row r="192" spans="1:26" ht="12.75" customHeight="1">
      <c r="A192" s="409"/>
      <c r="B192" s="409"/>
      <c r="C192" s="409"/>
      <c r="D192" s="409"/>
      <c r="E192" s="409"/>
      <c r="F192" s="409"/>
      <c r="G192" s="409"/>
      <c r="H192" s="409"/>
      <c r="I192" s="409"/>
      <c r="J192" s="409"/>
      <c r="K192" s="409"/>
      <c r="L192" s="409"/>
      <c r="M192" s="409"/>
      <c r="N192" s="409"/>
      <c r="O192" s="409"/>
      <c r="P192" s="409"/>
      <c r="Q192" s="409"/>
      <c r="R192" s="409"/>
      <c r="S192" s="409"/>
      <c r="T192" s="409"/>
      <c r="U192" s="409"/>
      <c r="V192" s="409"/>
      <c r="W192" s="409"/>
      <c r="X192" s="409"/>
      <c r="Y192" s="409"/>
      <c r="Z192" s="409"/>
    </row>
    <row r="193" spans="1:26" ht="12.75" customHeight="1">
      <c r="A193" s="409"/>
      <c r="B193" s="409"/>
      <c r="C193" s="409"/>
      <c r="D193" s="409"/>
      <c r="E193" s="409"/>
      <c r="F193" s="409"/>
      <c r="G193" s="409"/>
      <c r="H193" s="409"/>
      <c r="I193" s="409"/>
      <c r="J193" s="409"/>
      <c r="K193" s="409"/>
      <c r="L193" s="409"/>
      <c r="M193" s="409"/>
      <c r="N193" s="409"/>
      <c r="O193" s="409"/>
      <c r="P193" s="409"/>
      <c r="Q193" s="409"/>
      <c r="R193" s="409"/>
      <c r="S193" s="409"/>
      <c r="T193" s="409"/>
      <c r="U193" s="409"/>
      <c r="V193" s="409"/>
      <c r="W193" s="409"/>
      <c r="X193" s="409"/>
      <c r="Y193" s="409"/>
      <c r="Z193" s="409"/>
    </row>
    <row r="194" spans="1:26" ht="12.75" customHeight="1">
      <c r="A194" s="409"/>
      <c r="B194" s="409"/>
      <c r="C194" s="409"/>
      <c r="D194" s="409"/>
      <c r="E194" s="409"/>
      <c r="F194" s="409"/>
      <c r="G194" s="409"/>
      <c r="H194" s="409"/>
      <c r="I194" s="409"/>
      <c r="J194" s="409"/>
      <c r="K194" s="409"/>
      <c r="L194" s="409"/>
      <c r="M194" s="409"/>
      <c r="N194" s="409"/>
      <c r="O194" s="409"/>
      <c r="P194" s="409"/>
      <c r="Q194" s="409"/>
      <c r="R194" s="409"/>
      <c r="S194" s="409"/>
      <c r="T194" s="409"/>
      <c r="U194" s="409"/>
      <c r="V194" s="409"/>
      <c r="W194" s="409"/>
      <c r="X194" s="409"/>
      <c r="Y194" s="409"/>
      <c r="Z194" s="409"/>
    </row>
    <row r="195" spans="1:26" ht="12.75" customHeight="1">
      <c r="A195" s="409"/>
      <c r="B195" s="409"/>
      <c r="C195" s="409"/>
      <c r="D195" s="409"/>
      <c r="E195" s="409"/>
      <c r="F195" s="409"/>
      <c r="G195" s="409"/>
      <c r="H195" s="409"/>
      <c r="I195" s="409"/>
      <c r="J195" s="409"/>
      <c r="K195" s="409"/>
      <c r="L195" s="409"/>
      <c r="M195" s="409"/>
      <c r="N195" s="409"/>
      <c r="O195" s="409"/>
      <c r="P195" s="409"/>
      <c r="Q195" s="409"/>
      <c r="R195" s="409"/>
      <c r="S195" s="409"/>
      <c r="T195" s="409"/>
      <c r="U195" s="409"/>
      <c r="V195" s="409"/>
      <c r="W195" s="409"/>
      <c r="X195" s="409"/>
      <c r="Y195" s="409"/>
      <c r="Z195" s="409"/>
    </row>
    <row r="196" spans="1:26" ht="12.75" customHeight="1">
      <c r="A196" s="409"/>
      <c r="B196" s="409"/>
      <c r="C196" s="409"/>
      <c r="D196" s="409"/>
      <c r="E196" s="409"/>
      <c r="F196" s="409"/>
      <c r="G196" s="409"/>
      <c r="H196" s="409"/>
      <c r="I196" s="409"/>
      <c r="J196" s="409"/>
      <c r="K196" s="409"/>
      <c r="L196" s="409"/>
      <c r="M196" s="409"/>
      <c r="N196" s="409"/>
      <c r="O196" s="409"/>
      <c r="P196" s="409"/>
      <c r="Q196" s="409"/>
      <c r="R196" s="409"/>
      <c r="S196" s="409"/>
      <c r="T196" s="409"/>
      <c r="U196" s="409"/>
      <c r="V196" s="409"/>
      <c r="W196" s="409"/>
      <c r="X196" s="409"/>
      <c r="Y196" s="409"/>
      <c r="Z196" s="409"/>
    </row>
    <row r="197" spans="1:26" ht="12.75" customHeight="1">
      <c r="A197" s="409"/>
      <c r="B197" s="409"/>
      <c r="C197" s="409"/>
      <c r="D197" s="409"/>
      <c r="E197" s="409"/>
      <c r="F197" s="409"/>
      <c r="G197" s="409"/>
      <c r="H197" s="409"/>
      <c r="I197" s="409"/>
      <c r="J197" s="409"/>
      <c r="K197" s="409"/>
      <c r="L197" s="409"/>
      <c r="M197" s="409"/>
      <c r="N197" s="409"/>
      <c r="O197" s="409"/>
      <c r="P197" s="409"/>
      <c r="Q197" s="409"/>
      <c r="R197" s="409"/>
      <c r="S197" s="409"/>
      <c r="T197" s="409"/>
      <c r="U197" s="409"/>
      <c r="V197" s="409"/>
      <c r="W197" s="409"/>
      <c r="X197" s="409"/>
      <c r="Y197" s="409"/>
      <c r="Z197" s="409"/>
    </row>
    <row r="198" spans="1:26" ht="12.75" customHeight="1">
      <c r="A198" s="409"/>
      <c r="B198" s="409"/>
      <c r="C198" s="409"/>
      <c r="D198" s="409"/>
      <c r="E198" s="409"/>
      <c r="F198" s="409"/>
      <c r="G198" s="409"/>
      <c r="H198" s="409"/>
      <c r="I198" s="409"/>
      <c r="J198" s="409"/>
      <c r="K198" s="409"/>
      <c r="L198" s="409"/>
      <c r="M198" s="409"/>
      <c r="N198" s="409"/>
      <c r="O198" s="409"/>
      <c r="P198" s="409"/>
      <c r="Q198" s="409"/>
      <c r="R198" s="409"/>
      <c r="S198" s="409"/>
      <c r="T198" s="409"/>
      <c r="U198" s="409"/>
      <c r="V198" s="409"/>
      <c r="W198" s="409"/>
      <c r="X198" s="409"/>
      <c r="Y198" s="409"/>
      <c r="Z198" s="409"/>
    </row>
    <row r="199" spans="1:26" ht="12.75" customHeight="1">
      <c r="A199" s="409"/>
      <c r="B199" s="409"/>
      <c r="C199" s="409"/>
      <c r="D199" s="409"/>
      <c r="E199" s="409"/>
      <c r="F199" s="409"/>
      <c r="G199" s="409"/>
      <c r="H199" s="409"/>
      <c r="I199" s="409"/>
      <c r="J199" s="409"/>
      <c r="K199" s="409"/>
      <c r="L199" s="409"/>
      <c r="M199" s="409"/>
      <c r="N199" s="409"/>
      <c r="O199" s="409"/>
      <c r="P199" s="409"/>
      <c r="Q199" s="409"/>
      <c r="R199" s="409"/>
      <c r="S199" s="409"/>
      <c r="T199" s="409"/>
      <c r="U199" s="409"/>
      <c r="V199" s="409"/>
      <c r="W199" s="409"/>
      <c r="X199" s="409"/>
      <c r="Y199" s="409"/>
      <c r="Z199" s="409"/>
    </row>
    <row r="200" spans="1:26" ht="12.75" customHeight="1">
      <c r="A200" s="409"/>
      <c r="B200" s="409"/>
      <c r="C200" s="409"/>
      <c r="D200" s="409"/>
      <c r="E200" s="409"/>
      <c r="F200" s="409"/>
      <c r="G200" s="409"/>
      <c r="H200" s="409"/>
      <c r="I200" s="409"/>
      <c r="J200" s="409"/>
      <c r="K200" s="409"/>
      <c r="L200" s="409"/>
      <c r="M200" s="409"/>
      <c r="N200" s="409"/>
      <c r="O200" s="409"/>
      <c r="P200" s="409"/>
      <c r="Q200" s="409"/>
      <c r="R200" s="409"/>
      <c r="S200" s="409"/>
      <c r="T200" s="409"/>
      <c r="U200" s="409"/>
      <c r="V200" s="409"/>
      <c r="W200" s="409"/>
      <c r="X200" s="409"/>
      <c r="Y200" s="409"/>
      <c r="Z200" s="409"/>
    </row>
    <row r="201" spans="1:26" ht="12.75" customHeight="1">
      <c r="A201" s="409"/>
      <c r="B201" s="409"/>
      <c r="C201" s="409"/>
      <c r="D201" s="409"/>
      <c r="E201" s="409"/>
      <c r="F201" s="409"/>
      <c r="G201" s="409"/>
      <c r="H201" s="409"/>
      <c r="I201" s="409"/>
      <c r="J201" s="409"/>
      <c r="K201" s="409"/>
      <c r="L201" s="409"/>
      <c r="M201" s="409"/>
      <c r="N201" s="409"/>
      <c r="O201" s="409"/>
      <c r="P201" s="409"/>
      <c r="Q201" s="409"/>
      <c r="R201" s="409"/>
      <c r="S201" s="409"/>
      <c r="T201" s="409"/>
      <c r="U201" s="409"/>
      <c r="V201" s="409"/>
      <c r="W201" s="409"/>
      <c r="X201" s="409"/>
      <c r="Y201" s="409"/>
      <c r="Z201" s="409"/>
    </row>
    <row r="202" spans="1:26" ht="12.75" customHeight="1">
      <c r="A202" s="409"/>
      <c r="B202" s="409"/>
      <c r="C202" s="409"/>
      <c r="D202" s="409"/>
      <c r="E202" s="409"/>
      <c r="F202" s="409"/>
      <c r="G202" s="409"/>
      <c r="H202" s="409"/>
      <c r="I202" s="409"/>
      <c r="J202" s="409"/>
      <c r="K202" s="409"/>
      <c r="L202" s="409"/>
      <c r="M202" s="409"/>
      <c r="N202" s="409"/>
      <c r="O202" s="409"/>
      <c r="P202" s="409"/>
      <c r="Q202" s="409"/>
      <c r="R202" s="409"/>
      <c r="S202" s="409"/>
      <c r="T202" s="409"/>
      <c r="U202" s="409"/>
      <c r="V202" s="409"/>
      <c r="W202" s="409"/>
      <c r="X202" s="409"/>
      <c r="Y202" s="409"/>
      <c r="Z202" s="409"/>
    </row>
    <row r="203" spans="1:26" ht="12.75" customHeight="1">
      <c r="A203" s="409"/>
      <c r="B203" s="409"/>
      <c r="C203" s="409"/>
      <c r="D203" s="409"/>
      <c r="E203" s="409"/>
      <c r="F203" s="409"/>
      <c r="G203" s="409"/>
      <c r="H203" s="409"/>
      <c r="I203" s="409"/>
      <c r="J203" s="409"/>
      <c r="K203" s="409"/>
      <c r="L203" s="409"/>
      <c r="M203" s="409"/>
      <c r="N203" s="409"/>
      <c r="O203" s="409"/>
      <c r="P203" s="409"/>
      <c r="Q203" s="409"/>
      <c r="R203" s="409"/>
      <c r="S203" s="409"/>
      <c r="T203" s="409"/>
      <c r="U203" s="409"/>
      <c r="V203" s="409"/>
      <c r="W203" s="409"/>
      <c r="X203" s="409"/>
      <c r="Y203" s="409"/>
      <c r="Z203" s="409"/>
    </row>
    <row r="204" spans="1:26" ht="12.75" customHeight="1">
      <c r="A204" s="409"/>
      <c r="B204" s="409"/>
      <c r="C204" s="409"/>
      <c r="D204" s="409"/>
      <c r="E204" s="409"/>
      <c r="F204" s="409"/>
      <c r="G204" s="409"/>
      <c r="H204" s="409"/>
      <c r="I204" s="409"/>
      <c r="J204" s="409"/>
      <c r="K204" s="409"/>
      <c r="L204" s="409"/>
      <c r="M204" s="409"/>
      <c r="N204" s="409"/>
      <c r="O204" s="409"/>
      <c r="P204" s="409"/>
      <c r="Q204" s="409"/>
      <c r="R204" s="409"/>
      <c r="S204" s="409"/>
      <c r="T204" s="409"/>
      <c r="U204" s="409"/>
      <c r="V204" s="409"/>
      <c r="W204" s="409"/>
      <c r="X204" s="409"/>
      <c r="Y204" s="409"/>
      <c r="Z204" s="409"/>
    </row>
    <row r="205" spans="1:26" ht="12.75" customHeight="1">
      <c r="A205" s="409"/>
      <c r="B205" s="409"/>
      <c r="C205" s="409"/>
      <c r="D205" s="409"/>
      <c r="E205" s="409"/>
      <c r="F205" s="409"/>
      <c r="G205" s="409"/>
      <c r="H205" s="409"/>
      <c r="I205" s="409"/>
      <c r="J205" s="409"/>
      <c r="K205" s="409"/>
      <c r="L205" s="409"/>
      <c r="M205" s="409"/>
      <c r="N205" s="409"/>
      <c r="O205" s="409"/>
      <c r="P205" s="409"/>
      <c r="Q205" s="409"/>
      <c r="R205" s="409"/>
      <c r="S205" s="409"/>
      <c r="T205" s="409"/>
      <c r="U205" s="409"/>
      <c r="V205" s="409"/>
      <c r="W205" s="409"/>
      <c r="X205" s="409"/>
      <c r="Y205" s="409"/>
      <c r="Z205" s="409"/>
    </row>
    <row r="206" spans="1:26" ht="12.75" customHeight="1">
      <c r="A206" s="409"/>
      <c r="B206" s="409"/>
      <c r="C206" s="409"/>
      <c r="D206" s="409"/>
      <c r="E206" s="409"/>
      <c r="F206" s="409"/>
      <c r="G206" s="409"/>
      <c r="H206" s="409"/>
      <c r="I206" s="409"/>
      <c r="J206" s="409"/>
      <c r="K206" s="409"/>
      <c r="L206" s="409"/>
      <c r="M206" s="409"/>
      <c r="N206" s="409"/>
      <c r="O206" s="409"/>
      <c r="P206" s="409"/>
      <c r="Q206" s="409"/>
      <c r="R206" s="409"/>
      <c r="S206" s="409"/>
      <c r="T206" s="409"/>
      <c r="U206" s="409"/>
      <c r="V206" s="409"/>
      <c r="W206" s="409"/>
      <c r="X206" s="409"/>
      <c r="Y206" s="409"/>
      <c r="Z206" s="409"/>
    </row>
    <row r="207" spans="1:26" ht="12.75" customHeight="1">
      <c r="A207" s="409"/>
      <c r="B207" s="409"/>
      <c r="C207" s="409"/>
      <c r="D207" s="409"/>
      <c r="E207" s="409"/>
      <c r="F207" s="409"/>
      <c r="G207" s="409"/>
      <c r="H207" s="409"/>
      <c r="I207" s="409"/>
      <c r="J207" s="409"/>
      <c r="K207" s="409"/>
      <c r="L207" s="409"/>
      <c r="M207" s="409"/>
      <c r="N207" s="409"/>
      <c r="O207" s="409"/>
      <c r="P207" s="409"/>
      <c r="Q207" s="409"/>
      <c r="R207" s="409"/>
      <c r="S207" s="409"/>
      <c r="T207" s="409"/>
      <c r="U207" s="409"/>
      <c r="V207" s="409"/>
      <c r="W207" s="409"/>
      <c r="X207" s="409"/>
      <c r="Y207" s="409"/>
      <c r="Z207" s="409"/>
    </row>
    <row r="208" spans="1:26" ht="12.75" customHeight="1">
      <c r="A208" s="409"/>
      <c r="B208" s="409"/>
      <c r="C208" s="409"/>
      <c r="D208" s="409"/>
      <c r="E208" s="409"/>
      <c r="F208" s="409"/>
      <c r="G208" s="409"/>
      <c r="H208" s="409"/>
      <c r="I208" s="409"/>
      <c r="J208" s="409"/>
      <c r="K208" s="409"/>
      <c r="L208" s="409"/>
      <c r="M208" s="409"/>
      <c r="N208" s="409"/>
      <c r="O208" s="409"/>
      <c r="P208" s="409"/>
      <c r="Q208" s="409"/>
      <c r="R208" s="409"/>
      <c r="S208" s="409"/>
      <c r="T208" s="409"/>
      <c r="U208" s="409"/>
      <c r="V208" s="409"/>
      <c r="W208" s="409"/>
      <c r="X208" s="409"/>
      <c r="Y208" s="409"/>
      <c r="Z208" s="409"/>
    </row>
    <row r="209" spans="1:26" ht="12.75" customHeight="1">
      <c r="A209" s="409"/>
      <c r="B209" s="409"/>
      <c r="C209" s="409"/>
      <c r="D209" s="409"/>
      <c r="E209" s="409"/>
      <c r="F209" s="409"/>
      <c r="G209" s="409"/>
      <c r="H209" s="409"/>
      <c r="I209" s="409"/>
      <c r="J209" s="409"/>
      <c r="K209" s="409"/>
      <c r="L209" s="409"/>
      <c r="M209" s="409"/>
      <c r="N209" s="409"/>
      <c r="O209" s="409"/>
      <c r="P209" s="409"/>
      <c r="Q209" s="409"/>
      <c r="R209" s="409"/>
      <c r="S209" s="409"/>
      <c r="T209" s="409"/>
      <c r="U209" s="409"/>
      <c r="V209" s="409"/>
      <c r="W209" s="409"/>
      <c r="X209" s="409"/>
      <c r="Y209" s="409"/>
      <c r="Z209" s="409"/>
    </row>
    <row r="210" spans="1:26" ht="12.75" customHeight="1">
      <c r="A210" s="409"/>
      <c r="B210" s="409"/>
      <c r="C210" s="409"/>
      <c r="D210" s="409"/>
      <c r="E210" s="409"/>
      <c r="F210" s="409"/>
      <c r="G210" s="409"/>
      <c r="H210" s="409"/>
      <c r="I210" s="409"/>
      <c r="J210" s="409"/>
      <c r="K210" s="409"/>
      <c r="L210" s="409"/>
      <c r="M210" s="409"/>
      <c r="N210" s="409"/>
      <c r="O210" s="409"/>
      <c r="P210" s="409"/>
      <c r="Q210" s="409"/>
      <c r="R210" s="409"/>
      <c r="S210" s="409"/>
      <c r="T210" s="409"/>
      <c r="U210" s="409"/>
      <c r="V210" s="409"/>
      <c r="W210" s="409"/>
      <c r="X210" s="409"/>
      <c r="Y210" s="409"/>
      <c r="Z210" s="409"/>
    </row>
    <row r="211" spans="1:26" ht="12.75" customHeight="1">
      <c r="A211" s="409"/>
      <c r="B211" s="409"/>
      <c r="C211" s="409"/>
      <c r="D211" s="409"/>
      <c r="E211" s="409"/>
      <c r="F211" s="409"/>
      <c r="G211" s="409"/>
      <c r="H211" s="409"/>
      <c r="I211" s="409"/>
      <c r="J211" s="409"/>
      <c r="K211" s="409"/>
      <c r="L211" s="409"/>
      <c r="M211" s="409"/>
      <c r="N211" s="409"/>
      <c r="O211" s="409"/>
      <c r="P211" s="409"/>
      <c r="Q211" s="409"/>
      <c r="R211" s="409"/>
      <c r="S211" s="409"/>
      <c r="T211" s="409"/>
      <c r="U211" s="409"/>
      <c r="V211" s="409"/>
      <c r="W211" s="409"/>
      <c r="X211" s="409"/>
      <c r="Y211" s="409"/>
      <c r="Z211" s="409"/>
    </row>
    <row r="212" spans="1:26" ht="12.75" customHeight="1">
      <c r="A212" s="409"/>
      <c r="B212" s="409"/>
      <c r="C212" s="409"/>
      <c r="D212" s="409"/>
      <c r="E212" s="409"/>
      <c r="F212" s="409"/>
      <c r="G212" s="409"/>
      <c r="H212" s="409"/>
      <c r="I212" s="409"/>
      <c r="J212" s="409"/>
      <c r="K212" s="409"/>
      <c r="L212" s="409"/>
      <c r="M212" s="409"/>
      <c r="N212" s="409"/>
      <c r="O212" s="409"/>
      <c r="P212" s="409"/>
      <c r="Q212" s="409"/>
      <c r="R212" s="409"/>
      <c r="S212" s="409"/>
      <c r="T212" s="409"/>
      <c r="U212" s="409"/>
      <c r="V212" s="409"/>
      <c r="W212" s="409"/>
      <c r="X212" s="409"/>
      <c r="Y212" s="409"/>
      <c r="Z212" s="409"/>
    </row>
    <row r="213" spans="1:26" ht="12.75" customHeight="1">
      <c r="A213" s="409"/>
      <c r="B213" s="409"/>
      <c r="C213" s="409"/>
      <c r="D213" s="409"/>
      <c r="E213" s="409"/>
      <c r="F213" s="409"/>
      <c r="G213" s="409"/>
      <c r="H213" s="409"/>
      <c r="I213" s="409"/>
      <c r="J213" s="409"/>
      <c r="K213" s="409"/>
      <c r="L213" s="409"/>
      <c r="M213" s="409"/>
      <c r="N213" s="409"/>
      <c r="O213" s="409"/>
      <c r="P213" s="409"/>
      <c r="Q213" s="409"/>
      <c r="R213" s="409"/>
      <c r="S213" s="409"/>
      <c r="T213" s="409"/>
      <c r="U213" s="409"/>
      <c r="V213" s="409"/>
      <c r="W213" s="409"/>
      <c r="X213" s="409"/>
      <c r="Y213" s="409"/>
      <c r="Z213" s="409"/>
    </row>
    <row r="214" spans="1:26" ht="12.75" customHeight="1">
      <c r="A214" s="409"/>
      <c r="B214" s="409"/>
      <c r="C214" s="409"/>
      <c r="D214" s="409"/>
      <c r="E214" s="409"/>
      <c r="F214" s="409"/>
      <c r="G214" s="409"/>
      <c r="H214" s="409"/>
      <c r="I214" s="409"/>
      <c r="J214" s="409"/>
      <c r="K214" s="409"/>
      <c r="L214" s="409"/>
      <c r="M214" s="409"/>
      <c r="N214" s="409"/>
      <c r="O214" s="409"/>
      <c r="P214" s="409"/>
      <c r="Q214" s="409"/>
      <c r="R214" s="409"/>
      <c r="S214" s="409"/>
      <c r="T214" s="409"/>
      <c r="U214" s="409"/>
      <c r="V214" s="409"/>
      <c r="W214" s="409"/>
      <c r="X214" s="409"/>
      <c r="Y214" s="409"/>
      <c r="Z214" s="409"/>
    </row>
    <row r="215" spans="1:26" ht="12.75" customHeight="1">
      <c r="A215" s="409"/>
      <c r="B215" s="409"/>
      <c r="C215" s="409"/>
      <c r="D215" s="409"/>
      <c r="E215" s="409"/>
      <c r="F215" s="409"/>
      <c r="G215" s="409"/>
      <c r="H215" s="409"/>
      <c r="I215" s="409"/>
      <c r="J215" s="409"/>
      <c r="K215" s="409"/>
      <c r="L215" s="409"/>
      <c r="M215" s="409"/>
      <c r="N215" s="409"/>
      <c r="O215" s="409"/>
      <c r="P215" s="409"/>
      <c r="Q215" s="409"/>
      <c r="R215" s="409"/>
      <c r="S215" s="409"/>
      <c r="T215" s="409"/>
      <c r="U215" s="409"/>
      <c r="V215" s="409"/>
      <c r="W215" s="409"/>
      <c r="X215" s="409"/>
      <c r="Y215" s="409"/>
      <c r="Z215" s="409"/>
    </row>
    <row r="216" spans="1:26" ht="12.75" customHeight="1">
      <c r="A216" s="409"/>
      <c r="B216" s="409"/>
      <c r="C216" s="409"/>
      <c r="D216" s="409"/>
      <c r="E216" s="409"/>
      <c r="F216" s="409"/>
      <c r="G216" s="409"/>
      <c r="H216" s="409"/>
      <c r="I216" s="409"/>
      <c r="J216" s="409"/>
      <c r="K216" s="409"/>
      <c r="L216" s="409"/>
      <c r="M216" s="409"/>
      <c r="N216" s="409"/>
      <c r="O216" s="409"/>
      <c r="P216" s="409"/>
      <c r="Q216" s="409"/>
      <c r="R216" s="409"/>
      <c r="S216" s="409"/>
      <c r="T216" s="409"/>
      <c r="U216" s="409"/>
      <c r="V216" s="409"/>
      <c r="W216" s="409"/>
      <c r="X216" s="409"/>
      <c r="Y216" s="409"/>
      <c r="Z216" s="409"/>
    </row>
    <row r="217" spans="1:26" ht="12.75" customHeight="1">
      <c r="A217" s="409"/>
      <c r="B217" s="409"/>
      <c r="C217" s="409"/>
      <c r="D217" s="409"/>
      <c r="E217" s="409"/>
      <c r="F217" s="409"/>
      <c r="G217" s="409"/>
      <c r="H217" s="409"/>
      <c r="I217" s="409"/>
      <c r="J217" s="409"/>
      <c r="K217" s="409"/>
      <c r="L217" s="409"/>
      <c r="M217" s="409"/>
      <c r="N217" s="409"/>
      <c r="O217" s="409"/>
      <c r="P217" s="409"/>
      <c r="Q217" s="409"/>
      <c r="R217" s="409"/>
      <c r="S217" s="409"/>
      <c r="T217" s="409"/>
      <c r="U217" s="409"/>
      <c r="V217" s="409"/>
      <c r="W217" s="409"/>
      <c r="X217" s="409"/>
      <c r="Y217" s="409"/>
      <c r="Z217" s="409"/>
    </row>
    <row r="218" spans="1:26" ht="12.75" customHeight="1">
      <c r="A218" s="409"/>
      <c r="B218" s="409"/>
      <c r="C218" s="409"/>
      <c r="D218" s="409"/>
      <c r="E218" s="409"/>
      <c r="F218" s="409"/>
      <c r="G218" s="409"/>
      <c r="H218" s="409"/>
      <c r="I218" s="409"/>
      <c r="J218" s="409"/>
      <c r="K218" s="409"/>
      <c r="L218" s="409"/>
      <c r="M218" s="409"/>
      <c r="N218" s="409"/>
      <c r="O218" s="409"/>
      <c r="P218" s="409"/>
      <c r="Q218" s="409"/>
      <c r="R218" s="409"/>
      <c r="S218" s="409"/>
      <c r="T218" s="409"/>
      <c r="U218" s="409"/>
      <c r="V218" s="409"/>
      <c r="W218" s="409"/>
      <c r="X218" s="409"/>
      <c r="Y218" s="409"/>
      <c r="Z218" s="409"/>
    </row>
    <row r="219" spans="1:26" ht="12.75" customHeight="1">
      <c r="A219" s="409"/>
      <c r="B219" s="409"/>
      <c r="C219" s="409"/>
      <c r="D219" s="409"/>
      <c r="E219" s="409"/>
      <c r="F219" s="409"/>
      <c r="G219" s="409"/>
      <c r="H219" s="409"/>
      <c r="I219" s="409"/>
      <c r="J219" s="409"/>
      <c r="K219" s="409"/>
      <c r="L219" s="409"/>
      <c r="M219" s="409"/>
      <c r="N219" s="409"/>
      <c r="O219" s="409"/>
      <c r="P219" s="409"/>
      <c r="Q219" s="409"/>
      <c r="R219" s="409"/>
      <c r="S219" s="409"/>
      <c r="T219" s="409"/>
      <c r="U219" s="409"/>
      <c r="V219" s="409"/>
      <c r="W219" s="409"/>
      <c r="X219" s="409"/>
      <c r="Y219" s="409"/>
      <c r="Z219" s="409"/>
    </row>
    <row r="220" spans="1:26" ht="12.75" customHeight="1">
      <c r="A220" s="409"/>
      <c r="B220" s="409"/>
      <c r="C220" s="409"/>
      <c r="D220" s="409"/>
      <c r="E220" s="409"/>
      <c r="F220" s="409"/>
      <c r="G220" s="409"/>
      <c r="H220" s="409"/>
      <c r="I220" s="409"/>
      <c r="J220" s="409"/>
      <c r="K220" s="409"/>
      <c r="L220" s="409"/>
      <c r="M220" s="409"/>
      <c r="N220" s="409"/>
      <c r="O220" s="409"/>
      <c r="P220" s="409"/>
      <c r="Q220" s="409"/>
      <c r="R220" s="409"/>
      <c r="S220" s="409"/>
      <c r="T220" s="409"/>
      <c r="U220" s="409"/>
      <c r="V220" s="409"/>
      <c r="W220" s="409"/>
      <c r="X220" s="409"/>
      <c r="Y220" s="409"/>
      <c r="Z220" s="409"/>
    </row>
    <row r="221" spans="1:26" ht="12.75" customHeight="1">
      <c r="A221" s="409"/>
      <c r="B221" s="409"/>
      <c r="C221" s="409"/>
      <c r="D221" s="409"/>
      <c r="E221" s="409"/>
      <c r="F221" s="409"/>
      <c r="G221" s="409"/>
      <c r="H221" s="409"/>
      <c r="I221" s="409"/>
      <c r="J221" s="409"/>
      <c r="K221" s="409"/>
      <c r="L221" s="409"/>
      <c r="M221" s="409"/>
      <c r="N221" s="409"/>
      <c r="O221" s="409"/>
      <c r="P221" s="409"/>
      <c r="Q221" s="409"/>
      <c r="R221" s="409"/>
      <c r="S221" s="409"/>
      <c r="T221" s="409"/>
      <c r="U221" s="409"/>
      <c r="V221" s="409"/>
      <c r="W221" s="409"/>
      <c r="X221" s="409"/>
      <c r="Y221" s="409"/>
      <c r="Z221" s="409"/>
    </row>
    <row r="222" spans="1:26" ht="12.75" customHeight="1">
      <c r="A222" s="409"/>
      <c r="B222" s="409"/>
      <c r="C222" s="409"/>
      <c r="D222" s="409"/>
      <c r="E222" s="409"/>
      <c r="F222" s="409"/>
      <c r="G222" s="409"/>
      <c r="H222" s="409"/>
      <c r="I222" s="409"/>
      <c r="J222" s="409"/>
      <c r="K222" s="409"/>
      <c r="L222" s="409"/>
      <c r="M222" s="409"/>
      <c r="N222" s="409"/>
      <c r="O222" s="409"/>
      <c r="P222" s="409"/>
      <c r="Q222" s="409"/>
      <c r="R222" s="409"/>
      <c r="S222" s="409"/>
      <c r="T222" s="409"/>
      <c r="U222" s="409"/>
      <c r="V222" s="409"/>
      <c r="W222" s="409"/>
      <c r="X222" s="409"/>
      <c r="Y222" s="409"/>
      <c r="Z222" s="409"/>
    </row>
    <row r="223" spans="1:26" ht="12.75" customHeight="1">
      <c r="A223" s="409"/>
      <c r="B223" s="409"/>
      <c r="C223" s="409"/>
      <c r="D223" s="409"/>
      <c r="E223" s="409"/>
      <c r="F223" s="409"/>
      <c r="G223" s="409"/>
      <c r="H223" s="409"/>
      <c r="I223" s="409"/>
      <c r="J223" s="409"/>
      <c r="K223" s="409"/>
      <c r="L223" s="409"/>
      <c r="M223" s="409"/>
      <c r="N223" s="409"/>
      <c r="O223" s="409"/>
      <c r="P223" s="409"/>
      <c r="Q223" s="409"/>
      <c r="R223" s="409"/>
      <c r="S223" s="409"/>
      <c r="T223" s="409"/>
      <c r="U223" s="409"/>
      <c r="V223" s="409"/>
      <c r="W223" s="409"/>
      <c r="X223" s="409"/>
      <c r="Y223" s="409"/>
      <c r="Z223" s="409"/>
    </row>
    <row r="224" spans="1:26" ht="12.75" customHeight="1">
      <c r="A224" s="409"/>
      <c r="B224" s="409"/>
      <c r="C224" s="409"/>
      <c r="D224" s="409"/>
      <c r="E224" s="409"/>
      <c r="F224" s="409"/>
      <c r="G224" s="409"/>
      <c r="H224" s="409"/>
      <c r="I224" s="409"/>
      <c r="J224" s="409"/>
      <c r="K224" s="409"/>
      <c r="L224" s="409"/>
      <c r="M224" s="409"/>
      <c r="N224" s="409"/>
      <c r="O224" s="409"/>
      <c r="P224" s="409"/>
      <c r="Q224" s="409"/>
      <c r="R224" s="409"/>
      <c r="S224" s="409"/>
      <c r="T224" s="409"/>
      <c r="U224" s="409"/>
      <c r="V224" s="409"/>
      <c r="W224" s="409"/>
      <c r="X224" s="409"/>
      <c r="Y224" s="409"/>
      <c r="Z224" s="409"/>
    </row>
    <row r="225" spans="1:26" ht="12.75" customHeight="1">
      <c r="A225" s="409"/>
      <c r="B225" s="409"/>
      <c r="C225" s="409"/>
      <c r="D225" s="409"/>
      <c r="E225" s="409"/>
      <c r="F225" s="409"/>
      <c r="G225" s="409"/>
      <c r="H225" s="409"/>
      <c r="I225" s="409"/>
      <c r="J225" s="409"/>
      <c r="K225" s="409"/>
      <c r="L225" s="409"/>
      <c r="M225" s="409"/>
      <c r="N225" s="409"/>
      <c r="O225" s="409"/>
      <c r="P225" s="409"/>
      <c r="Q225" s="409"/>
      <c r="R225" s="409"/>
      <c r="S225" s="409"/>
      <c r="T225" s="409"/>
      <c r="U225" s="409"/>
      <c r="V225" s="409"/>
      <c r="W225" s="409"/>
      <c r="X225" s="409"/>
      <c r="Y225" s="409"/>
      <c r="Z225" s="409"/>
    </row>
    <row r="226" spans="1:26" ht="12.75" customHeight="1">
      <c r="A226" s="409"/>
      <c r="B226" s="409"/>
      <c r="C226" s="409"/>
      <c r="D226" s="409"/>
      <c r="E226" s="409"/>
      <c r="F226" s="409"/>
      <c r="G226" s="409"/>
      <c r="H226" s="409"/>
      <c r="I226" s="409"/>
      <c r="J226" s="409"/>
      <c r="K226" s="409"/>
      <c r="L226" s="409"/>
      <c r="M226" s="409"/>
      <c r="N226" s="409"/>
      <c r="O226" s="409"/>
      <c r="P226" s="409"/>
      <c r="Q226" s="409"/>
      <c r="R226" s="409"/>
      <c r="S226" s="409"/>
      <c r="T226" s="409"/>
      <c r="U226" s="409"/>
      <c r="V226" s="409"/>
      <c r="W226" s="409"/>
      <c r="X226" s="409"/>
      <c r="Y226" s="409"/>
      <c r="Z226" s="409"/>
    </row>
    <row r="227" spans="1:26" ht="12.75" customHeight="1">
      <c r="A227" s="409"/>
      <c r="B227" s="409"/>
      <c r="C227" s="409"/>
      <c r="D227" s="409"/>
      <c r="E227" s="409"/>
      <c r="F227" s="409"/>
      <c r="G227" s="409"/>
      <c r="H227" s="409"/>
      <c r="I227" s="409"/>
      <c r="J227" s="409"/>
      <c r="K227" s="409"/>
      <c r="L227" s="409"/>
      <c r="M227" s="409"/>
      <c r="N227" s="409"/>
      <c r="O227" s="409"/>
      <c r="P227" s="409"/>
      <c r="Q227" s="409"/>
      <c r="R227" s="409"/>
      <c r="S227" s="409"/>
      <c r="T227" s="409"/>
      <c r="U227" s="409"/>
      <c r="V227" s="409"/>
      <c r="W227" s="409"/>
      <c r="X227" s="409"/>
      <c r="Y227" s="409"/>
      <c r="Z227" s="409"/>
    </row>
    <row r="228" spans="1:26" ht="12.75" customHeight="1">
      <c r="A228" s="409"/>
      <c r="B228" s="409"/>
      <c r="C228" s="409"/>
      <c r="D228" s="409"/>
      <c r="E228" s="409"/>
      <c r="F228" s="409"/>
      <c r="G228" s="409"/>
      <c r="H228" s="409"/>
      <c r="I228" s="409"/>
      <c r="J228" s="409"/>
      <c r="K228" s="409"/>
      <c r="L228" s="409"/>
      <c r="M228" s="409"/>
      <c r="N228" s="409"/>
      <c r="O228" s="409"/>
      <c r="P228" s="409"/>
      <c r="Q228" s="409"/>
      <c r="R228" s="409"/>
      <c r="S228" s="409"/>
      <c r="T228" s="409"/>
      <c r="U228" s="409"/>
      <c r="V228" s="409"/>
      <c r="W228" s="409"/>
      <c r="X228" s="409"/>
      <c r="Y228" s="409"/>
      <c r="Z228" s="409"/>
    </row>
    <row r="229" spans="1:26" ht="12.75" customHeight="1">
      <c r="A229" s="409"/>
      <c r="B229" s="409"/>
      <c r="C229" s="409"/>
      <c r="D229" s="409"/>
      <c r="E229" s="409"/>
      <c r="F229" s="409"/>
      <c r="G229" s="409"/>
      <c r="H229" s="409"/>
      <c r="I229" s="409"/>
      <c r="J229" s="409"/>
      <c r="K229" s="409"/>
      <c r="L229" s="409"/>
      <c r="M229" s="409"/>
      <c r="N229" s="409"/>
      <c r="O229" s="409"/>
      <c r="P229" s="409"/>
      <c r="Q229" s="409"/>
      <c r="R229" s="409"/>
      <c r="S229" s="409"/>
      <c r="T229" s="409"/>
      <c r="U229" s="409"/>
      <c r="V229" s="409"/>
      <c r="W229" s="409"/>
      <c r="X229" s="409"/>
      <c r="Y229" s="409"/>
      <c r="Z229" s="409"/>
    </row>
    <row r="230" spans="1:26" ht="12.75" customHeight="1">
      <c r="A230" s="409"/>
      <c r="B230" s="409"/>
      <c r="C230" s="409"/>
      <c r="D230" s="409"/>
      <c r="E230" s="409"/>
      <c r="F230" s="409"/>
      <c r="G230" s="409"/>
      <c r="H230" s="409"/>
      <c r="I230" s="409"/>
      <c r="J230" s="409"/>
      <c r="K230" s="409"/>
      <c r="L230" s="409"/>
      <c r="M230" s="409"/>
      <c r="N230" s="409"/>
      <c r="O230" s="409"/>
      <c r="P230" s="409"/>
      <c r="Q230" s="409"/>
      <c r="R230" s="409"/>
      <c r="S230" s="409"/>
      <c r="T230" s="409"/>
      <c r="U230" s="409"/>
      <c r="V230" s="409"/>
      <c r="W230" s="409"/>
      <c r="X230" s="409"/>
      <c r="Y230" s="409"/>
      <c r="Z230" s="409"/>
    </row>
    <row r="231" spans="1:26" ht="12.75" customHeight="1">
      <c r="A231" s="409"/>
      <c r="B231" s="409"/>
      <c r="C231" s="409"/>
      <c r="D231" s="409"/>
      <c r="E231" s="409"/>
      <c r="F231" s="409"/>
      <c r="G231" s="409"/>
      <c r="H231" s="409"/>
      <c r="I231" s="409"/>
      <c r="J231" s="409"/>
      <c r="K231" s="409"/>
      <c r="L231" s="409"/>
      <c r="M231" s="409"/>
      <c r="N231" s="409"/>
      <c r="O231" s="409"/>
      <c r="P231" s="409"/>
      <c r="Q231" s="409"/>
      <c r="R231" s="409"/>
      <c r="S231" s="409"/>
      <c r="T231" s="409"/>
      <c r="U231" s="409"/>
      <c r="V231" s="409"/>
      <c r="W231" s="409"/>
      <c r="X231" s="409"/>
      <c r="Y231" s="409"/>
      <c r="Z231" s="409"/>
    </row>
    <row r="232" spans="1:26" ht="12.75" customHeight="1">
      <c r="A232" s="409"/>
      <c r="B232" s="409"/>
      <c r="C232" s="409"/>
      <c r="D232" s="409"/>
      <c r="E232" s="409"/>
      <c r="F232" s="409"/>
      <c r="G232" s="409"/>
      <c r="H232" s="409"/>
      <c r="I232" s="409"/>
      <c r="J232" s="409"/>
      <c r="K232" s="409"/>
      <c r="L232" s="409"/>
      <c r="M232" s="409"/>
      <c r="N232" s="409"/>
      <c r="O232" s="409"/>
      <c r="P232" s="409"/>
      <c r="Q232" s="409"/>
      <c r="R232" s="409"/>
      <c r="S232" s="409"/>
      <c r="T232" s="409"/>
      <c r="U232" s="409"/>
      <c r="V232" s="409"/>
      <c r="W232" s="409"/>
      <c r="X232" s="409"/>
      <c r="Y232" s="409"/>
      <c r="Z232" s="409"/>
    </row>
    <row r="233" spans="1:26" ht="12.75" customHeight="1">
      <c r="A233" s="409"/>
      <c r="B233" s="409"/>
      <c r="C233" s="409"/>
      <c r="D233" s="409"/>
      <c r="E233" s="409"/>
      <c r="F233" s="409"/>
      <c r="G233" s="409"/>
      <c r="H233" s="409"/>
      <c r="I233" s="409"/>
      <c r="J233" s="409"/>
      <c r="K233" s="409"/>
      <c r="L233" s="409"/>
      <c r="M233" s="409"/>
      <c r="N233" s="409"/>
      <c r="O233" s="409"/>
      <c r="P233" s="409"/>
      <c r="Q233" s="409"/>
      <c r="R233" s="409"/>
      <c r="S233" s="409"/>
      <c r="T233" s="409"/>
      <c r="U233" s="409"/>
      <c r="V233" s="409"/>
      <c r="W233" s="409"/>
      <c r="X233" s="409"/>
      <c r="Y233" s="409"/>
      <c r="Z233" s="409"/>
    </row>
    <row r="234" spans="1:26" ht="12.75" customHeight="1">
      <c r="A234" s="409"/>
      <c r="B234" s="409"/>
      <c r="C234" s="409"/>
      <c r="D234" s="409"/>
      <c r="E234" s="409"/>
      <c r="F234" s="409"/>
      <c r="G234" s="409"/>
      <c r="H234" s="409"/>
      <c r="I234" s="409"/>
      <c r="J234" s="409"/>
      <c r="K234" s="409"/>
      <c r="L234" s="409"/>
      <c r="M234" s="409"/>
      <c r="N234" s="409"/>
      <c r="O234" s="409"/>
      <c r="P234" s="409"/>
      <c r="Q234" s="409"/>
      <c r="R234" s="409"/>
      <c r="S234" s="409"/>
      <c r="T234" s="409"/>
      <c r="U234" s="409"/>
      <c r="V234" s="409"/>
      <c r="W234" s="409"/>
      <c r="X234" s="409"/>
      <c r="Y234" s="409"/>
      <c r="Z234" s="409"/>
    </row>
    <row r="235" spans="1:26" ht="12.75" customHeight="1">
      <c r="A235" s="409"/>
      <c r="B235" s="409"/>
      <c r="C235" s="409"/>
      <c r="D235" s="409"/>
      <c r="E235" s="409"/>
      <c r="F235" s="409"/>
      <c r="G235" s="409"/>
      <c r="H235" s="409"/>
      <c r="I235" s="409"/>
      <c r="J235" s="409"/>
      <c r="K235" s="409"/>
      <c r="L235" s="409"/>
      <c r="M235" s="409"/>
      <c r="N235" s="409"/>
      <c r="O235" s="409"/>
      <c r="P235" s="409"/>
      <c r="Q235" s="409"/>
      <c r="R235" s="409"/>
      <c r="S235" s="409"/>
      <c r="T235" s="409"/>
      <c r="U235" s="409"/>
      <c r="V235" s="409"/>
      <c r="W235" s="409"/>
      <c r="X235" s="409"/>
      <c r="Y235" s="409"/>
      <c r="Z235" s="409"/>
    </row>
    <row r="236" spans="1:26" ht="12.75" customHeight="1">
      <c r="A236" s="409"/>
      <c r="B236" s="409"/>
      <c r="C236" s="409"/>
      <c r="D236" s="409"/>
      <c r="E236" s="409"/>
      <c r="F236" s="409"/>
      <c r="G236" s="409"/>
      <c r="H236" s="409"/>
      <c r="I236" s="409"/>
      <c r="J236" s="409"/>
      <c r="K236" s="409"/>
      <c r="L236" s="409"/>
      <c r="M236" s="409"/>
      <c r="N236" s="409"/>
      <c r="O236" s="409"/>
      <c r="P236" s="409"/>
      <c r="Q236" s="409"/>
      <c r="R236" s="409"/>
      <c r="S236" s="409"/>
      <c r="T236" s="409"/>
      <c r="U236" s="409"/>
      <c r="V236" s="409"/>
      <c r="W236" s="409"/>
      <c r="X236" s="409"/>
      <c r="Y236" s="409"/>
      <c r="Z236" s="409"/>
    </row>
    <row r="237" spans="1:26" ht="12.75" customHeight="1">
      <c r="A237" s="409"/>
      <c r="B237" s="409"/>
      <c r="C237" s="409"/>
      <c r="D237" s="409"/>
      <c r="E237" s="409"/>
      <c r="F237" s="409"/>
      <c r="G237" s="409"/>
      <c r="H237" s="409"/>
      <c r="I237" s="409"/>
      <c r="J237" s="409"/>
      <c r="K237" s="409"/>
      <c r="L237" s="409"/>
      <c r="M237" s="409"/>
      <c r="N237" s="409"/>
      <c r="O237" s="409"/>
      <c r="P237" s="409"/>
      <c r="Q237" s="409"/>
      <c r="R237" s="409"/>
      <c r="S237" s="409"/>
      <c r="T237" s="409"/>
      <c r="U237" s="409"/>
      <c r="V237" s="409"/>
      <c r="W237" s="409"/>
      <c r="X237" s="409"/>
      <c r="Y237" s="409"/>
      <c r="Z237" s="409"/>
    </row>
    <row r="238" spans="1:26" ht="12.75" customHeight="1">
      <c r="A238" s="409"/>
      <c r="B238" s="409"/>
      <c r="C238" s="409"/>
      <c r="D238" s="409"/>
      <c r="E238" s="409"/>
      <c r="F238" s="409"/>
      <c r="G238" s="409"/>
      <c r="H238" s="409"/>
      <c r="I238" s="409"/>
      <c r="J238" s="409"/>
      <c r="K238" s="409"/>
      <c r="L238" s="409"/>
      <c r="M238" s="409"/>
      <c r="N238" s="409"/>
      <c r="O238" s="409"/>
      <c r="P238" s="409"/>
      <c r="Q238" s="409"/>
      <c r="R238" s="409"/>
      <c r="S238" s="409"/>
      <c r="T238" s="409"/>
      <c r="U238" s="409"/>
      <c r="V238" s="409"/>
      <c r="W238" s="409"/>
      <c r="X238" s="409"/>
      <c r="Y238" s="409"/>
      <c r="Z238" s="409"/>
    </row>
    <row r="239" spans="1:26" ht="12.75" customHeight="1">
      <c r="A239" s="409"/>
      <c r="B239" s="409"/>
      <c r="C239" s="409"/>
      <c r="D239" s="409"/>
      <c r="E239" s="409"/>
      <c r="F239" s="409"/>
      <c r="G239" s="409"/>
      <c r="H239" s="409"/>
      <c r="I239" s="409"/>
      <c r="J239" s="409"/>
      <c r="K239" s="409"/>
      <c r="L239" s="409"/>
      <c r="M239" s="409"/>
      <c r="N239" s="409"/>
      <c r="O239" s="409"/>
      <c r="P239" s="409"/>
      <c r="Q239" s="409"/>
      <c r="R239" s="409"/>
      <c r="S239" s="409"/>
      <c r="T239" s="409"/>
      <c r="U239" s="409"/>
      <c r="V239" s="409"/>
      <c r="W239" s="409"/>
      <c r="X239" s="409"/>
      <c r="Y239" s="409"/>
      <c r="Z239" s="409"/>
    </row>
    <row r="240" spans="1:26" ht="12.75" customHeight="1">
      <c r="A240" s="409"/>
      <c r="B240" s="409"/>
      <c r="C240" s="409"/>
      <c r="D240" s="409"/>
      <c r="E240" s="409"/>
      <c r="F240" s="409"/>
      <c r="G240" s="409"/>
      <c r="H240" s="409"/>
      <c r="I240" s="409"/>
      <c r="J240" s="409"/>
      <c r="K240" s="409"/>
      <c r="L240" s="409"/>
      <c r="M240" s="409"/>
      <c r="N240" s="409"/>
      <c r="O240" s="409"/>
      <c r="P240" s="409"/>
      <c r="Q240" s="409"/>
      <c r="R240" s="409"/>
      <c r="S240" s="409"/>
      <c r="T240" s="409"/>
      <c r="U240" s="409"/>
      <c r="V240" s="409"/>
      <c r="W240" s="409"/>
      <c r="X240" s="409"/>
      <c r="Y240" s="409"/>
      <c r="Z240" s="409"/>
    </row>
    <row r="241" spans="1:26" ht="12.75" customHeight="1">
      <c r="A241" s="409"/>
      <c r="B241" s="409"/>
      <c r="C241" s="409"/>
      <c r="D241" s="409"/>
      <c r="E241" s="409"/>
      <c r="F241" s="409"/>
      <c r="G241" s="409"/>
      <c r="H241" s="409"/>
      <c r="I241" s="409"/>
      <c r="J241" s="409"/>
      <c r="K241" s="409"/>
      <c r="L241" s="409"/>
      <c r="M241" s="409"/>
      <c r="N241" s="409"/>
      <c r="O241" s="409"/>
      <c r="P241" s="409"/>
      <c r="Q241" s="409"/>
      <c r="R241" s="409"/>
      <c r="S241" s="409"/>
      <c r="T241" s="409"/>
      <c r="U241" s="409"/>
      <c r="V241" s="409"/>
      <c r="W241" s="409"/>
      <c r="X241" s="409"/>
      <c r="Y241" s="409"/>
      <c r="Z241" s="409"/>
    </row>
    <row r="242" spans="1:26" ht="12.75" customHeight="1">
      <c r="A242" s="409"/>
      <c r="B242" s="409"/>
      <c r="C242" s="409"/>
      <c r="D242" s="409"/>
      <c r="E242" s="409"/>
      <c r="F242" s="409"/>
      <c r="G242" s="409"/>
      <c r="H242" s="409"/>
      <c r="I242" s="409"/>
      <c r="J242" s="409"/>
      <c r="K242" s="409"/>
      <c r="L242" s="409"/>
      <c r="M242" s="409"/>
      <c r="N242" s="409"/>
      <c r="O242" s="409"/>
      <c r="P242" s="409"/>
      <c r="Q242" s="409"/>
      <c r="R242" s="409"/>
      <c r="S242" s="409"/>
      <c r="T242" s="409"/>
      <c r="U242" s="409"/>
      <c r="V242" s="409"/>
      <c r="W242" s="409"/>
      <c r="X242" s="409"/>
      <c r="Y242" s="409"/>
      <c r="Z242" s="409"/>
    </row>
    <row r="243" spans="1:26" ht="12.75" customHeight="1">
      <c r="A243" s="409"/>
      <c r="B243" s="409"/>
      <c r="C243" s="409"/>
      <c r="D243" s="409"/>
      <c r="E243" s="409"/>
      <c r="F243" s="409"/>
      <c r="G243" s="409"/>
      <c r="H243" s="409"/>
      <c r="I243" s="409"/>
      <c r="J243" s="409"/>
      <c r="K243" s="409"/>
      <c r="L243" s="409"/>
      <c r="M243" s="409"/>
      <c r="N243" s="409"/>
      <c r="O243" s="409"/>
      <c r="P243" s="409"/>
      <c r="Q243" s="409"/>
      <c r="R243" s="409"/>
      <c r="S243" s="409"/>
      <c r="T243" s="409"/>
      <c r="U243" s="409"/>
      <c r="V243" s="409"/>
      <c r="W243" s="409"/>
      <c r="X243" s="409"/>
      <c r="Y243" s="409"/>
      <c r="Z243" s="409"/>
    </row>
    <row r="244" spans="1:26" ht="12.75" customHeight="1">
      <c r="A244" s="409"/>
      <c r="B244" s="409"/>
      <c r="C244" s="409"/>
      <c r="D244" s="409"/>
      <c r="E244" s="409"/>
      <c r="F244" s="409"/>
      <c r="G244" s="409"/>
      <c r="H244" s="409"/>
      <c r="I244" s="409"/>
      <c r="J244" s="409"/>
      <c r="K244" s="409"/>
      <c r="L244" s="409"/>
      <c r="M244" s="409"/>
      <c r="N244" s="409"/>
      <c r="O244" s="409"/>
      <c r="P244" s="409"/>
      <c r="Q244" s="409"/>
      <c r="R244" s="409"/>
      <c r="S244" s="409"/>
      <c r="T244" s="409"/>
      <c r="U244" s="409"/>
      <c r="V244" s="409"/>
      <c r="W244" s="409"/>
      <c r="X244" s="409"/>
      <c r="Y244" s="409"/>
      <c r="Z244" s="409"/>
    </row>
    <row r="245" spans="1:26" ht="12.75" customHeight="1">
      <c r="A245" s="409"/>
      <c r="B245" s="409"/>
      <c r="C245" s="409"/>
      <c r="D245" s="409"/>
      <c r="E245" s="409"/>
      <c r="F245" s="409"/>
      <c r="G245" s="409"/>
      <c r="H245" s="409"/>
      <c r="I245" s="409"/>
      <c r="J245" s="409"/>
      <c r="K245" s="409"/>
      <c r="L245" s="409"/>
      <c r="M245" s="409"/>
      <c r="N245" s="409"/>
      <c r="O245" s="409"/>
      <c r="P245" s="409"/>
      <c r="Q245" s="409"/>
      <c r="R245" s="409"/>
      <c r="S245" s="409"/>
      <c r="T245" s="409"/>
      <c r="U245" s="409"/>
      <c r="V245" s="409"/>
      <c r="W245" s="409"/>
      <c r="X245" s="409"/>
      <c r="Y245" s="409"/>
      <c r="Z245" s="409"/>
    </row>
    <row r="246" spans="1:26" ht="12.75" customHeight="1">
      <c r="A246" s="409"/>
      <c r="B246" s="409"/>
      <c r="C246" s="409"/>
      <c r="D246" s="409"/>
      <c r="E246" s="409"/>
      <c r="F246" s="409"/>
      <c r="G246" s="409"/>
      <c r="H246" s="409"/>
      <c r="I246" s="409"/>
      <c r="J246" s="409"/>
      <c r="K246" s="409"/>
      <c r="L246" s="409"/>
      <c r="M246" s="409"/>
      <c r="N246" s="409"/>
      <c r="O246" s="409"/>
      <c r="P246" s="409"/>
      <c r="Q246" s="409"/>
      <c r="R246" s="409"/>
      <c r="S246" s="409"/>
      <c r="T246" s="409"/>
      <c r="U246" s="409"/>
      <c r="V246" s="409"/>
      <c r="W246" s="409"/>
      <c r="X246" s="409"/>
      <c r="Y246" s="409"/>
      <c r="Z246" s="409"/>
    </row>
    <row r="247" spans="1:26" ht="12.75" customHeight="1">
      <c r="A247" s="409"/>
      <c r="B247" s="409"/>
      <c r="C247" s="409"/>
      <c r="D247" s="409"/>
      <c r="E247" s="409"/>
      <c r="F247" s="409"/>
      <c r="G247" s="409"/>
      <c r="H247" s="409"/>
      <c r="I247" s="409"/>
      <c r="J247" s="409"/>
      <c r="K247" s="409"/>
      <c r="L247" s="409"/>
      <c r="M247" s="409"/>
      <c r="N247" s="409"/>
      <c r="O247" s="409"/>
      <c r="P247" s="409"/>
      <c r="Q247" s="409"/>
      <c r="R247" s="409"/>
      <c r="S247" s="409"/>
      <c r="T247" s="409"/>
      <c r="U247" s="409"/>
      <c r="V247" s="409"/>
      <c r="W247" s="409"/>
      <c r="X247" s="409"/>
      <c r="Y247" s="409"/>
      <c r="Z247" s="409"/>
    </row>
    <row r="248" spans="1:26" ht="12.75" customHeight="1">
      <c r="A248" s="409"/>
      <c r="B248" s="409"/>
      <c r="C248" s="409"/>
      <c r="D248" s="409"/>
      <c r="E248" s="409"/>
      <c r="F248" s="409"/>
      <c r="G248" s="409"/>
      <c r="H248" s="409"/>
      <c r="I248" s="409"/>
      <c r="J248" s="409"/>
      <c r="K248" s="409"/>
      <c r="L248" s="409"/>
      <c r="M248" s="409"/>
      <c r="N248" s="409"/>
      <c r="O248" s="409"/>
      <c r="P248" s="409"/>
      <c r="Q248" s="409"/>
      <c r="R248" s="409"/>
      <c r="S248" s="409"/>
      <c r="T248" s="409"/>
      <c r="U248" s="409"/>
      <c r="V248" s="409"/>
      <c r="W248" s="409"/>
      <c r="X248" s="409"/>
      <c r="Y248" s="409"/>
      <c r="Z248" s="409"/>
    </row>
    <row r="249" spans="1:26" ht="12.75" customHeight="1">
      <c r="A249" s="409"/>
      <c r="B249" s="409"/>
      <c r="C249" s="409"/>
      <c r="D249" s="409"/>
      <c r="E249" s="409"/>
      <c r="F249" s="409"/>
      <c r="G249" s="409"/>
      <c r="H249" s="409"/>
      <c r="I249" s="409"/>
      <c r="J249" s="409"/>
      <c r="K249" s="409"/>
      <c r="L249" s="409"/>
      <c r="M249" s="409"/>
      <c r="N249" s="409"/>
      <c r="O249" s="409"/>
      <c r="P249" s="409"/>
      <c r="Q249" s="409"/>
      <c r="R249" s="409"/>
      <c r="S249" s="409"/>
      <c r="T249" s="409"/>
      <c r="U249" s="409"/>
      <c r="V249" s="409"/>
      <c r="W249" s="409"/>
      <c r="X249" s="409"/>
      <c r="Y249" s="409"/>
      <c r="Z249" s="409"/>
    </row>
    <row r="250" spans="1:26" ht="12.75" customHeight="1">
      <c r="A250" s="409"/>
      <c r="B250" s="409"/>
      <c r="C250" s="409"/>
      <c r="D250" s="409"/>
      <c r="E250" s="409"/>
      <c r="F250" s="409"/>
      <c r="G250" s="409"/>
      <c r="H250" s="409"/>
      <c r="I250" s="409"/>
      <c r="J250" s="409"/>
      <c r="K250" s="409"/>
      <c r="L250" s="409"/>
      <c r="M250" s="409"/>
      <c r="N250" s="409"/>
      <c r="O250" s="409"/>
      <c r="P250" s="409"/>
      <c r="Q250" s="409"/>
      <c r="R250" s="409"/>
      <c r="S250" s="409"/>
      <c r="T250" s="409"/>
      <c r="U250" s="409"/>
      <c r="V250" s="409"/>
      <c r="W250" s="409"/>
      <c r="X250" s="409"/>
      <c r="Y250" s="409"/>
      <c r="Z250" s="409"/>
    </row>
    <row r="251" spans="1:26" ht="12.75" customHeight="1">
      <c r="A251" s="409"/>
      <c r="B251" s="409"/>
      <c r="C251" s="409"/>
      <c r="D251" s="409"/>
      <c r="E251" s="409"/>
      <c r="F251" s="409"/>
      <c r="G251" s="409"/>
      <c r="H251" s="409"/>
      <c r="I251" s="409"/>
      <c r="J251" s="409"/>
      <c r="K251" s="409"/>
      <c r="L251" s="409"/>
      <c r="M251" s="409"/>
      <c r="N251" s="409"/>
      <c r="O251" s="409"/>
      <c r="P251" s="409"/>
      <c r="Q251" s="409"/>
      <c r="R251" s="409"/>
      <c r="S251" s="409"/>
      <c r="T251" s="409"/>
      <c r="U251" s="409"/>
      <c r="V251" s="409"/>
      <c r="W251" s="409"/>
      <c r="X251" s="409"/>
      <c r="Y251" s="409"/>
      <c r="Z251" s="409"/>
    </row>
    <row r="252" spans="1:26" ht="12.75" customHeight="1">
      <c r="A252" s="409"/>
      <c r="B252" s="409"/>
      <c r="C252" s="409"/>
      <c r="D252" s="409"/>
      <c r="E252" s="409"/>
      <c r="F252" s="409"/>
      <c r="G252" s="409"/>
      <c r="H252" s="409"/>
      <c r="I252" s="409"/>
      <c r="J252" s="409"/>
      <c r="K252" s="409"/>
      <c r="L252" s="409"/>
      <c r="M252" s="409"/>
      <c r="N252" s="409"/>
      <c r="O252" s="409"/>
      <c r="P252" s="409"/>
      <c r="Q252" s="409"/>
      <c r="R252" s="409"/>
      <c r="S252" s="409"/>
      <c r="T252" s="409"/>
      <c r="U252" s="409"/>
      <c r="V252" s="409"/>
      <c r="W252" s="409"/>
      <c r="X252" s="409"/>
      <c r="Y252" s="409"/>
      <c r="Z252" s="409"/>
    </row>
    <row r="253" spans="1:26" ht="12.75" customHeight="1">
      <c r="A253" s="409"/>
      <c r="B253" s="409"/>
      <c r="C253" s="409"/>
      <c r="D253" s="409"/>
      <c r="E253" s="409"/>
      <c r="F253" s="409"/>
      <c r="G253" s="409"/>
      <c r="H253" s="409"/>
      <c r="I253" s="409"/>
      <c r="J253" s="409"/>
      <c r="K253" s="409"/>
      <c r="L253" s="409"/>
      <c r="M253" s="409"/>
      <c r="N253" s="409"/>
      <c r="O253" s="409"/>
      <c r="P253" s="409"/>
      <c r="Q253" s="409"/>
      <c r="R253" s="409"/>
      <c r="S253" s="409"/>
      <c r="T253" s="409"/>
      <c r="U253" s="409"/>
      <c r="V253" s="409"/>
      <c r="W253" s="409"/>
      <c r="X253" s="409"/>
      <c r="Y253" s="409"/>
      <c r="Z253" s="409"/>
    </row>
    <row r="254" spans="1:26" ht="12.75" customHeight="1">
      <c r="A254" s="409"/>
      <c r="B254" s="409"/>
      <c r="C254" s="409"/>
      <c r="D254" s="409"/>
      <c r="E254" s="409"/>
      <c r="F254" s="409"/>
      <c r="G254" s="409"/>
      <c r="H254" s="409"/>
      <c r="I254" s="409"/>
      <c r="J254" s="409"/>
      <c r="K254" s="409"/>
      <c r="L254" s="409"/>
      <c r="M254" s="409"/>
      <c r="N254" s="409"/>
      <c r="O254" s="409"/>
      <c r="P254" s="409"/>
      <c r="Q254" s="409"/>
      <c r="R254" s="409"/>
      <c r="S254" s="409"/>
      <c r="T254" s="409"/>
      <c r="U254" s="409"/>
      <c r="V254" s="409"/>
      <c r="W254" s="409"/>
      <c r="X254" s="409"/>
      <c r="Y254" s="409"/>
      <c r="Z254" s="409"/>
    </row>
    <row r="255" spans="1:26" ht="12.75" customHeight="1">
      <c r="A255" s="409"/>
      <c r="B255" s="409"/>
      <c r="C255" s="409"/>
      <c r="D255" s="409"/>
      <c r="E255" s="409"/>
      <c r="F255" s="409"/>
      <c r="G255" s="409"/>
      <c r="H255" s="409"/>
      <c r="I255" s="409"/>
      <c r="J255" s="409"/>
      <c r="K255" s="409"/>
      <c r="L255" s="409"/>
      <c r="M255" s="409"/>
      <c r="N255" s="409"/>
      <c r="O255" s="409"/>
      <c r="P255" s="409"/>
      <c r="Q255" s="409"/>
      <c r="R255" s="409"/>
      <c r="S255" s="409"/>
      <c r="T255" s="409"/>
      <c r="U255" s="409"/>
      <c r="V255" s="409"/>
      <c r="W255" s="409"/>
      <c r="X255" s="409"/>
      <c r="Y255" s="409"/>
      <c r="Z255" s="409"/>
    </row>
    <row r="256" spans="1:26" ht="12.75" customHeight="1">
      <c r="A256" s="409"/>
      <c r="B256" s="409"/>
      <c r="C256" s="409"/>
      <c r="D256" s="409"/>
      <c r="E256" s="409"/>
      <c r="F256" s="409"/>
      <c r="G256" s="409"/>
      <c r="H256" s="409"/>
      <c r="I256" s="409"/>
      <c r="J256" s="409"/>
      <c r="K256" s="409"/>
      <c r="L256" s="409"/>
      <c r="M256" s="409"/>
      <c r="N256" s="409"/>
      <c r="O256" s="409"/>
      <c r="P256" s="409"/>
      <c r="Q256" s="409"/>
      <c r="R256" s="409"/>
      <c r="S256" s="409"/>
      <c r="T256" s="409"/>
      <c r="U256" s="409"/>
      <c r="V256" s="409"/>
      <c r="W256" s="409"/>
      <c r="X256" s="409"/>
      <c r="Y256" s="409"/>
      <c r="Z256" s="409"/>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8">
    <mergeCell ref="D30:F30"/>
    <mergeCell ref="G30:H30"/>
    <mergeCell ref="I30:J30"/>
    <mergeCell ref="K30:L30"/>
    <mergeCell ref="I32:J32"/>
    <mergeCell ref="I33:J33"/>
    <mergeCell ref="K33:L33"/>
    <mergeCell ref="I37:J37"/>
    <mergeCell ref="I38:J38"/>
    <mergeCell ref="E48:G48"/>
    <mergeCell ref="E56:G56"/>
    <mergeCell ref="K38:L38"/>
    <mergeCell ref="J51:L55"/>
    <mergeCell ref="I34:J34"/>
    <mergeCell ref="K34:L34"/>
    <mergeCell ref="I35:J35"/>
    <mergeCell ref="K35:L35"/>
    <mergeCell ref="I36:J36"/>
    <mergeCell ref="K36:L36"/>
    <mergeCell ref="K37:L37"/>
    <mergeCell ref="K16:L16"/>
    <mergeCell ref="I11:J11"/>
    <mergeCell ref="K11:L11"/>
    <mergeCell ref="C2:C3"/>
    <mergeCell ref="E2:F2"/>
    <mergeCell ref="G2:H2"/>
    <mergeCell ref="I2:J2"/>
    <mergeCell ref="K2:L2"/>
    <mergeCell ref="E11:F11"/>
    <mergeCell ref="G11:H11"/>
    <mergeCell ref="E13:F13"/>
    <mergeCell ref="G13:H13"/>
    <mergeCell ref="I13:J13"/>
    <mergeCell ref="K13:L13"/>
    <mergeCell ref="I14:J14"/>
    <mergeCell ref="K14:L14"/>
    <mergeCell ref="C14:C15"/>
    <mergeCell ref="E14:F14"/>
    <mergeCell ref="G14:H14"/>
    <mergeCell ref="E18:F18"/>
    <mergeCell ref="E20:F20"/>
    <mergeCell ref="G20:H20"/>
    <mergeCell ref="I20:J20"/>
    <mergeCell ref="K20:L20"/>
    <mergeCell ref="E15:F15"/>
    <mergeCell ref="G15:H15"/>
    <mergeCell ref="E16:F16"/>
    <mergeCell ref="G16:H16"/>
    <mergeCell ref="E17:F17"/>
    <mergeCell ref="G17:H17"/>
    <mergeCell ref="G18:H18"/>
    <mergeCell ref="I17:J17"/>
    <mergeCell ref="K17:L17"/>
    <mergeCell ref="I18:J18"/>
    <mergeCell ref="K18:L18"/>
    <mergeCell ref="I15:J15"/>
    <mergeCell ref="K15:L15"/>
    <mergeCell ref="I16:J16"/>
  </mergeCells>
  <conditionalFormatting sqref="F23:F27">
    <cfRule type="cellIs" dxfId="24" priority="1" operator="notBetween">
      <formula>$I$38-($I$39*2)</formula>
      <formula>$I$38+($I$39*2)</formula>
    </cfRule>
  </conditionalFormatting>
  <conditionalFormatting sqref="E23:E27">
    <cfRule type="cellIs" dxfId="23" priority="2" operator="notBetween">
      <formula>$I$38-($I$39*2)</formula>
      <formula>$I$38+($I$39*2)</formula>
    </cfRule>
  </conditionalFormatting>
  <conditionalFormatting sqref="G23:H26 H27">
    <cfRule type="cellIs" dxfId="22" priority="3" operator="notBetween">
      <formula>$K$38-($K$39*2)</formula>
      <formula>$K$38+($K$39*2)</formula>
    </cfRule>
  </conditionalFormatting>
  <conditionalFormatting sqref="I23:J27">
    <cfRule type="cellIs" dxfId="21" priority="4" operator="notBetween">
      <formula>$K$38-($K$39*2)</formula>
      <formula>$K$38+($K$39*2)</formula>
    </cfRule>
  </conditionalFormatting>
  <conditionalFormatting sqref="K23:L27">
    <cfRule type="cellIs" dxfId="20" priority="5" operator="notBetween">
      <formula>$K$38-($K$39*2)</formula>
      <formula>$K$38+($K$39*2)</formula>
    </cfRule>
  </conditionalFormatting>
  <conditionalFormatting sqref="G27">
    <cfRule type="cellIs" dxfId="19" priority="6" operator="notBetween">
      <formula>$I$38-($I$39*2)</formula>
      <formula>$I$38+($I$39*2)</formula>
    </cfRule>
  </conditionalFormatting>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topLeftCell="B1" workbookViewId="0"/>
  </sheetViews>
  <sheetFormatPr defaultColWidth="14.453125" defaultRowHeight="15" customHeight="1"/>
  <cols>
    <col min="1" max="1" width="6.08984375" hidden="1" customWidth="1"/>
    <col min="2" max="2" width="1.81640625" customWidth="1"/>
    <col min="3" max="3" width="12.08984375" customWidth="1"/>
    <col min="4" max="4" width="9.81640625" customWidth="1"/>
    <col min="5" max="5" width="8.08984375" customWidth="1"/>
    <col min="6" max="6" width="9.08984375" customWidth="1"/>
    <col min="7" max="12" width="11.7265625" customWidth="1"/>
    <col min="13" max="13" width="2" customWidth="1"/>
    <col min="14" max="14" width="6.08984375" hidden="1" customWidth="1"/>
    <col min="15" max="26" width="8.7265625" customWidth="1"/>
  </cols>
  <sheetData>
    <row r="1" spans="1:26" ht="12.75" customHeight="1">
      <c r="A1" s="409"/>
      <c r="B1" s="409"/>
      <c r="C1" s="409"/>
      <c r="D1" s="409"/>
      <c r="E1" s="409"/>
      <c r="F1" s="409"/>
      <c r="G1" s="409"/>
      <c r="H1" s="409"/>
      <c r="I1" s="409"/>
      <c r="J1" s="409"/>
      <c r="K1" s="409"/>
      <c r="L1" s="409"/>
      <c r="M1" s="409"/>
      <c r="N1" s="409"/>
      <c r="O1" s="467"/>
      <c r="P1" s="467"/>
      <c r="Q1" s="467"/>
      <c r="R1" s="467"/>
      <c r="S1" s="467"/>
      <c r="T1" s="467"/>
      <c r="U1" s="467"/>
      <c r="V1" s="467"/>
      <c r="W1" s="467"/>
      <c r="X1" s="467"/>
      <c r="Y1" s="467"/>
      <c r="Z1" s="467"/>
    </row>
    <row r="2" spans="1:26" ht="12.75" customHeight="1">
      <c r="A2" s="409"/>
      <c r="B2" s="409"/>
      <c r="C2" s="730" t="s">
        <v>15</v>
      </c>
      <c r="D2" s="468"/>
      <c r="E2" s="729" t="str">
        <f>Ticker</f>
        <v>TSM</v>
      </c>
      <c r="F2" s="687"/>
      <c r="G2" s="729" t="str">
        <f>Comp1Ticker</f>
        <v>Texas Instruments</v>
      </c>
      <c r="H2" s="687"/>
      <c r="I2" s="729" t="str">
        <f>Comp2Ticker</f>
        <v>Intel Corporation</v>
      </c>
      <c r="J2" s="687"/>
      <c r="K2" s="729" t="str">
        <f>Comp3Ticker</f>
        <v>Broadcom</v>
      </c>
      <c r="L2" s="687"/>
      <c r="M2" s="412"/>
      <c r="N2" s="413"/>
      <c r="O2" s="467"/>
      <c r="P2" s="467"/>
      <c r="Q2" s="467"/>
      <c r="R2" s="467"/>
      <c r="S2" s="467"/>
      <c r="T2" s="467"/>
      <c r="U2" s="467"/>
      <c r="V2" s="467"/>
      <c r="W2" s="467"/>
      <c r="X2" s="467"/>
      <c r="Y2" s="467"/>
      <c r="Z2" s="467"/>
    </row>
    <row r="3" spans="1:26" ht="12.75" customHeight="1">
      <c r="A3" s="409"/>
      <c r="B3" s="409"/>
      <c r="C3" s="713"/>
      <c r="D3" s="469" t="s">
        <v>121</v>
      </c>
      <c r="E3" s="414" t="s">
        <v>265</v>
      </c>
      <c r="F3" s="415" t="s">
        <v>266</v>
      </c>
      <c r="G3" s="413" t="s">
        <v>265</v>
      </c>
      <c r="H3" s="415" t="s">
        <v>266</v>
      </c>
      <c r="I3" s="413" t="s">
        <v>265</v>
      </c>
      <c r="J3" s="415" t="s">
        <v>266</v>
      </c>
      <c r="K3" s="413" t="s">
        <v>265</v>
      </c>
      <c r="L3" s="415" t="s">
        <v>266</v>
      </c>
      <c r="M3" s="413"/>
      <c r="N3" s="416"/>
      <c r="O3" s="467"/>
      <c r="P3" s="467"/>
      <c r="Q3" s="467"/>
      <c r="R3" s="467"/>
      <c r="S3" s="467"/>
      <c r="T3" s="467"/>
      <c r="U3" s="467"/>
      <c r="V3" s="467"/>
      <c r="W3" s="467"/>
      <c r="X3" s="467"/>
      <c r="Y3" s="467"/>
      <c r="Z3" s="467"/>
    </row>
    <row r="4" spans="1:26" ht="12.75" customHeight="1">
      <c r="A4" s="409"/>
      <c r="B4" s="409"/>
      <c r="C4" s="417"/>
      <c r="D4" s="470"/>
      <c r="E4" s="419"/>
      <c r="F4" s="420"/>
      <c r="G4" s="419"/>
      <c r="H4" s="420"/>
      <c r="I4" s="419"/>
      <c r="J4" s="420"/>
      <c r="K4" s="419"/>
      <c r="L4" s="420"/>
      <c r="M4" s="421"/>
      <c r="N4" s="416"/>
      <c r="O4" s="467"/>
      <c r="P4" s="467"/>
      <c r="Q4" s="467"/>
      <c r="R4" s="467"/>
      <c r="S4" s="467"/>
      <c r="T4" s="467"/>
      <c r="U4" s="467"/>
      <c r="V4" s="467"/>
      <c r="W4" s="467"/>
      <c r="X4" s="467"/>
      <c r="Y4" s="467"/>
      <c r="Z4" s="467"/>
    </row>
    <row r="5" spans="1:26" ht="12.75" customHeight="1">
      <c r="A5" s="409"/>
      <c r="B5" s="409"/>
      <c r="C5" s="414" t="s">
        <v>267</v>
      </c>
      <c r="D5" s="470">
        <f>Historical1</f>
        <v>2016</v>
      </c>
      <c r="E5" s="419">
        <f>HistPE!E5</f>
        <v>28.34</v>
      </c>
      <c r="F5" s="420">
        <f>HistPE!F5</f>
        <v>30.639999</v>
      </c>
      <c r="G5" s="419">
        <f>HistPE!G5</f>
        <v>69.92</v>
      </c>
      <c r="H5" s="420">
        <f>HistPE!H5</f>
        <v>75.150000000000006</v>
      </c>
      <c r="I5" s="419">
        <f>HistPE!I5</f>
        <v>33.56</v>
      </c>
      <c r="J5" s="420">
        <f>HistPE!J5</f>
        <v>37.35</v>
      </c>
      <c r="K5" s="419">
        <f>HistPE!K5</f>
        <v>160.62</v>
      </c>
      <c r="L5" s="420">
        <f>HistPE!L5</f>
        <v>183.99</v>
      </c>
      <c r="M5" s="409"/>
      <c r="N5" s="416"/>
      <c r="O5" s="467"/>
      <c r="P5" s="467"/>
      <c r="Q5" s="467"/>
      <c r="R5" s="467"/>
      <c r="S5" s="467"/>
      <c r="T5" s="467"/>
      <c r="U5" s="467"/>
      <c r="V5" s="467"/>
      <c r="W5" s="467"/>
      <c r="X5" s="467"/>
      <c r="Y5" s="467"/>
      <c r="Z5" s="467"/>
    </row>
    <row r="6" spans="1:26" ht="12.75" customHeight="1">
      <c r="A6" s="409"/>
      <c r="B6" s="409"/>
      <c r="C6" s="417"/>
      <c r="D6" s="470">
        <f t="shared" ref="D6:D9" si="0">D5+1</f>
        <v>2017</v>
      </c>
      <c r="E6" s="419">
        <f>HistPE!E6</f>
        <v>28.98</v>
      </c>
      <c r="F6" s="420">
        <f>HistPE!F6</f>
        <v>43.02</v>
      </c>
      <c r="G6" s="419">
        <f>HistPE!G6</f>
        <v>72.47</v>
      </c>
      <c r="H6" s="420">
        <f>HistPE!H6</f>
        <v>105.33</v>
      </c>
      <c r="I6" s="419">
        <f>HistPE!I6</f>
        <v>33.229999999999997</v>
      </c>
      <c r="J6" s="420">
        <f>HistPE!J6</f>
        <v>47.34</v>
      </c>
      <c r="K6" s="419">
        <f>HistPE!K6</f>
        <v>173.31</v>
      </c>
      <c r="L6" s="420">
        <f>HistPE!L6</f>
        <v>285.68</v>
      </c>
      <c r="M6" s="412"/>
      <c r="N6" s="416"/>
      <c r="O6" s="467"/>
      <c r="P6" s="467"/>
      <c r="Q6" s="467"/>
      <c r="R6" s="467"/>
      <c r="S6" s="467"/>
      <c r="T6" s="467"/>
      <c r="U6" s="467"/>
      <c r="V6" s="467"/>
      <c r="W6" s="467"/>
      <c r="X6" s="467"/>
      <c r="Y6" s="467"/>
      <c r="Z6" s="467"/>
    </row>
    <row r="7" spans="1:26" ht="12.75" customHeight="1">
      <c r="A7" s="409"/>
      <c r="B7" s="409"/>
      <c r="C7" s="417"/>
      <c r="D7" s="470">
        <f t="shared" si="0"/>
        <v>2018</v>
      </c>
      <c r="E7" s="419">
        <f>HistPE!E7</f>
        <v>35.22</v>
      </c>
      <c r="F7" s="420">
        <f>HistPE!F7</f>
        <v>46.57</v>
      </c>
      <c r="G7" s="419">
        <f>HistPE!G7</f>
        <v>87.7</v>
      </c>
      <c r="H7" s="420">
        <f>HistPE!H7</f>
        <v>120.75</v>
      </c>
      <c r="I7" s="419">
        <f>HistPE!I7</f>
        <v>42.04</v>
      </c>
      <c r="J7" s="420">
        <f>HistPE!J7</f>
        <v>57.6</v>
      </c>
      <c r="K7" s="419">
        <f>HistPE!K7</f>
        <v>197.46</v>
      </c>
      <c r="L7" s="420">
        <f>HistPE!L7</f>
        <v>274.26</v>
      </c>
      <c r="M7" s="413"/>
      <c r="N7" s="416"/>
      <c r="O7" s="467"/>
      <c r="P7" s="467"/>
      <c r="Q7" s="467"/>
      <c r="R7" s="467"/>
      <c r="S7" s="467"/>
      <c r="T7" s="467"/>
      <c r="U7" s="467"/>
      <c r="V7" s="467"/>
      <c r="W7" s="467"/>
      <c r="X7" s="467"/>
      <c r="Y7" s="467"/>
      <c r="Z7" s="467"/>
    </row>
    <row r="8" spans="1:26" ht="12.75" customHeight="1">
      <c r="A8" s="409"/>
      <c r="B8" s="409"/>
      <c r="C8" s="417"/>
      <c r="D8" s="470">
        <f t="shared" si="0"/>
        <v>2019</v>
      </c>
      <c r="E8" s="419">
        <f>HistPE!E8</f>
        <v>34.21</v>
      </c>
      <c r="F8" s="420">
        <f>HistPE!F8</f>
        <v>59.71</v>
      </c>
      <c r="G8" s="419">
        <f>HistPE!G8</f>
        <v>88.68</v>
      </c>
      <c r="H8" s="420">
        <f>HistPE!H8</f>
        <v>132.19999999999999</v>
      </c>
      <c r="I8" s="419">
        <f>HistPE!I8</f>
        <v>42.86</v>
      </c>
      <c r="J8" s="420">
        <f>HistPE!J8</f>
        <v>60.48</v>
      </c>
      <c r="K8" s="419">
        <f>HistPE!K8</f>
        <v>230.33</v>
      </c>
      <c r="L8" s="420">
        <f>HistPE!L8</f>
        <v>331.2</v>
      </c>
      <c r="M8" s="409"/>
      <c r="N8" s="409"/>
      <c r="O8" s="467"/>
      <c r="P8" s="467"/>
      <c r="Q8" s="467"/>
      <c r="R8" s="467"/>
      <c r="S8" s="467"/>
      <c r="T8" s="467"/>
      <c r="U8" s="467"/>
      <c r="V8" s="467"/>
      <c r="W8" s="467"/>
      <c r="X8" s="467"/>
      <c r="Y8" s="467"/>
      <c r="Z8" s="467"/>
    </row>
    <row r="9" spans="1:26" ht="12.75" customHeight="1">
      <c r="A9" s="409"/>
      <c r="B9" s="409"/>
      <c r="C9" s="417"/>
      <c r="D9" s="470">
        <f t="shared" si="0"/>
        <v>2020</v>
      </c>
      <c r="E9" s="471">
        <f>HistPE!E9</f>
        <v>42.7</v>
      </c>
      <c r="F9" s="472">
        <f>HistPE!F9</f>
        <v>109.699</v>
      </c>
      <c r="G9" s="471">
        <f>HistPE!G9</f>
        <v>93.09</v>
      </c>
      <c r="H9" s="472">
        <f>HistPE!H9</f>
        <v>167.24</v>
      </c>
      <c r="I9" s="471">
        <f>HistPE!I9</f>
        <v>43.61</v>
      </c>
      <c r="J9" s="472">
        <f>HistPE!J9</f>
        <v>69.290000000000006</v>
      </c>
      <c r="K9" s="471">
        <f>HistPE!K9</f>
        <v>155.66999999999999</v>
      </c>
      <c r="L9" s="472">
        <f>HistPE!L9</f>
        <v>438.5</v>
      </c>
      <c r="M9" s="409"/>
      <c r="N9" s="416"/>
      <c r="O9" s="467"/>
      <c r="P9" s="467"/>
      <c r="Q9" s="467"/>
      <c r="R9" s="467"/>
      <c r="S9" s="467"/>
      <c r="T9" s="467"/>
      <c r="U9" s="467"/>
      <c r="V9" s="467"/>
      <c r="W9" s="467"/>
      <c r="X9" s="467"/>
      <c r="Y9" s="467"/>
      <c r="Z9" s="467"/>
    </row>
    <row r="10" spans="1:26" ht="12.75" customHeight="1">
      <c r="A10" s="409"/>
      <c r="B10" s="409"/>
      <c r="C10" s="417"/>
      <c r="D10" s="473"/>
      <c r="E10" s="409"/>
      <c r="F10" s="409"/>
      <c r="G10" s="409"/>
      <c r="H10" s="409"/>
      <c r="I10" s="409"/>
      <c r="J10" s="409"/>
      <c r="K10" s="409"/>
      <c r="L10" s="424"/>
      <c r="M10" s="412"/>
      <c r="N10" s="416"/>
      <c r="O10" s="467"/>
      <c r="P10" s="467"/>
      <c r="Q10" s="467"/>
      <c r="R10" s="467"/>
      <c r="S10" s="467"/>
      <c r="T10" s="467"/>
      <c r="U10" s="467"/>
      <c r="V10" s="467"/>
      <c r="W10" s="467"/>
      <c r="X10" s="467"/>
      <c r="Y10" s="467"/>
      <c r="Z10" s="467"/>
    </row>
    <row r="11" spans="1:26" ht="12.75" customHeight="1">
      <c r="A11" s="409"/>
      <c r="B11" s="409"/>
      <c r="C11" s="410"/>
      <c r="D11" s="468"/>
      <c r="E11" s="729" t="str">
        <f>Ticker</f>
        <v>TSM</v>
      </c>
      <c r="F11" s="687"/>
      <c r="G11" s="729" t="str">
        <f>Comp1Ticker</f>
        <v>Texas Instruments</v>
      </c>
      <c r="H11" s="687"/>
      <c r="I11" s="729" t="str">
        <f>Comp2Ticker</f>
        <v>Intel Corporation</v>
      </c>
      <c r="J11" s="687"/>
      <c r="K11" s="729" t="str">
        <f>Comp3Ticker</f>
        <v>Broadcom</v>
      </c>
      <c r="L11" s="687"/>
      <c r="M11" s="413"/>
      <c r="N11" s="416"/>
      <c r="O11" s="467"/>
      <c r="P11" s="467"/>
      <c r="Q11" s="467"/>
      <c r="R11" s="467"/>
      <c r="S11" s="467"/>
      <c r="T11" s="467"/>
      <c r="U11" s="467"/>
      <c r="V11" s="467"/>
      <c r="W11" s="467"/>
      <c r="X11" s="467"/>
      <c r="Y11" s="467"/>
      <c r="Z11" s="467"/>
    </row>
    <row r="12" spans="1:26" ht="12.75" customHeight="1">
      <c r="A12" s="409"/>
      <c r="B12" s="409"/>
      <c r="C12" s="417"/>
      <c r="D12" s="469" t="s">
        <v>121</v>
      </c>
      <c r="E12" s="409"/>
      <c r="F12" s="409"/>
      <c r="G12" s="417"/>
      <c r="H12" s="424"/>
      <c r="I12" s="417"/>
      <c r="J12" s="424"/>
      <c r="K12" s="417"/>
      <c r="L12" s="424"/>
      <c r="M12" s="425"/>
      <c r="N12" s="416"/>
      <c r="O12" s="467"/>
      <c r="P12" s="467"/>
      <c r="Q12" s="467"/>
      <c r="R12" s="467"/>
      <c r="S12" s="467"/>
      <c r="T12" s="467"/>
      <c r="U12" s="467"/>
      <c r="V12" s="467"/>
      <c r="W12" s="467"/>
      <c r="X12" s="467"/>
      <c r="Y12" s="467"/>
      <c r="Z12" s="467"/>
    </row>
    <row r="13" spans="1:26" ht="12.75" customHeight="1">
      <c r="A13" s="409"/>
      <c r="B13" s="409"/>
      <c r="C13" s="417"/>
      <c r="D13" s="470"/>
      <c r="E13" s="743"/>
      <c r="F13" s="625"/>
      <c r="G13" s="731"/>
      <c r="H13" s="703"/>
      <c r="I13" s="731"/>
      <c r="J13" s="703"/>
      <c r="K13" s="731"/>
      <c r="L13" s="703"/>
      <c r="M13" s="409"/>
      <c r="N13" s="416"/>
      <c r="O13" s="467"/>
      <c r="P13" s="467"/>
      <c r="Q13" s="467"/>
      <c r="R13" s="467"/>
      <c r="S13" s="467"/>
      <c r="T13" s="467"/>
      <c r="U13" s="467"/>
      <c r="V13" s="467"/>
      <c r="W13" s="467"/>
      <c r="X13" s="467"/>
      <c r="Y13" s="467"/>
      <c r="Z13" s="467"/>
    </row>
    <row r="14" spans="1:26" ht="12.75" customHeight="1">
      <c r="A14" s="409"/>
      <c r="B14" s="409"/>
      <c r="C14" s="739" t="s">
        <v>295</v>
      </c>
      <c r="D14" s="470">
        <f t="shared" ref="D14:D18" si="1">D5</f>
        <v>2016</v>
      </c>
      <c r="E14" s="726">
        <v>13.52</v>
      </c>
      <c r="F14" s="620"/>
      <c r="G14" s="726">
        <v>20.6</v>
      </c>
      <c r="H14" s="620"/>
      <c r="I14" s="726">
        <v>21.52</v>
      </c>
      <c r="J14" s="620"/>
      <c r="K14" s="726">
        <v>25.47</v>
      </c>
      <c r="L14" s="706"/>
      <c r="M14" s="409"/>
      <c r="N14" s="409"/>
      <c r="O14" s="467"/>
      <c r="P14" s="467"/>
      <c r="Q14" s="467"/>
      <c r="R14" s="467"/>
      <c r="S14" s="467"/>
      <c r="T14" s="467"/>
      <c r="U14" s="467"/>
      <c r="V14" s="467"/>
      <c r="W14" s="467"/>
      <c r="X14" s="467"/>
      <c r="Y14" s="467"/>
      <c r="Z14" s="467"/>
    </row>
    <row r="15" spans="1:26" ht="12.75" customHeight="1">
      <c r="A15" s="409"/>
      <c r="B15" s="409"/>
      <c r="C15" s="740"/>
      <c r="D15" s="470">
        <f t="shared" si="1"/>
        <v>2017</v>
      </c>
      <c r="E15" s="726">
        <v>15.14</v>
      </c>
      <c r="F15" s="620"/>
      <c r="G15" s="726">
        <v>22.32</v>
      </c>
      <c r="H15" s="620"/>
      <c r="I15" s="726">
        <v>19.690000000000001</v>
      </c>
      <c r="J15" s="620"/>
      <c r="K15" s="726">
        <v>25.52</v>
      </c>
      <c r="L15" s="706"/>
      <c r="M15" s="409"/>
      <c r="N15" s="409"/>
      <c r="O15" s="467"/>
      <c r="P15" s="467"/>
      <c r="Q15" s="467"/>
      <c r="R15" s="467"/>
      <c r="S15" s="467"/>
      <c r="T15" s="467"/>
      <c r="U15" s="467"/>
      <c r="V15" s="467"/>
      <c r="W15" s="467"/>
      <c r="X15" s="467"/>
      <c r="Y15" s="467"/>
      <c r="Z15" s="467"/>
    </row>
    <row r="16" spans="1:26" ht="12.75" customHeight="1">
      <c r="A16" s="409"/>
      <c r="B16" s="409"/>
      <c r="C16" s="417"/>
      <c r="D16" s="470">
        <f t="shared" si="1"/>
        <v>2018</v>
      </c>
      <c r="E16" s="726">
        <v>12.76</v>
      </c>
      <c r="F16" s="620"/>
      <c r="G16" s="726">
        <v>21.86</v>
      </c>
      <c r="H16" s="620"/>
      <c r="I16" s="726">
        <v>21.51</v>
      </c>
      <c r="J16" s="620"/>
      <c r="K16" s="726">
        <v>26.38</v>
      </c>
      <c r="L16" s="706"/>
      <c r="M16" s="426"/>
      <c r="N16" s="426"/>
      <c r="O16" s="467"/>
      <c r="P16" s="467"/>
      <c r="Q16" s="467"/>
      <c r="R16" s="467"/>
      <c r="S16" s="467"/>
      <c r="T16" s="467"/>
      <c r="U16" s="467"/>
      <c r="V16" s="467"/>
      <c r="W16" s="467"/>
      <c r="X16" s="467"/>
      <c r="Y16" s="467"/>
      <c r="Z16" s="467"/>
    </row>
    <row r="17" spans="1:26" ht="12.75" customHeight="1">
      <c r="A17" s="409"/>
      <c r="B17" s="409"/>
      <c r="C17" s="417"/>
      <c r="D17" s="470">
        <f t="shared" si="1"/>
        <v>2019</v>
      </c>
      <c r="E17" s="726">
        <v>12.44</v>
      </c>
      <c r="F17" s="620"/>
      <c r="G17" s="726">
        <v>13.1</v>
      </c>
      <c r="H17" s="620"/>
      <c r="I17" s="726">
        <v>21.82</v>
      </c>
      <c r="J17" s="620"/>
      <c r="K17" s="726">
        <v>25.19</v>
      </c>
      <c r="L17" s="706"/>
      <c r="M17" s="427"/>
      <c r="N17" s="427"/>
      <c r="O17" s="467"/>
      <c r="P17" s="467"/>
      <c r="Q17" s="467"/>
      <c r="R17" s="467"/>
      <c r="S17" s="467"/>
      <c r="T17" s="467"/>
      <c r="U17" s="467"/>
      <c r="V17" s="467"/>
      <c r="W17" s="467"/>
      <c r="X17" s="467"/>
      <c r="Y17" s="467"/>
      <c r="Z17" s="467"/>
    </row>
    <row r="18" spans="1:26" ht="12.75" customHeight="1">
      <c r="A18" s="409"/>
      <c r="B18" s="409"/>
      <c r="C18" s="422"/>
      <c r="D18" s="474">
        <f t="shared" si="1"/>
        <v>2020</v>
      </c>
      <c r="E18" s="741">
        <v>13.56</v>
      </c>
      <c r="F18" s="606"/>
      <c r="G18" s="727">
        <v>9.51</v>
      </c>
      <c r="H18" s="705"/>
      <c r="I18" s="727">
        <v>23.47</v>
      </c>
      <c r="J18" s="705"/>
      <c r="K18" s="727">
        <v>26.37</v>
      </c>
      <c r="L18" s="705"/>
      <c r="M18" s="427"/>
      <c r="N18" s="427"/>
      <c r="O18" s="467"/>
      <c r="P18" s="467"/>
      <c r="Q18" s="467"/>
      <c r="R18" s="467"/>
      <c r="S18" s="467"/>
      <c r="T18" s="467"/>
      <c r="U18" s="467"/>
      <c r="V18" s="467"/>
      <c r="W18" s="467"/>
      <c r="X18" s="467"/>
      <c r="Y18" s="467"/>
      <c r="Z18" s="467"/>
    </row>
    <row r="19" spans="1:26" ht="12.75" customHeight="1">
      <c r="A19" s="409"/>
      <c r="B19" s="409"/>
      <c r="C19" s="417"/>
      <c r="D19" s="409"/>
      <c r="E19" s="409"/>
      <c r="F19" s="409"/>
      <c r="G19" s="409"/>
      <c r="H19" s="409"/>
      <c r="I19" s="409"/>
      <c r="J19" s="409"/>
      <c r="K19" s="409"/>
      <c r="L19" s="424"/>
      <c r="M19" s="427"/>
      <c r="N19" s="427"/>
      <c r="O19" s="467"/>
      <c r="P19" s="467"/>
      <c r="Q19" s="467"/>
      <c r="R19" s="467"/>
      <c r="S19" s="467"/>
      <c r="T19" s="467"/>
      <c r="U19" s="467"/>
      <c r="V19" s="467"/>
      <c r="W19" s="467"/>
      <c r="X19" s="467"/>
      <c r="Y19" s="467"/>
      <c r="Z19" s="467"/>
    </row>
    <row r="20" spans="1:26" ht="12.75" customHeight="1">
      <c r="A20" s="409"/>
      <c r="B20" s="409"/>
      <c r="C20" s="410"/>
      <c r="D20" s="410"/>
      <c r="E20" s="729" t="str">
        <f>Ticker</f>
        <v>TSM</v>
      </c>
      <c r="F20" s="687"/>
      <c r="G20" s="742" t="str">
        <f>Comp1Ticker</f>
        <v>Texas Instruments</v>
      </c>
      <c r="H20" s="687"/>
      <c r="I20" s="729" t="str">
        <f>Comp2Ticker</f>
        <v>Intel Corporation</v>
      </c>
      <c r="J20" s="687"/>
      <c r="K20" s="729" t="str">
        <f>Comp3Ticker</f>
        <v>Broadcom</v>
      </c>
      <c r="L20" s="687"/>
      <c r="M20" s="409"/>
      <c r="N20" s="409"/>
      <c r="O20" s="467"/>
      <c r="P20" s="467"/>
      <c r="Q20" s="467"/>
      <c r="R20" s="467"/>
      <c r="S20" s="467"/>
      <c r="T20" s="467"/>
      <c r="U20" s="467"/>
      <c r="V20" s="467"/>
      <c r="W20" s="467"/>
      <c r="X20" s="467"/>
      <c r="Y20" s="467"/>
      <c r="Z20" s="467"/>
    </row>
    <row r="21" spans="1:26" ht="12.75" customHeight="1">
      <c r="A21" s="409"/>
      <c r="B21" s="409"/>
      <c r="C21" s="417"/>
      <c r="D21" s="418" t="s">
        <v>121</v>
      </c>
      <c r="E21" s="418" t="s">
        <v>265</v>
      </c>
      <c r="F21" s="432" t="s">
        <v>266</v>
      </c>
      <c r="G21" s="426" t="s">
        <v>265</v>
      </c>
      <c r="H21" s="426" t="s">
        <v>266</v>
      </c>
      <c r="I21" s="418" t="s">
        <v>265</v>
      </c>
      <c r="J21" s="426" t="s">
        <v>266</v>
      </c>
      <c r="K21" s="418" t="s">
        <v>265</v>
      </c>
      <c r="L21" s="432" t="s">
        <v>266</v>
      </c>
      <c r="M21" s="409"/>
      <c r="N21" s="409"/>
      <c r="O21" s="467"/>
      <c r="P21" s="467"/>
      <c r="Q21" s="467"/>
      <c r="R21" s="467"/>
      <c r="S21" s="467"/>
      <c r="T21" s="467"/>
      <c r="U21" s="467"/>
      <c r="V21" s="467"/>
      <c r="W21" s="467"/>
      <c r="X21" s="467"/>
      <c r="Y21" s="467"/>
      <c r="Z21" s="467"/>
    </row>
    <row r="22" spans="1:26" ht="12.75" customHeight="1">
      <c r="A22" s="409"/>
      <c r="B22" s="409"/>
      <c r="C22" s="417"/>
      <c r="D22" s="418"/>
      <c r="E22" s="433"/>
      <c r="F22" s="434"/>
      <c r="G22" s="427"/>
      <c r="H22" s="434"/>
      <c r="I22" s="427"/>
      <c r="J22" s="434"/>
      <c r="K22" s="427"/>
      <c r="L22" s="434"/>
      <c r="M22" s="409"/>
      <c r="N22" s="409"/>
      <c r="O22" s="467"/>
      <c r="P22" s="467"/>
      <c r="Q22" s="467"/>
      <c r="R22" s="467"/>
      <c r="S22" s="467"/>
      <c r="T22" s="467"/>
      <c r="U22" s="467"/>
      <c r="V22" s="467"/>
      <c r="W22" s="467"/>
      <c r="X22" s="467"/>
      <c r="Y22" s="467"/>
      <c r="Z22" s="467"/>
    </row>
    <row r="23" spans="1:26" ht="15" customHeight="1">
      <c r="A23" s="409"/>
      <c r="B23" s="409"/>
      <c r="C23" s="417"/>
      <c r="D23" s="418">
        <f t="shared" ref="D23:D27" si="2">D5</f>
        <v>2016</v>
      </c>
      <c r="E23" s="433">
        <f t="shared" ref="E23:E27" si="3">E5/E14</f>
        <v>2.0961538461538463</v>
      </c>
      <c r="F23" s="434">
        <f t="shared" ref="F23:F27" si="4">F5/E14</f>
        <v>2.2662721153846155</v>
      </c>
      <c r="G23" s="427">
        <f t="shared" ref="G23:G27" si="5">G5/G14</f>
        <v>3.394174757281553</v>
      </c>
      <c r="H23" s="434">
        <f t="shared" ref="H23:H27" si="6">H5/G14</f>
        <v>3.6480582524271843</v>
      </c>
      <c r="I23" s="427">
        <f t="shared" ref="I23:I27" si="7">I5/I14</f>
        <v>1.5594795539033459</v>
      </c>
      <c r="J23" s="434">
        <f t="shared" ref="J23:J27" si="8">J5/I14</f>
        <v>1.7355947955390336</v>
      </c>
      <c r="K23" s="427">
        <f t="shared" ref="K23:K27" si="9">K5/K14</f>
        <v>6.3062426383981158</v>
      </c>
      <c r="L23" s="434">
        <f t="shared" ref="L23:L27" si="10">L5/K14</f>
        <v>7.2237926972909312</v>
      </c>
      <c r="M23" s="409"/>
      <c r="N23" s="409"/>
      <c r="O23" s="467"/>
      <c r="P23" s="467"/>
      <c r="Q23" s="467"/>
      <c r="R23" s="467"/>
      <c r="S23" s="467"/>
      <c r="T23" s="467"/>
      <c r="U23" s="467"/>
      <c r="V23" s="467"/>
      <c r="W23" s="467"/>
      <c r="X23" s="467"/>
      <c r="Y23" s="467"/>
      <c r="Z23" s="467"/>
    </row>
    <row r="24" spans="1:26" ht="12.75" customHeight="1">
      <c r="A24" s="409"/>
      <c r="B24" s="409"/>
      <c r="C24" s="414" t="s">
        <v>296</v>
      </c>
      <c r="D24" s="418">
        <f t="shared" si="2"/>
        <v>2017</v>
      </c>
      <c r="E24" s="435">
        <f t="shared" si="3"/>
        <v>1.9141347424042272</v>
      </c>
      <c r="F24" s="436">
        <f t="shared" si="4"/>
        <v>2.8414795244385735</v>
      </c>
      <c r="G24" s="427">
        <f t="shared" si="5"/>
        <v>3.2468637992831542</v>
      </c>
      <c r="H24" s="434">
        <f t="shared" si="6"/>
        <v>4.719086021505376</v>
      </c>
      <c r="I24" s="427">
        <f t="shared" si="7"/>
        <v>1.6876587100050784</v>
      </c>
      <c r="J24" s="434">
        <f t="shared" si="8"/>
        <v>2.404266124936516</v>
      </c>
      <c r="K24" s="427">
        <f t="shared" si="9"/>
        <v>6.7911442006269596</v>
      </c>
      <c r="L24" s="434">
        <f t="shared" si="10"/>
        <v>11.194357366771161</v>
      </c>
      <c r="M24" s="409"/>
      <c r="N24" s="409"/>
      <c r="O24" s="467"/>
      <c r="P24" s="467"/>
      <c r="Q24" s="467"/>
      <c r="R24" s="467"/>
      <c r="S24" s="467"/>
      <c r="T24" s="467"/>
      <c r="U24" s="467"/>
      <c r="V24" s="467"/>
      <c r="W24" s="467"/>
      <c r="X24" s="467"/>
      <c r="Y24" s="467"/>
      <c r="Z24" s="467"/>
    </row>
    <row r="25" spans="1:26" ht="12.75" customHeight="1">
      <c r="A25" s="409"/>
      <c r="B25" s="409"/>
      <c r="C25" s="414"/>
      <c r="D25" s="418">
        <f t="shared" si="2"/>
        <v>2018</v>
      </c>
      <c r="E25" s="433">
        <f t="shared" si="3"/>
        <v>2.7601880877742948</v>
      </c>
      <c r="F25" s="434">
        <f t="shared" si="4"/>
        <v>3.6496865203761755</v>
      </c>
      <c r="G25" s="427">
        <f t="shared" si="5"/>
        <v>4.0118938700823428</v>
      </c>
      <c r="H25" s="434">
        <f t="shared" si="6"/>
        <v>5.5237877401646847</v>
      </c>
      <c r="I25" s="427">
        <f t="shared" si="7"/>
        <v>1.9544397954439794</v>
      </c>
      <c r="J25" s="434">
        <f t="shared" si="8"/>
        <v>2.6778242677824267</v>
      </c>
      <c r="K25" s="427">
        <f t="shared" si="9"/>
        <v>7.4852160727824115</v>
      </c>
      <c r="L25" s="434">
        <f t="shared" si="10"/>
        <v>10.396512509476876</v>
      </c>
      <c r="M25" s="409"/>
      <c r="N25" s="409"/>
      <c r="O25" s="467"/>
      <c r="P25" s="467"/>
      <c r="Q25" s="467"/>
      <c r="R25" s="467"/>
      <c r="S25" s="467"/>
      <c r="T25" s="467"/>
      <c r="U25" s="467"/>
      <c r="V25" s="467"/>
      <c r="W25" s="467"/>
      <c r="X25" s="467"/>
      <c r="Y25" s="467"/>
      <c r="Z25" s="467"/>
    </row>
    <row r="26" spans="1:26" ht="12.75" customHeight="1">
      <c r="A26" s="409"/>
      <c r="B26" s="409"/>
      <c r="C26" s="414"/>
      <c r="D26" s="418">
        <f t="shared" si="2"/>
        <v>2019</v>
      </c>
      <c r="E26" s="435">
        <f t="shared" si="3"/>
        <v>2.75</v>
      </c>
      <c r="F26" s="436">
        <f t="shared" si="4"/>
        <v>4.79983922829582</v>
      </c>
      <c r="G26" s="427">
        <f t="shared" si="5"/>
        <v>6.7694656488549629</v>
      </c>
      <c r="H26" s="434">
        <f t="shared" si="6"/>
        <v>10.091603053435113</v>
      </c>
      <c r="I26" s="427">
        <f t="shared" si="7"/>
        <v>1.9642529789184233</v>
      </c>
      <c r="J26" s="434">
        <f t="shared" si="8"/>
        <v>2.7717690192483957</v>
      </c>
      <c r="K26" s="427">
        <f t="shared" si="9"/>
        <v>9.1437078205637157</v>
      </c>
      <c r="L26" s="434">
        <f t="shared" si="10"/>
        <v>13.148074632790788</v>
      </c>
      <c r="M26" s="409"/>
      <c r="N26" s="409"/>
      <c r="O26" s="467"/>
      <c r="P26" s="467"/>
      <c r="Q26" s="467"/>
      <c r="R26" s="467"/>
      <c r="S26" s="467"/>
      <c r="T26" s="467"/>
      <c r="U26" s="467"/>
      <c r="V26" s="467"/>
      <c r="W26" s="467"/>
      <c r="X26" s="467"/>
      <c r="Y26" s="467"/>
      <c r="Z26" s="467"/>
    </row>
    <row r="27" spans="1:26" ht="12.75" customHeight="1">
      <c r="A27" s="409"/>
      <c r="B27" s="409"/>
      <c r="C27" s="417"/>
      <c r="D27" s="428">
        <f t="shared" si="2"/>
        <v>2020</v>
      </c>
      <c r="E27" s="437">
        <f t="shared" si="3"/>
        <v>3.1489675516224191</v>
      </c>
      <c r="F27" s="438">
        <f t="shared" si="4"/>
        <v>8.0898967551622416</v>
      </c>
      <c r="G27" s="439">
        <f t="shared" si="5"/>
        <v>9.7886435331230288</v>
      </c>
      <c r="H27" s="438">
        <f t="shared" si="6"/>
        <v>17.585699263932703</v>
      </c>
      <c r="I27" s="439">
        <f t="shared" si="7"/>
        <v>1.8581167447805711</v>
      </c>
      <c r="J27" s="438">
        <f t="shared" si="8"/>
        <v>2.9522795057520241</v>
      </c>
      <c r="K27" s="439">
        <f t="shared" si="9"/>
        <v>5.9032992036404996</v>
      </c>
      <c r="L27" s="438">
        <f t="shared" si="10"/>
        <v>16.628744785741372</v>
      </c>
      <c r="M27" s="409"/>
      <c r="N27" s="409"/>
      <c r="O27" s="467"/>
      <c r="P27" s="467"/>
      <c r="Q27" s="467"/>
      <c r="R27" s="467"/>
      <c r="S27" s="467"/>
      <c r="T27" s="467"/>
      <c r="U27" s="467"/>
      <c r="V27" s="467"/>
      <c r="W27" s="467"/>
      <c r="X27" s="467"/>
      <c r="Y27" s="467"/>
      <c r="Z27" s="467"/>
    </row>
    <row r="28" spans="1:26" ht="12.75" customHeight="1">
      <c r="A28" s="409"/>
      <c r="B28" s="409"/>
      <c r="C28" s="422"/>
      <c r="D28" s="440" t="s">
        <v>47</v>
      </c>
      <c r="E28" s="441">
        <f t="shared" ref="E28:L28" si="11">AVERAGE(E22:E27)</f>
        <v>2.5338888455909574</v>
      </c>
      <c r="F28" s="442">
        <f t="shared" si="11"/>
        <v>4.3294348287314843</v>
      </c>
      <c r="G28" s="441">
        <f t="shared" si="11"/>
        <v>5.4422083217250083</v>
      </c>
      <c r="H28" s="442">
        <f t="shared" si="11"/>
        <v>8.3136468662930127</v>
      </c>
      <c r="I28" s="441">
        <f t="shared" si="11"/>
        <v>1.8047895566102796</v>
      </c>
      <c r="J28" s="442">
        <f t="shared" si="11"/>
        <v>2.5083467426516792</v>
      </c>
      <c r="K28" s="441">
        <f t="shared" si="11"/>
        <v>7.1259219872023412</v>
      </c>
      <c r="L28" s="442">
        <f t="shared" si="11"/>
        <v>11.718296398414225</v>
      </c>
      <c r="M28" s="409"/>
      <c r="N28" s="409"/>
      <c r="O28" s="467"/>
      <c r="P28" s="467"/>
      <c r="Q28" s="467"/>
      <c r="R28" s="467"/>
      <c r="S28" s="467"/>
      <c r="T28" s="467"/>
      <c r="U28" s="467"/>
      <c r="V28" s="467"/>
      <c r="W28" s="467"/>
      <c r="X28" s="467"/>
      <c r="Y28" s="467"/>
      <c r="Z28" s="467"/>
    </row>
    <row r="29" spans="1:26" ht="12.75" customHeight="1">
      <c r="A29" s="409"/>
      <c r="B29" s="409"/>
      <c r="C29" s="417"/>
      <c r="D29" s="409"/>
      <c r="E29" s="409"/>
      <c r="F29" s="409"/>
      <c r="G29" s="409"/>
      <c r="H29" s="409"/>
      <c r="I29" s="409"/>
      <c r="J29" s="409"/>
      <c r="K29" s="409"/>
      <c r="L29" s="424"/>
      <c r="M29" s="427"/>
      <c r="N29" s="427"/>
      <c r="O29" s="467"/>
      <c r="P29" s="467"/>
      <c r="Q29" s="467"/>
      <c r="R29" s="467"/>
      <c r="S29" s="467"/>
      <c r="T29" s="467"/>
      <c r="U29" s="467"/>
      <c r="V29" s="467"/>
      <c r="W29" s="467"/>
      <c r="X29" s="467"/>
      <c r="Y29" s="467"/>
      <c r="Z29" s="467"/>
    </row>
    <row r="30" spans="1:26" ht="12.75" customHeight="1">
      <c r="A30" s="409"/>
      <c r="B30" s="409"/>
      <c r="C30" s="417"/>
      <c r="D30" s="725" t="s">
        <v>270</v>
      </c>
      <c r="E30" s="656"/>
      <c r="F30" s="608"/>
      <c r="G30" s="725" t="str">
        <f>Ticker&amp;" Relative P/B"</f>
        <v>TSM Relative P/B</v>
      </c>
      <c r="H30" s="608"/>
      <c r="I30" s="725" t="str">
        <f>Ticker&amp;" Average P/B"</f>
        <v>TSM Average P/B</v>
      </c>
      <c r="J30" s="608"/>
      <c r="K30" s="725" t="s">
        <v>297</v>
      </c>
      <c r="L30" s="608"/>
      <c r="M30" s="443"/>
      <c r="N30" s="443"/>
      <c r="O30" s="467"/>
      <c r="P30" s="467"/>
      <c r="Q30" s="467"/>
      <c r="R30" s="467"/>
      <c r="S30" s="467"/>
      <c r="T30" s="467"/>
      <c r="U30" s="467"/>
      <c r="V30" s="467"/>
      <c r="W30" s="467"/>
      <c r="X30" s="467"/>
      <c r="Y30" s="467"/>
      <c r="Z30" s="467"/>
    </row>
    <row r="31" spans="1:26" ht="12.75" customHeight="1">
      <c r="A31" s="409"/>
      <c r="B31" s="409"/>
      <c r="C31" s="417"/>
      <c r="D31" s="429" t="s">
        <v>121</v>
      </c>
      <c r="E31" s="429" t="s">
        <v>272</v>
      </c>
      <c r="F31" s="415" t="s">
        <v>266</v>
      </c>
      <c r="G31" s="413" t="s">
        <v>272</v>
      </c>
      <c r="H31" s="415" t="s">
        <v>266</v>
      </c>
      <c r="I31" s="409"/>
      <c r="J31" s="444"/>
      <c r="K31" s="409"/>
      <c r="L31" s="424"/>
      <c r="M31" s="409"/>
      <c r="N31" s="409"/>
      <c r="O31" s="467"/>
      <c r="P31" s="467"/>
      <c r="Q31" s="467"/>
      <c r="R31" s="467"/>
      <c r="S31" s="467"/>
      <c r="T31" s="467"/>
      <c r="U31" s="467"/>
      <c r="V31" s="467"/>
      <c r="W31" s="467"/>
      <c r="X31" s="467"/>
      <c r="Y31" s="467"/>
      <c r="Z31" s="467"/>
    </row>
    <row r="32" spans="1:26" ht="12.75" customHeight="1">
      <c r="A32" s="409"/>
      <c r="B32" s="409"/>
      <c r="C32" s="417"/>
      <c r="D32" s="418"/>
      <c r="E32" s="445"/>
      <c r="F32" s="446"/>
      <c r="G32" s="409"/>
      <c r="H32" s="424"/>
      <c r="I32" s="737"/>
      <c r="J32" s="703"/>
      <c r="K32" s="409"/>
      <c r="L32" s="424"/>
      <c r="M32" s="409"/>
      <c r="N32" s="409"/>
      <c r="O32" s="467"/>
      <c r="P32" s="467"/>
      <c r="Q32" s="467"/>
      <c r="R32" s="467"/>
      <c r="S32" s="467"/>
      <c r="T32" s="467"/>
      <c r="U32" s="467"/>
      <c r="V32" s="467"/>
      <c r="W32" s="467"/>
      <c r="X32" s="467"/>
      <c r="Y32" s="467"/>
      <c r="Z32" s="467"/>
    </row>
    <row r="33" spans="1:26" ht="12.75" customHeight="1">
      <c r="A33" s="409"/>
      <c r="B33" s="409"/>
      <c r="C33" s="417"/>
      <c r="D33" s="418">
        <f t="shared" ref="D33:D37" si="12">D5</f>
        <v>2016</v>
      </c>
      <c r="E33" s="445">
        <f t="shared" ref="E33:E37" si="13">AVERAGE(G23,I23,K23)</f>
        <v>3.753298983194338</v>
      </c>
      <c r="F33" s="446">
        <f t="shared" ref="F33:F34" si="14">AVERAGE(H23,L23)</f>
        <v>5.435925474859058</v>
      </c>
      <c r="G33" s="447">
        <f t="shared" ref="G33:H33" si="15">E23/E33</f>
        <v>0.55848304532613136</v>
      </c>
      <c r="H33" s="436">
        <f t="shared" si="15"/>
        <v>0.41690639907887539</v>
      </c>
      <c r="I33" s="737">
        <f t="shared" ref="I33:I37" si="16">AVERAGE(E23:F23)</f>
        <v>2.1812129807692306</v>
      </c>
      <c r="J33" s="703"/>
      <c r="K33" s="737">
        <f t="shared" ref="K33:K37" si="17">AVERAGE(E33:F33)</f>
        <v>4.5946122290266977</v>
      </c>
      <c r="L33" s="703"/>
      <c r="M33" s="409"/>
      <c r="N33" s="409"/>
      <c r="O33" s="467"/>
      <c r="P33" s="467"/>
      <c r="Q33" s="467"/>
      <c r="R33" s="467"/>
      <c r="S33" s="467"/>
      <c r="T33" s="467"/>
      <c r="U33" s="467"/>
      <c r="V33" s="467"/>
      <c r="W33" s="467"/>
      <c r="X33" s="467"/>
      <c r="Y33" s="467"/>
      <c r="Z33" s="467"/>
    </row>
    <row r="34" spans="1:26" ht="12.75" customHeight="1">
      <c r="A34" s="409"/>
      <c r="B34" s="409"/>
      <c r="C34" s="417"/>
      <c r="D34" s="418">
        <f t="shared" si="12"/>
        <v>2017</v>
      </c>
      <c r="E34" s="445">
        <f t="shared" si="13"/>
        <v>3.9085555699717305</v>
      </c>
      <c r="F34" s="446">
        <f t="shared" si="14"/>
        <v>7.9567216941382686</v>
      </c>
      <c r="G34" s="447">
        <f t="shared" ref="G34:H34" si="18">E24/E34</f>
        <v>0.4897294430479523</v>
      </c>
      <c r="H34" s="436">
        <f t="shared" si="18"/>
        <v>0.35711686718059987</v>
      </c>
      <c r="I34" s="737">
        <f t="shared" si="16"/>
        <v>2.3778071334214004</v>
      </c>
      <c r="J34" s="703"/>
      <c r="K34" s="737">
        <f t="shared" si="17"/>
        <v>5.9326386320549993</v>
      </c>
      <c r="L34" s="703"/>
      <c r="M34" s="409"/>
      <c r="N34" s="409"/>
      <c r="O34" s="467"/>
      <c r="P34" s="467"/>
      <c r="Q34" s="467"/>
      <c r="R34" s="467"/>
      <c r="S34" s="467"/>
      <c r="T34" s="467"/>
      <c r="U34" s="467"/>
      <c r="V34" s="467"/>
      <c r="W34" s="467"/>
      <c r="X34" s="467"/>
      <c r="Y34" s="467"/>
      <c r="Z34" s="467"/>
    </row>
    <row r="35" spans="1:26" ht="12.75" customHeight="1">
      <c r="A35" s="409"/>
      <c r="B35" s="409"/>
      <c r="C35" s="417"/>
      <c r="D35" s="418">
        <f t="shared" si="12"/>
        <v>2018</v>
      </c>
      <c r="E35" s="445">
        <f t="shared" si="13"/>
        <v>4.4838499127695783</v>
      </c>
      <c r="F35" s="446">
        <f t="shared" ref="F35:F37" si="19">AVERAGE(H25,J25,L25)</f>
        <v>6.1993748391413304</v>
      </c>
      <c r="G35" s="447">
        <f t="shared" ref="G35:H35" si="20">E25/E35</f>
        <v>0.6155844065863002</v>
      </c>
      <c r="H35" s="436">
        <f t="shared" si="20"/>
        <v>0.58871847808474997</v>
      </c>
      <c r="I35" s="737">
        <f t="shared" si="16"/>
        <v>3.2049373040752354</v>
      </c>
      <c r="J35" s="703"/>
      <c r="K35" s="737">
        <f t="shared" si="17"/>
        <v>5.3416123759554548</v>
      </c>
      <c r="L35" s="703"/>
      <c r="M35" s="409"/>
      <c r="N35" s="409"/>
      <c r="O35" s="467"/>
      <c r="P35" s="467"/>
      <c r="Q35" s="467"/>
      <c r="R35" s="467"/>
      <c r="S35" s="467"/>
      <c r="T35" s="467"/>
      <c r="U35" s="467"/>
      <c r="V35" s="467"/>
      <c r="W35" s="467"/>
      <c r="X35" s="467"/>
      <c r="Y35" s="467"/>
      <c r="Z35" s="467"/>
    </row>
    <row r="36" spans="1:26" ht="12.75" customHeight="1">
      <c r="A36" s="409"/>
      <c r="B36" s="409"/>
      <c r="C36" s="417"/>
      <c r="D36" s="418">
        <f t="shared" si="12"/>
        <v>2019</v>
      </c>
      <c r="E36" s="445">
        <f t="shared" si="13"/>
        <v>5.9591421494457011</v>
      </c>
      <c r="F36" s="446">
        <f t="shared" si="19"/>
        <v>8.670482235158099</v>
      </c>
      <c r="G36" s="447">
        <f t="shared" ref="G36:H36" si="21">E26/E36</f>
        <v>0.4614758183366704</v>
      </c>
      <c r="H36" s="436">
        <f t="shared" si="21"/>
        <v>0.55358388358525934</v>
      </c>
      <c r="I36" s="737">
        <f t="shared" si="16"/>
        <v>3.77491961414791</v>
      </c>
      <c r="J36" s="703"/>
      <c r="K36" s="737">
        <f t="shared" si="17"/>
        <v>7.3148121923019005</v>
      </c>
      <c r="L36" s="703"/>
      <c r="M36" s="409"/>
      <c r="N36" s="409"/>
      <c r="O36" s="467"/>
      <c r="P36" s="467"/>
      <c r="Q36" s="467"/>
      <c r="R36" s="467"/>
      <c r="S36" s="467"/>
      <c r="T36" s="467"/>
      <c r="U36" s="467"/>
      <c r="V36" s="467"/>
      <c r="W36" s="467"/>
      <c r="X36" s="467"/>
      <c r="Y36" s="467"/>
      <c r="Z36" s="467"/>
    </row>
    <row r="37" spans="1:26" ht="12.75" customHeight="1">
      <c r="A37" s="409"/>
      <c r="B37" s="409"/>
      <c r="C37" s="417"/>
      <c r="D37" s="418">
        <f t="shared" si="12"/>
        <v>2020</v>
      </c>
      <c r="E37" s="448">
        <f t="shared" si="13"/>
        <v>5.8500198271813666</v>
      </c>
      <c r="F37" s="446">
        <f t="shared" si="19"/>
        <v>12.388907851808701</v>
      </c>
      <c r="G37" s="447">
        <f t="shared" ref="G37:H37" si="22">E27/E37</f>
        <v>0.53828322717662347</v>
      </c>
      <c r="H37" s="436">
        <f t="shared" si="22"/>
        <v>0.65299515114087869</v>
      </c>
      <c r="I37" s="737">
        <f t="shared" si="16"/>
        <v>5.6194321533923306</v>
      </c>
      <c r="J37" s="703"/>
      <c r="K37" s="737">
        <f t="shared" si="17"/>
        <v>9.1194638394950331</v>
      </c>
      <c r="L37" s="703"/>
      <c r="M37" s="409"/>
      <c r="N37" s="409"/>
      <c r="O37" s="467"/>
      <c r="P37" s="467"/>
      <c r="Q37" s="467"/>
      <c r="R37" s="467"/>
      <c r="S37" s="467"/>
      <c r="T37" s="467"/>
      <c r="U37" s="467"/>
      <c r="V37" s="467"/>
      <c r="W37" s="467"/>
      <c r="X37" s="467"/>
      <c r="Y37" s="467"/>
      <c r="Z37" s="467"/>
    </row>
    <row r="38" spans="1:26" ht="12.75" customHeight="1">
      <c r="A38" s="409"/>
      <c r="B38" s="409"/>
      <c r="C38" s="417"/>
      <c r="D38" s="411" t="s">
        <v>47</v>
      </c>
      <c r="E38" s="449">
        <f t="shared" ref="E38:H38" si="23">AVERAGE(E32:E37)</f>
        <v>4.7909732885125429</v>
      </c>
      <c r="F38" s="449">
        <f t="shared" si="23"/>
        <v>8.1302824190210909</v>
      </c>
      <c r="G38" s="450">
        <f t="shared" si="23"/>
        <v>0.53271118809473561</v>
      </c>
      <c r="H38" s="451">
        <f t="shared" si="23"/>
        <v>0.51386415581407263</v>
      </c>
      <c r="I38" s="733">
        <f>AVERAGE(I33:J37)</f>
        <v>3.4316618371612213</v>
      </c>
      <c r="J38" s="608"/>
      <c r="K38" s="733">
        <f>AVERAGE(K33:L37)</f>
        <v>6.4606278537668178</v>
      </c>
      <c r="L38" s="608"/>
      <c r="M38" s="409"/>
      <c r="N38" s="409"/>
      <c r="O38" s="467"/>
      <c r="P38" s="467"/>
      <c r="Q38" s="467"/>
      <c r="R38" s="467"/>
      <c r="S38" s="467"/>
      <c r="T38" s="467"/>
      <c r="U38" s="467"/>
      <c r="V38" s="467"/>
      <c r="W38" s="467"/>
      <c r="X38" s="467"/>
      <c r="Y38" s="467"/>
      <c r="Z38" s="467"/>
    </row>
    <row r="39" spans="1:26" ht="12.75" customHeight="1">
      <c r="A39" s="409"/>
      <c r="B39" s="409"/>
      <c r="C39" s="417"/>
      <c r="D39" s="409"/>
      <c r="E39" s="409"/>
      <c r="F39" s="409"/>
      <c r="G39" s="409"/>
      <c r="H39" s="409" t="s">
        <v>273</v>
      </c>
      <c r="I39" s="409">
        <f>_xlfn.STDEV.S(I33:J37)</f>
        <v>1.3811047164311481</v>
      </c>
      <c r="J39" s="409"/>
      <c r="K39" s="409">
        <f>_xlfn.STDEV.S(K33:L37)</f>
        <v>1.7896942652867753</v>
      </c>
      <c r="L39" s="424"/>
      <c r="M39" s="409"/>
      <c r="N39" s="409"/>
      <c r="O39" s="467"/>
      <c r="P39" s="467"/>
      <c r="Q39" s="467"/>
      <c r="R39" s="467"/>
      <c r="S39" s="467"/>
      <c r="T39" s="467"/>
      <c r="U39" s="467"/>
      <c r="V39" s="467"/>
      <c r="W39" s="467"/>
      <c r="X39" s="467"/>
      <c r="Y39" s="467"/>
      <c r="Z39" s="467"/>
    </row>
    <row r="40" spans="1:26" ht="12.75" customHeight="1">
      <c r="A40" s="409"/>
      <c r="B40" s="409"/>
      <c r="C40" s="417"/>
      <c r="D40" s="409"/>
      <c r="E40" s="409"/>
      <c r="F40" s="409"/>
      <c r="G40" s="409"/>
      <c r="H40" s="409"/>
      <c r="I40" s="409"/>
      <c r="J40" s="409"/>
      <c r="K40" s="409"/>
      <c r="L40" s="424"/>
      <c r="M40" s="409"/>
      <c r="N40" s="409"/>
      <c r="O40" s="467"/>
      <c r="P40" s="467"/>
      <c r="Q40" s="467"/>
      <c r="R40" s="467"/>
      <c r="S40" s="467"/>
      <c r="T40" s="467"/>
      <c r="U40" s="467"/>
      <c r="V40" s="467"/>
      <c r="W40" s="467"/>
      <c r="X40" s="467"/>
      <c r="Y40" s="467"/>
      <c r="Z40" s="467"/>
    </row>
    <row r="41" spans="1:26" ht="12.75" customHeight="1">
      <c r="A41" s="409"/>
      <c r="B41" s="409"/>
      <c r="C41" s="417"/>
      <c r="D41" s="409"/>
      <c r="E41" s="409"/>
      <c r="F41" s="409"/>
      <c r="G41" s="452" t="s">
        <v>275</v>
      </c>
      <c r="H41" s="453"/>
      <c r="I41" s="409"/>
      <c r="J41" s="409"/>
      <c r="K41" s="409"/>
      <c r="L41" s="424"/>
      <c r="M41" s="409"/>
      <c r="N41" s="409"/>
      <c r="O41" s="467"/>
      <c r="P41" s="467"/>
      <c r="Q41" s="467"/>
      <c r="R41" s="467"/>
      <c r="S41" s="467"/>
      <c r="T41" s="467"/>
      <c r="U41" s="467"/>
      <c r="V41" s="467"/>
      <c r="W41" s="467"/>
      <c r="X41" s="467"/>
      <c r="Y41" s="467"/>
      <c r="Z41" s="467"/>
    </row>
    <row r="42" spans="1:26" ht="12.75" customHeight="1">
      <c r="A42" s="409"/>
      <c r="B42" s="409"/>
      <c r="C42" s="417"/>
      <c r="D42" s="409"/>
      <c r="E42" s="409"/>
      <c r="F42" s="409"/>
      <c r="G42" s="454" t="s">
        <v>276</v>
      </c>
      <c r="H42" s="455">
        <f>AVERAGE(E38:F38)</f>
        <v>6.4606278537668169</v>
      </c>
      <c r="I42" s="409"/>
      <c r="J42" s="409"/>
      <c r="K42" s="409"/>
      <c r="L42" s="424"/>
      <c r="M42" s="409"/>
      <c r="N42" s="409"/>
      <c r="O42" s="467"/>
      <c r="P42" s="467"/>
      <c r="Q42" s="467"/>
      <c r="R42" s="467"/>
      <c r="S42" s="467"/>
      <c r="T42" s="467"/>
      <c r="U42" s="467"/>
      <c r="V42" s="467"/>
      <c r="W42" s="467"/>
      <c r="X42" s="467"/>
      <c r="Y42" s="467"/>
      <c r="Z42" s="467"/>
    </row>
    <row r="43" spans="1:26" ht="12.75" customHeight="1">
      <c r="A43" s="409"/>
      <c r="B43" s="409"/>
      <c r="C43" s="417"/>
      <c r="D43" s="409"/>
      <c r="E43" s="409"/>
      <c r="F43" s="409"/>
      <c r="G43" s="454" t="s">
        <v>277</v>
      </c>
      <c r="H43" s="456">
        <f>AVERAGE(E28:F28)</f>
        <v>3.4316618371612209</v>
      </c>
      <c r="I43" s="409"/>
      <c r="J43" s="412"/>
      <c r="K43" s="409"/>
      <c r="L43" s="424"/>
      <c r="M43" s="409"/>
      <c r="N43" s="409"/>
      <c r="O43" s="467"/>
      <c r="P43" s="467"/>
      <c r="Q43" s="467"/>
      <c r="R43" s="467"/>
      <c r="S43" s="467"/>
      <c r="T43" s="467"/>
      <c r="U43" s="467"/>
      <c r="V43" s="467"/>
      <c r="W43" s="467"/>
      <c r="X43" s="467"/>
      <c r="Y43" s="467"/>
      <c r="Z43" s="467"/>
    </row>
    <row r="44" spans="1:26" ht="12.75" customHeight="1">
      <c r="A44" s="409"/>
      <c r="B44" s="409"/>
      <c r="C44" s="417"/>
      <c r="D44" s="409"/>
      <c r="E44" s="409"/>
      <c r="F44" s="409"/>
      <c r="G44" s="454"/>
      <c r="H44" s="456"/>
      <c r="I44" s="409"/>
      <c r="J44" s="409"/>
      <c r="K44" s="409"/>
      <c r="L44" s="424"/>
      <c r="M44" s="409"/>
      <c r="N44" s="409"/>
      <c r="O44" s="467"/>
      <c r="P44" s="467"/>
      <c r="Q44" s="467"/>
      <c r="R44" s="467"/>
      <c r="S44" s="467"/>
      <c r="T44" s="467"/>
      <c r="U44" s="467"/>
      <c r="V44" s="467"/>
      <c r="W44" s="467"/>
      <c r="X44" s="467"/>
      <c r="Y44" s="467"/>
      <c r="Z44" s="467"/>
    </row>
    <row r="45" spans="1:26" ht="12.75" customHeight="1">
      <c r="A45" s="409"/>
      <c r="B45" s="409"/>
      <c r="C45" s="417"/>
      <c r="D45" s="409"/>
      <c r="E45" s="409"/>
      <c r="F45" s="409"/>
      <c r="G45" s="454" t="s">
        <v>298</v>
      </c>
      <c r="H45" s="456">
        <f>AVERAGE(H43,H42)</f>
        <v>4.9461448454640191</v>
      </c>
      <c r="I45" s="409"/>
      <c r="J45" s="409"/>
      <c r="K45" s="409"/>
      <c r="L45" s="424"/>
      <c r="M45" s="409"/>
      <c r="N45" s="409"/>
      <c r="O45" s="467"/>
      <c r="P45" s="467"/>
      <c r="Q45" s="467"/>
      <c r="R45" s="467"/>
      <c r="S45" s="467"/>
      <c r="T45" s="467"/>
      <c r="U45" s="467"/>
      <c r="V45" s="467"/>
      <c r="W45" s="467"/>
      <c r="X45" s="467"/>
      <c r="Y45" s="467"/>
      <c r="Z45" s="467"/>
    </row>
    <row r="46" spans="1:26" ht="12.75" customHeight="1">
      <c r="A46" s="409"/>
      <c r="B46" s="409"/>
      <c r="C46" s="417"/>
      <c r="D46" s="409"/>
      <c r="E46" s="409"/>
      <c r="F46" s="409"/>
      <c r="G46" s="409"/>
      <c r="H46" s="409"/>
      <c r="I46" s="409"/>
      <c r="J46" s="409"/>
      <c r="K46" s="409"/>
      <c r="L46" s="424"/>
      <c r="M46" s="409"/>
      <c r="N46" s="409"/>
      <c r="O46" s="467"/>
      <c r="P46" s="467"/>
      <c r="Q46" s="467"/>
      <c r="R46" s="467"/>
      <c r="S46" s="467"/>
      <c r="T46" s="467"/>
      <c r="U46" s="467"/>
      <c r="V46" s="467"/>
      <c r="W46" s="467"/>
      <c r="X46" s="467"/>
      <c r="Y46" s="467"/>
      <c r="Z46" s="467"/>
    </row>
    <row r="47" spans="1:26" ht="12.75" customHeight="1">
      <c r="A47" s="409"/>
      <c r="B47" s="409"/>
      <c r="C47" s="417"/>
      <c r="D47" s="409"/>
      <c r="E47" s="409"/>
      <c r="F47" s="409"/>
      <c r="G47" s="458" t="s">
        <v>299</v>
      </c>
      <c r="H47" s="459">
        <f>Summary!F18/Summary!K8</f>
        <v>1.6713177503119223</v>
      </c>
      <c r="I47" s="409"/>
      <c r="J47" s="409"/>
      <c r="K47" s="409"/>
      <c r="L47" s="424"/>
      <c r="M47" s="409"/>
      <c r="N47" s="409"/>
      <c r="O47" s="467"/>
      <c r="P47" s="467"/>
      <c r="Q47" s="467"/>
      <c r="R47" s="467"/>
      <c r="S47" s="467"/>
      <c r="T47" s="467"/>
      <c r="U47" s="467"/>
      <c r="V47" s="467"/>
      <c r="W47" s="467"/>
      <c r="X47" s="467"/>
      <c r="Y47" s="467"/>
      <c r="Z47" s="467"/>
    </row>
    <row r="48" spans="1:26" ht="12.75" customHeight="1">
      <c r="A48" s="409"/>
      <c r="B48" s="409"/>
      <c r="C48" s="417"/>
      <c r="D48" s="409"/>
      <c r="E48" s="738" t="s">
        <v>300</v>
      </c>
      <c r="F48" s="625"/>
      <c r="G48" s="625"/>
      <c r="H48" s="460">
        <f>BS!J68</f>
        <v>86.989872140530693</v>
      </c>
      <c r="I48" s="409"/>
      <c r="J48" s="409"/>
      <c r="K48" s="409"/>
      <c r="L48" s="461"/>
      <c r="M48" s="409"/>
      <c r="N48" s="409"/>
      <c r="O48" s="467"/>
      <c r="P48" s="467"/>
      <c r="Q48" s="467"/>
      <c r="R48" s="467"/>
      <c r="S48" s="467"/>
      <c r="T48" s="467"/>
      <c r="U48" s="467"/>
      <c r="V48" s="467"/>
      <c r="W48" s="467"/>
      <c r="X48" s="467"/>
      <c r="Y48" s="467"/>
      <c r="Z48" s="467"/>
    </row>
    <row r="49" spans="1:26" ht="12.75" customHeight="1">
      <c r="A49" s="409"/>
      <c r="B49" s="409"/>
      <c r="C49" s="417"/>
      <c r="D49" s="409"/>
      <c r="E49" s="409"/>
      <c r="F49" s="409"/>
      <c r="G49" s="409"/>
      <c r="H49" s="416"/>
      <c r="I49" s="409"/>
      <c r="J49" s="409"/>
      <c r="K49" s="409"/>
      <c r="L49" s="461"/>
      <c r="M49" s="409"/>
      <c r="N49" s="409"/>
      <c r="O49" s="467"/>
      <c r="P49" s="467"/>
      <c r="Q49" s="467"/>
      <c r="R49" s="467"/>
      <c r="S49" s="467"/>
      <c r="T49" s="467"/>
      <c r="U49" s="467"/>
      <c r="V49" s="467"/>
      <c r="W49" s="467"/>
      <c r="X49" s="467"/>
      <c r="Y49" s="467"/>
      <c r="Z49" s="467"/>
    </row>
    <row r="50" spans="1:26" ht="12.75" customHeight="1">
      <c r="A50" s="409"/>
      <c r="B50" s="409"/>
      <c r="C50" s="417"/>
      <c r="D50" s="409"/>
      <c r="E50" s="453"/>
      <c r="F50" s="453"/>
      <c r="G50" s="458" t="s">
        <v>301</v>
      </c>
      <c r="H50" s="460">
        <f>H47*H48</f>
        <v>145.38771740583351</v>
      </c>
      <c r="I50" s="409"/>
      <c r="J50" s="409"/>
      <c r="K50" s="409"/>
      <c r="L50" s="424"/>
      <c r="M50" s="409"/>
      <c r="N50" s="409"/>
      <c r="O50" s="467"/>
      <c r="P50" s="467"/>
      <c r="Q50" s="467"/>
      <c r="R50" s="467"/>
      <c r="S50" s="467"/>
      <c r="T50" s="467"/>
      <c r="U50" s="467"/>
      <c r="V50" s="467"/>
      <c r="W50" s="467"/>
      <c r="X50" s="467"/>
      <c r="Y50" s="467"/>
      <c r="Z50" s="467"/>
    </row>
    <row r="51" spans="1:26" ht="12.75" customHeight="1">
      <c r="A51" s="409"/>
      <c r="B51" s="409"/>
      <c r="C51" s="417"/>
      <c r="D51" s="409"/>
      <c r="E51" s="462"/>
      <c r="F51" s="409"/>
      <c r="G51" s="463" t="s">
        <v>282</v>
      </c>
      <c r="H51" s="460">
        <f>H42*H48</f>
        <v>562.00919094672668</v>
      </c>
      <c r="I51" s="409"/>
      <c r="J51" s="734" t="s">
        <v>293</v>
      </c>
      <c r="K51" s="673"/>
      <c r="L51" s="735"/>
      <c r="M51" s="409"/>
      <c r="N51" s="409"/>
      <c r="O51" s="467"/>
      <c r="P51" s="467"/>
      <c r="Q51" s="467"/>
      <c r="R51" s="467"/>
      <c r="S51" s="467"/>
      <c r="T51" s="467"/>
      <c r="U51" s="467"/>
      <c r="V51" s="467"/>
      <c r="W51" s="467"/>
      <c r="X51" s="467"/>
      <c r="Y51" s="467"/>
      <c r="Z51" s="467"/>
    </row>
    <row r="52" spans="1:26" ht="12.75" customHeight="1">
      <c r="A52" s="409"/>
      <c r="B52" s="409"/>
      <c r="C52" s="417"/>
      <c r="D52" s="409"/>
      <c r="E52" s="462"/>
      <c r="F52" s="409"/>
      <c r="G52" s="409"/>
      <c r="H52" s="464"/>
      <c r="I52" s="409"/>
      <c r="J52" s="675"/>
      <c r="K52" s="625"/>
      <c r="L52" s="703"/>
      <c r="M52" s="409"/>
      <c r="N52" s="409"/>
      <c r="O52" s="467"/>
      <c r="P52" s="467"/>
      <c r="Q52" s="467"/>
      <c r="R52" s="467"/>
      <c r="S52" s="467"/>
      <c r="T52" s="467"/>
      <c r="U52" s="467"/>
      <c r="V52" s="467"/>
      <c r="W52" s="467"/>
      <c r="X52" s="467"/>
      <c r="Y52" s="467"/>
      <c r="Z52" s="467"/>
    </row>
    <row r="53" spans="1:26" ht="12.75" customHeight="1">
      <c r="A53" s="409"/>
      <c r="B53" s="409"/>
      <c r="C53" s="417"/>
      <c r="D53" s="409"/>
      <c r="E53" s="462"/>
      <c r="F53" s="409"/>
      <c r="G53" s="458" t="s">
        <v>283</v>
      </c>
      <c r="H53" s="460">
        <f>H43*H48</f>
        <v>298.51982444419326</v>
      </c>
      <c r="I53" s="409"/>
      <c r="J53" s="675"/>
      <c r="K53" s="625"/>
      <c r="L53" s="703"/>
      <c r="M53" s="409"/>
      <c r="N53" s="409"/>
      <c r="O53" s="467"/>
      <c r="P53" s="467"/>
      <c r="Q53" s="467"/>
      <c r="R53" s="467"/>
      <c r="S53" s="467"/>
      <c r="T53" s="467"/>
      <c r="U53" s="467"/>
      <c r="V53" s="467"/>
      <c r="W53" s="467"/>
      <c r="X53" s="467"/>
      <c r="Y53" s="467"/>
      <c r="Z53" s="467"/>
    </row>
    <row r="54" spans="1:26" ht="12.75" customHeight="1">
      <c r="A54" s="409"/>
      <c r="B54" s="409"/>
      <c r="C54" s="417"/>
      <c r="D54" s="409"/>
      <c r="E54" s="409"/>
      <c r="F54" s="409"/>
      <c r="G54" s="458" t="s">
        <v>284</v>
      </c>
      <c r="H54" s="460">
        <f>H44*H48</f>
        <v>0</v>
      </c>
      <c r="I54" s="409"/>
      <c r="J54" s="675"/>
      <c r="K54" s="625"/>
      <c r="L54" s="703"/>
      <c r="M54" s="409"/>
      <c r="N54" s="409"/>
      <c r="O54" s="467"/>
      <c r="P54" s="467"/>
      <c r="Q54" s="467"/>
      <c r="R54" s="467"/>
      <c r="S54" s="467"/>
      <c r="T54" s="467"/>
      <c r="U54" s="467"/>
      <c r="V54" s="467"/>
      <c r="W54" s="467"/>
      <c r="X54" s="467"/>
      <c r="Y54" s="467"/>
      <c r="Z54" s="467"/>
    </row>
    <row r="55" spans="1:26" ht="12.75" customHeight="1">
      <c r="A55" s="409"/>
      <c r="B55" s="409"/>
      <c r="C55" s="417"/>
      <c r="D55" s="409"/>
      <c r="E55" s="462"/>
      <c r="F55" s="462"/>
      <c r="G55" s="462"/>
      <c r="H55" s="409"/>
      <c r="I55" s="409"/>
      <c r="J55" s="677"/>
      <c r="K55" s="678"/>
      <c r="L55" s="736"/>
      <c r="M55" s="409"/>
      <c r="N55" s="409"/>
      <c r="O55" s="467"/>
      <c r="P55" s="467"/>
      <c r="Q55" s="467"/>
      <c r="R55" s="467"/>
      <c r="S55" s="467"/>
      <c r="T55" s="467"/>
      <c r="U55" s="467"/>
      <c r="V55" s="467"/>
      <c r="W55" s="467"/>
      <c r="X55" s="467"/>
      <c r="Y55" s="467"/>
      <c r="Z55" s="467"/>
    </row>
    <row r="56" spans="1:26" ht="12.75" customHeight="1">
      <c r="A56" s="409"/>
      <c r="B56" s="409"/>
      <c r="C56" s="417"/>
      <c r="D56" s="409"/>
      <c r="E56" s="732" t="s">
        <v>302</v>
      </c>
      <c r="F56" s="625"/>
      <c r="G56" s="625"/>
      <c r="H56" s="465">
        <f>H45*H48</f>
        <v>430.26450769545994</v>
      </c>
      <c r="I56" s="409"/>
      <c r="J56" s="409"/>
      <c r="K56" s="409"/>
      <c r="L56" s="424"/>
      <c r="M56" s="409"/>
      <c r="N56" s="409"/>
      <c r="O56" s="467"/>
      <c r="P56" s="467"/>
      <c r="Q56" s="467"/>
      <c r="R56" s="467"/>
      <c r="S56" s="467"/>
      <c r="T56" s="467"/>
      <c r="U56" s="467"/>
      <c r="V56" s="467"/>
      <c r="W56" s="467"/>
      <c r="X56" s="467"/>
      <c r="Y56" s="467"/>
      <c r="Z56" s="467"/>
    </row>
    <row r="57" spans="1:26" ht="12.75" customHeight="1">
      <c r="A57" s="409"/>
      <c r="B57" s="409"/>
      <c r="C57" s="422"/>
      <c r="D57" s="466"/>
      <c r="E57" s="466"/>
      <c r="F57" s="466"/>
      <c r="G57" s="466"/>
      <c r="H57" s="466"/>
      <c r="I57" s="466"/>
      <c r="J57" s="466"/>
      <c r="K57" s="466"/>
      <c r="L57" s="423"/>
      <c r="M57" s="409"/>
      <c r="N57" s="409"/>
      <c r="O57" s="467"/>
      <c r="P57" s="467"/>
      <c r="Q57" s="467"/>
      <c r="R57" s="467"/>
      <c r="S57" s="467"/>
      <c r="T57" s="467"/>
      <c r="U57" s="467"/>
      <c r="V57" s="467"/>
      <c r="W57" s="467"/>
      <c r="X57" s="467"/>
      <c r="Y57" s="467"/>
      <c r="Z57" s="467"/>
    </row>
    <row r="58" spans="1:26" ht="12.75" customHeight="1">
      <c r="A58" s="409"/>
      <c r="B58" s="409"/>
      <c r="C58" s="409"/>
      <c r="D58" s="409"/>
      <c r="E58" s="409"/>
      <c r="F58" s="409"/>
      <c r="G58" s="409"/>
      <c r="H58" s="409"/>
      <c r="I58" s="409"/>
      <c r="J58" s="409"/>
      <c r="K58" s="409"/>
      <c r="L58" s="409"/>
      <c r="M58" s="409"/>
      <c r="N58" s="409"/>
      <c r="O58" s="467"/>
      <c r="P58" s="467"/>
      <c r="Q58" s="467"/>
      <c r="R58" s="467"/>
      <c r="S58" s="467"/>
      <c r="T58" s="467"/>
      <c r="U58" s="467"/>
      <c r="V58" s="467"/>
      <c r="W58" s="467"/>
      <c r="X58" s="467"/>
      <c r="Y58" s="467"/>
      <c r="Z58" s="467"/>
    </row>
    <row r="59" spans="1:26" ht="12.75" customHeight="1">
      <c r="A59" s="409"/>
      <c r="B59" s="409"/>
      <c r="C59" s="409"/>
      <c r="D59" s="409"/>
      <c r="E59" s="409"/>
      <c r="F59" s="409"/>
      <c r="G59" s="409"/>
      <c r="H59" s="409"/>
      <c r="I59" s="409"/>
      <c r="J59" s="409"/>
      <c r="K59" s="409"/>
      <c r="L59" s="409"/>
      <c r="M59" s="409"/>
      <c r="N59" s="409"/>
      <c r="O59" s="467"/>
      <c r="P59" s="467"/>
      <c r="Q59" s="467"/>
      <c r="R59" s="467"/>
      <c r="S59" s="467"/>
      <c r="T59" s="467"/>
      <c r="U59" s="467"/>
      <c r="V59" s="467"/>
      <c r="W59" s="467"/>
      <c r="X59" s="467"/>
      <c r="Y59" s="467"/>
      <c r="Z59" s="467"/>
    </row>
    <row r="60" spans="1:26" ht="12.75" customHeight="1">
      <c r="A60" s="409"/>
      <c r="B60" s="409"/>
      <c r="C60" s="409"/>
      <c r="D60" s="409"/>
      <c r="E60" s="409"/>
      <c r="F60" s="409"/>
      <c r="G60" s="409"/>
      <c r="H60" s="409"/>
      <c r="I60" s="409"/>
      <c r="J60" s="409"/>
      <c r="K60" s="409"/>
      <c r="L60" s="409"/>
      <c r="M60" s="409"/>
      <c r="N60" s="409"/>
      <c r="O60" s="467"/>
      <c r="P60" s="467"/>
      <c r="Q60" s="467"/>
      <c r="R60" s="467"/>
      <c r="S60" s="467"/>
      <c r="T60" s="467"/>
      <c r="U60" s="467"/>
      <c r="V60" s="467"/>
      <c r="W60" s="467"/>
      <c r="X60" s="467"/>
      <c r="Y60" s="467"/>
      <c r="Z60" s="467"/>
    </row>
    <row r="61" spans="1:26" ht="12.75" customHeight="1">
      <c r="A61" s="409"/>
      <c r="B61" s="409"/>
      <c r="C61" s="409"/>
      <c r="D61" s="409"/>
      <c r="E61" s="409"/>
      <c r="F61" s="409"/>
      <c r="G61" s="409"/>
      <c r="H61" s="409"/>
      <c r="I61" s="409"/>
      <c r="J61" s="409"/>
      <c r="K61" s="409"/>
      <c r="L61" s="409"/>
      <c r="M61" s="409"/>
      <c r="N61" s="409"/>
      <c r="O61" s="467"/>
      <c r="P61" s="467"/>
      <c r="Q61" s="467"/>
      <c r="R61" s="467"/>
      <c r="S61" s="467"/>
      <c r="T61" s="467"/>
      <c r="U61" s="467"/>
      <c r="V61" s="467"/>
      <c r="W61" s="467"/>
      <c r="X61" s="467"/>
      <c r="Y61" s="467"/>
      <c r="Z61" s="467"/>
    </row>
    <row r="62" spans="1:26" ht="12.75" customHeight="1">
      <c r="A62" s="409"/>
      <c r="B62" s="409"/>
      <c r="C62" s="409"/>
      <c r="D62" s="409"/>
      <c r="E62" s="409"/>
      <c r="F62" s="409"/>
      <c r="G62" s="409"/>
      <c r="H62" s="409"/>
      <c r="I62" s="409"/>
      <c r="J62" s="409"/>
      <c r="K62" s="409"/>
      <c r="L62" s="409"/>
      <c r="M62" s="409"/>
      <c r="N62" s="409"/>
      <c r="O62" s="467"/>
      <c r="P62" s="467"/>
      <c r="Q62" s="467"/>
      <c r="R62" s="467"/>
      <c r="S62" s="467"/>
      <c r="T62" s="467"/>
      <c r="U62" s="467"/>
      <c r="V62" s="467"/>
      <c r="W62" s="467"/>
      <c r="X62" s="467"/>
      <c r="Y62" s="467"/>
      <c r="Z62" s="467"/>
    </row>
    <row r="63" spans="1:26" ht="12.75" customHeight="1">
      <c r="A63" s="409"/>
      <c r="B63" s="409"/>
      <c r="C63" s="409"/>
      <c r="D63" s="409"/>
      <c r="E63" s="409"/>
      <c r="F63" s="409"/>
      <c r="G63" s="409"/>
      <c r="H63" s="409"/>
      <c r="I63" s="409"/>
      <c r="J63" s="409"/>
      <c r="K63" s="409"/>
      <c r="L63" s="409"/>
      <c r="M63" s="409"/>
      <c r="N63" s="409"/>
      <c r="O63" s="467"/>
      <c r="P63" s="467"/>
      <c r="Q63" s="467"/>
      <c r="R63" s="467"/>
      <c r="S63" s="467"/>
      <c r="T63" s="467"/>
      <c r="U63" s="467"/>
      <c r="V63" s="467"/>
      <c r="W63" s="467"/>
      <c r="X63" s="467"/>
      <c r="Y63" s="467"/>
      <c r="Z63" s="467"/>
    </row>
    <row r="64" spans="1:26" ht="12.75" customHeight="1">
      <c r="A64" s="409"/>
      <c r="B64" s="409"/>
      <c r="C64" s="409"/>
      <c r="D64" s="409"/>
      <c r="E64" s="409"/>
      <c r="F64" s="409"/>
      <c r="G64" s="409"/>
      <c r="H64" s="409"/>
      <c r="I64" s="409"/>
      <c r="J64" s="409"/>
      <c r="K64" s="409"/>
      <c r="L64" s="409"/>
      <c r="M64" s="409"/>
      <c r="N64" s="409"/>
      <c r="O64" s="467"/>
      <c r="P64" s="467"/>
      <c r="Q64" s="467"/>
      <c r="R64" s="467"/>
      <c r="S64" s="467"/>
      <c r="T64" s="467"/>
      <c r="U64" s="467"/>
      <c r="V64" s="467"/>
      <c r="W64" s="467"/>
      <c r="X64" s="467"/>
      <c r="Y64" s="467"/>
      <c r="Z64" s="467"/>
    </row>
    <row r="65" spans="1:26" ht="12.75" customHeight="1">
      <c r="A65" s="409"/>
      <c r="B65" s="409"/>
      <c r="C65" s="409"/>
      <c r="D65" s="409"/>
      <c r="E65" s="409"/>
      <c r="F65" s="409"/>
      <c r="G65" s="409"/>
      <c r="H65" s="409"/>
      <c r="I65" s="409"/>
      <c r="J65" s="409"/>
      <c r="K65" s="409"/>
      <c r="L65" s="409"/>
      <c r="M65" s="409"/>
      <c r="N65" s="409"/>
      <c r="O65" s="467"/>
      <c r="P65" s="467"/>
      <c r="Q65" s="467"/>
      <c r="R65" s="467"/>
      <c r="S65" s="467"/>
      <c r="T65" s="467"/>
      <c r="U65" s="467"/>
      <c r="V65" s="467"/>
      <c r="W65" s="467"/>
      <c r="X65" s="467"/>
      <c r="Y65" s="467"/>
      <c r="Z65" s="467"/>
    </row>
    <row r="66" spans="1:26" ht="12.75" customHeight="1">
      <c r="A66" s="409"/>
      <c r="B66" s="409"/>
      <c r="C66" s="409"/>
      <c r="D66" s="409"/>
      <c r="E66" s="409"/>
      <c r="F66" s="409"/>
      <c r="G66" s="409"/>
      <c r="H66" s="409"/>
      <c r="I66" s="409"/>
      <c r="J66" s="409"/>
      <c r="K66" s="409"/>
      <c r="L66" s="409"/>
      <c r="M66" s="409"/>
      <c r="N66" s="409"/>
      <c r="O66" s="467"/>
      <c r="P66" s="467"/>
      <c r="Q66" s="467"/>
      <c r="R66" s="467"/>
      <c r="S66" s="467"/>
      <c r="T66" s="467"/>
      <c r="U66" s="467"/>
      <c r="V66" s="467"/>
      <c r="W66" s="467"/>
      <c r="X66" s="467"/>
      <c r="Y66" s="467"/>
      <c r="Z66" s="467"/>
    </row>
    <row r="67" spans="1:26" ht="12.75" customHeight="1">
      <c r="A67" s="409"/>
      <c r="B67" s="409"/>
      <c r="C67" s="409"/>
      <c r="D67" s="409"/>
      <c r="E67" s="409"/>
      <c r="F67" s="409"/>
      <c r="G67" s="409"/>
      <c r="H67" s="409"/>
      <c r="I67" s="409"/>
      <c r="J67" s="409"/>
      <c r="K67" s="409"/>
      <c r="L67" s="409"/>
      <c r="M67" s="409"/>
      <c r="N67" s="409"/>
      <c r="O67" s="467"/>
      <c r="P67" s="467"/>
      <c r="Q67" s="467"/>
      <c r="R67" s="467"/>
      <c r="S67" s="467"/>
      <c r="T67" s="467"/>
      <c r="U67" s="467"/>
      <c r="V67" s="467"/>
      <c r="W67" s="467"/>
      <c r="X67" s="467"/>
      <c r="Y67" s="467"/>
      <c r="Z67" s="467"/>
    </row>
    <row r="68" spans="1:26" ht="12.75" customHeight="1">
      <c r="A68" s="409"/>
      <c r="B68" s="409"/>
      <c r="C68" s="409"/>
      <c r="D68" s="409"/>
      <c r="E68" s="409"/>
      <c r="F68" s="409"/>
      <c r="G68" s="409"/>
      <c r="H68" s="409"/>
      <c r="I68" s="409"/>
      <c r="J68" s="409"/>
      <c r="K68" s="409"/>
      <c r="L68" s="409"/>
      <c r="M68" s="409"/>
      <c r="N68" s="409"/>
      <c r="O68" s="467"/>
      <c r="P68" s="467"/>
      <c r="Q68" s="467"/>
      <c r="R68" s="467"/>
      <c r="S68" s="467"/>
      <c r="T68" s="467"/>
      <c r="U68" s="467"/>
      <c r="V68" s="467"/>
      <c r="W68" s="467"/>
      <c r="X68" s="467"/>
      <c r="Y68" s="467"/>
      <c r="Z68" s="467"/>
    </row>
    <row r="69" spans="1:26" ht="12.75" customHeight="1">
      <c r="A69" s="409"/>
      <c r="B69" s="409"/>
      <c r="C69" s="409"/>
      <c r="D69" s="409"/>
      <c r="E69" s="409"/>
      <c r="F69" s="409"/>
      <c r="G69" s="409"/>
      <c r="H69" s="409"/>
      <c r="I69" s="409"/>
      <c r="J69" s="409"/>
      <c r="K69" s="409"/>
      <c r="L69" s="409"/>
      <c r="M69" s="409"/>
      <c r="N69" s="409"/>
      <c r="O69" s="467"/>
      <c r="P69" s="467"/>
      <c r="Q69" s="467"/>
      <c r="R69" s="467"/>
      <c r="S69" s="467"/>
      <c r="T69" s="467"/>
      <c r="U69" s="467"/>
      <c r="V69" s="467"/>
      <c r="W69" s="467"/>
      <c r="X69" s="467"/>
      <c r="Y69" s="467"/>
      <c r="Z69" s="467"/>
    </row>
    <row r="70" spans="1:26" ht="12.75" customHeight="1">
      <c r="A70" s="409"/>
      <c r="B70" s="409"/>
      <c r="C70" s="409"/>
      <c r="D70" s="409"/>
      <c r="E70" s="409"/>
      <c r="F70" s="409"/>
      <c r="G70" s="409"/>
      <c r="H70" s="409"/>
      <c r="I70" s="409"/>
      <c r="J70" s="409"/>
      <c r="K70" s="409"/>
      <c r="L70" s="409"/>
      <c r="M70" s="409"/>
      <c r="N70" s="409"/>
      <c r="O70" s="467"/>
      <c r="P70" s="467"/>
      <c r="Q70" s="467"/>
      <c r="R70" s="467"/>
      <c r="S70" s="467"/>
      <c r="T70" s="467"/>
      <c r="U70" s="467"/>
      <c r="V70" s="467"/>
      <c r="W70" s="467"/>
      <c r="X70" s="467"/>
      <c r="Y70" s="467"/>
      <c r="Z70" s="467"/>
    </row>
    <row r="71" spans="1:26" ht="12.75" customHeight="1">
      <c r="A71" s="409"/>
      <c r="B71" s="409"/>
      <c r="C71" s="409"/>
      <c r="D71" s="409"/>
      <c r="E71" s="409"/>
      <c r="F71" s="409"/>
      <c r="G71" s="409"/>
      <c r="H71" s="409"/>
      <c r="I71" s="409"/>
      <c r="J71" s="409"/>
      <c r="K71" s="409"/>
      <c r="L71" s="409"/>
      <c r="M71" s="409"/>
      <c r="N71" s="409"/>
      <c r="O71" s="467"/>
      <c r="P71" s="467"/>
      <c r="Q71" s="467"/>
      <c r="R71" s="467"/>
      <c r="S71" s="467"/>
      <c r="T71" s="467"/>
      <c r="U71" s="467"/>
      <c r="V71" s="467"/>
      <c r="W71" s="467"/>
      <c r="X71" s="467"/>
      <c r="Y71" s="467"/>
      <c r="Z71" s="467"/>
    </row>
    <row r="72" spans="1:26" ht="12.75" customHeight="1">
      <c r="A72" s="409"/>
      <c r="B72" s="409"/>
      <c r="C72" s="409"/>
      <c r="D72" s="409"/>
      <c r="E72" s="409"/>
      <c r="F72" s="409"/>
      <c r="G72" s="409"/>
      <c r="H72" s="409"/>
      <c r="I72" s="409"/>
      <c r="J72" s="409"/>
      <c r="K72" s="409"/>
      <c r="L72" s="409"/>
      <c r="M72" s="409"/>
      <c r="N72" s="409"/>
      <c r="O72" s="467"/>
      <c r="P72" s="467"/>
      <c r="Q72" s="467"/>
      <c r="R72" s="467"/>
      <c r="S72" s="467"/>
      <c r="T72" s="467"/>
      <c r="U72" s="467"/>
      <c r="V72" s="467"/>
      <c r="W72" s="467"/>
      <c r="X72" s="467"/>
      <c r="Y72" s="467"/>
      <c r="Z72" s="467"/>
    </row>
    <row r="73" spans="1:26" ht="12.75" customHeight="1">
      <c r="A73" s="409"/>
      <c r="B73" s="409"/>
      <c r="C73" s="409"/>
      <c r="D73" s="409"/>
      <c r="E73" s="409"/>
      <c r="F73" s="409"/>
      <c r="G73" s="409"/>
      <c r="H73" s="409"/>
      <c r="I73" s="409"/>
      <c r="J73" s="409"/>
      <c r="K73" s="409"/>
      <c r="L73" s="409"/>
      <c r="M73" s="409"/>
      <c r="N73" s="409"/>
      <c r="O73" s="467"/>
      <c r="P73" s="467"/>
      <c r="Q73" s="467"/>
      <c r="R73" s="467"/>
      <c r="S73" s="467"/>
      <c r="T73" s="467"/>
      <c r="U73" s="467"/>
      <c r="V73" s="467"/>
      <c r="W73" s="467"/>
      <c r="X73" s="467"/>
      <c r="Y73" s="467"/>
      <c r="Z73" s="467"/>
    </row>
    <row r="74" spans="1:26" ht="12.75" customHeight="1">
      <c r="A74" s="409"/>
      <c r="B74" s="409"/>
      <c r="C74" s="409"/>
      <c r="D74" s="409"/>
      <c r="E74" s="409"/>
      <c r="F74" s="409"/>
      <c r="G74" s="409"/>
      <c r="H74" s="409"/>
      <c r="I74" s="409"/>
      <c r="J74" s="409"/>
      <c r="K74" s="409"/>
      <c r="L74" s="409"/>
      <c r="M74" s="409"/>
      <c r="N74" s="409"/>
      <c r="O74" s="467"/>
      <c r="P74" s="467"/>
      <c r="Q74" s="467"/>
      <c r="R74" s="467"/>
      <c r="S74" s="467"/>
      <c r="T74" s="467"/>
      <c r="U74" s="467"/>
      <c r="V74" s="467"/>
      <c r="W74" s="467"/>
      <c r="X74" s="467"/>
      <c r="Y74" s="467"/>
      <c r="Z74" s="467"/>
    </row>
    <row r="75" spans="1:26" ht="12.75" customHeight="1">
      <c r="A75" s="409"/>
      <c r="B75" s="409"/>
      <c r="C75" s="409"/>
      <c r="D75" s="409"/>
      <c r="E75" s="409"/>
      <c r="F75" s="409"/>
      <c r="G75" s="409"/>
      <c r="H75" s="409"/>
      <c r="I75" s="409"/>
      <c r="J75" s="409"/>
      <c r="K75" s="409"/>
      <c r="L75" s="409"/>
      <c r="M75" s="409"/>
      <c r="N75" s="409"/>
      <c r="O75" s="467"/>
      <c r="P75" s="467"/>
      <c r="Q75" s="467"/>
      <c r="R75" s="467"/>
      <c r="S75" s="467"/>
      <c r="T75" s="467"/>
      <c r="U75" s="467"/>
      <c r="V75" s="467"/>
      <c r="W75" s="467"/>
      <c r="X75" s="467"/>
      <c r="Y75" s="467"/>
      <c r="Z75" s="467"/>
    </row>
    <row r="76" spans="1:26" ht="12.75" customHeight="1">
      <c r="A76" s="409"/>
      <c r="B76" s="409"/>
      <c r="C76" s="409"/>
      <c r="D76" s="409"/>
      <c r="E76" s="409"/>
      <c r="F76" s="409"/>
      <c r="G76" s="409"/>
      <c r="H76" s="409"/>
      <c r="I76" s="409"/>
      <c r="J76" s="409"/>
      <c r="K76" s="409"/>
      <c r="L76" s="409"/>
      <c r="M76" s="409"/>
      <c r="N76" s="409"/>
      <c r="O76" s="467"/>
      <c r="P76" s="467"/>
      <c r="Q76" s="467"/>
      <c r="R76" s="467"/>
      <c r="S76" s="467"/>
      <c r="T76" s="467"/>
      <c r="U76" s="467"/>
      <c r="V76" s="467"/>
      <c r="W76" s="467"/>
      <c r="X76" s="467"/>
      <c r="Y76" s="467"/>
      <c r="Z76" s="467"/>
    </row>
    <row r="77" spans="1:26" ht="12.75" customHeight="1">
      <c r="A77" s="409"/>
      <c r="B77" s="409"/>
      <c r="C77" s="409"/>
      <c r="D77" s="409"/>
      <c r="E77" s="409"/>
      <c r="F77" s="409"/>
      <c r="G77" s="409"/>
      <c r="H77" s="409"/>
      <c r="I77" s="409"/>
      <c r="J77" s="409"/>
      <c r="K77" s="409"/>
      <c r="L77" s="409"/>
      <c r="M77" s="409"/>
      <c r="N77" s="409"/>
      <c r="O77" s="467"/>
      <c r="P77" s="467"/>
      <c r="Q77" s="467"/>
      <c r="R77" s="467"/>
      <c r="S77" s="467"/>
      <c r="T77" s="467"/>
      <c r="U77" s="467"/>
      <c r="V77" s="467"/>
      <c r="W77" s="467"/>
      <c r="X77" s="467"/>
      <c r="Y77" s="467"/>
      <c r="Z77" s="467"/>
    </row>
    <row r="78" spans="1:26" ht="12.75" customHeight="1">
      <c r="A78" s="409"/>
      <c r="B78" s="409"/>
      <c r="C78" s="409"/>
      <c r="D78" s="409"/>
      <c r="E78" s="409"/>
      <c r="F78" s="409"/>
      <c r="G78" s="409"/>
      <c r="H78" s="409"/>
      <c r="I78" s="409"/>
      <c r="J78" s="409"/>
      <c r="K78" s="409"/>
      <c r="L78" s="409"/>
      <c r="M78" s="409"/>
      <c r="N78" s="409"/>
      <c r="O78" s="467"/>
      <c r="P78" s="467"/>
      <c r="Q78" s="467"/>
      <c r="R78" s="467"/>
      <c r="S78" s="467"/>
      <c r="T78" s="467"/>
      <c r="U78" s="467"/>
      <c r="V78" s="467"/>
      <c r="W78" s="467"/>
      <c r="X78" s="467"/>
      <c r="Y78" s="467"/>
      <c r="Z78" s="467"/>
    </row>
    <row r="79" spans="1:26" ht="12.75" customHeight="1">
      <c r="A79" s="409"/>
      <c r="B79" s="409"/>
      <c r="C79" s="409"/>
      <c r="D79" s="409"/>
      <c r="E79" s="409"/>
      <c r="F79" s="409"/>
      <c r="G79" s="409"/>
      <c r="H79" s="409"/>
      <c r="I79" s="409"/>
      <c r="J79" s="409"/>
      <c r="K79" s="409"/>
      <c r="L79" s="409"/>
      <c r="M79" s="409"/>
      <c r="N79" s="409"/>
      <c r="O79" s="467"/>
      <c r="P79" s="467"/>
      <c r="Q79" s="467"/>
      <c r="R79" s="467"/>
      <c r="S79" s="467"/>
      <c r="T79" s="467"/>
      <c r="U79" s="467"/>
      <c r="V79" s="467"/>
      <c r="W79" s="467"/>
      <c r="X79" s="467"/>
      <c r="Y79" s="467"/>
      <c r="Z79" s="467"/>
    </row>
    <row r="80" spans="1:26" ht="12.75" customHeight="1">
      <c r="A80" s="409"/>
      <c r="B80" s="409"/>
      <c r="C80" s="409"/>
      <c r="D80" s="409"/>
      <c r="E80" s="409"/>
      <c r="F80" s="409"/>
      <c r="G80" s="409"/>
      <c r="H80" s="409"/>
      <c r="I80" s="409"/>
      <c r="J80" s="409"/>
      <c r="K80" s="409"/>
      <c r="L80" s="409"/>
      <c r="M80" s="409"/>
      <c r="N80" s="409"/>
      <c r="O80" s="467"/>
      <c r="P80" s="467"/>
      <c r="Q80" s="467"/>
      <c r="R80" s="467"/>
      <c r="S80" s="467"/>
      <c r="T80" s="467"/>
      <c r="U80" s="467"/>
      <c r="V80" s="467"/>
      <c r="W80" s="467"/>
      <c r="X80" s="467"/>
      <c r="Y80" s="467"/>
      <c r="Z80" s="467"/>
    </row>
    <row r="81" spans="1:26" ht="12.75" customHeight="1">
      <c r="A81" s="409"/>
      <c r="B81" s="409"/>
      <c r="C81" s="409"/>
      <c r="D81" s="409"/>
      <c r="E81" s="409"/>
      <c r="F81" s="409"/>
      <c r="G81" s="409"/>
      <c r="H81" s="409"/>
      <c r="I81" s="409"/>
      <c r="J81" s="409"/>
      <c r="K81" s="409"/>
      <c r="L81" s="409"/>
      <c r="M81" s="409"/>
      <c r="N81" s="409"/>
      <c r="O81" s="467"/>
      <c r="P81" s="467"/>
      <c r="Q81" s="467"/>
      <c r="R81" s="467"/>
      <c r="S81" s="467"/>
      <c r="T81" s="467"/>
      <c r="U81" s="467"/>
      <c r="V81" s="467"/>
      <c r="W81" s="467"/>
      <c r="X81" s="467"/>
      <c r="Y81" s="467"/>
      <c r="Z81" s="467"/>
    </row>
    <row r="82" spans="1:26" ht="12.75" customHeight="1">
      <c r="A82" s="409"/>
      <c r="B82" s="409"/>
      <c r="C82" s="409"/>
      <c r="D82" s="409"/>
      <c r="E82" s="409"/>
      <c r="F82" s="409"/>
      <c r="G82" s="409"/>
      <c r="H82" s="409"/>
      <c r="I82" s="409"/>
      <c r="J82" s="409"/>
      <c r="K82" s="409"/>
      <c r="L82" s="409"/>
      <c r="M82" s="409"/>
      <c r="N82" s="409"/>
      <c r="O82" s="467"/>
      <c r="P82" s="467"/>
      <c r="Q82" s="467"/>
      <c r="R82" s="467"/>
      <c r="S82" s="467"/>
      <c r="T82" s="467"/>
      <c r="U82" s="467"/>
      <c r="V82" s="467"/>
      <c r="W82" s="467"/>
      <c r="X82" s="467"/>
      <c r="Y82" s="467"/>
      <c r="Z82" s="467"/>
    </row>
    <row r="83" spans="1:26" ht="12.75" customHeight="1">
      <c r="A83" s="409"/>
      <c r="B83" s="409"/>
      <c r="C83" s="409"/>
      <c r="D83" s="409"/>
      <c r="E83" s="409"/>
      <c r="F83" s="409"/>
      <c r="G83" s="409"/>
      <c r="H83" s="409"/>
      <c r="I83" s="409"/>
      <c r="J83" s="409"/>
      <c r="K83" s="409"/>
      <c r="L83" s="409"/>
      <c r="M83" s="409"/>
      <c r="N83" s="409"/>
      <c r="O83" s="467"/>
      <c r="P83" s="467"/>
      <c r="Q83" s="467"/>
      <c r="R83" s="467"/>
      <c r="S83" s="467"/>
      <c r="T83" s="467"/>
      <c r="U83" s="467"/>
      <c r="V83" s="467"/>
      <c r="W83" s="467"/>
      <c r="X83" s="467"/>
      <c r="Y83" s="467"/>
      <c r="Z83" s="467"/>
    </row>
    <row r="84" spans="1:26" ht="12.75" customHeight="1">
      <c r="A84" s="409"/>
      <c r="B84" s="409"/>
      <c r="C84" s="409"/>
      <c r="D84" s="409"/>
      <c r="E84" s="409"/>
      <c r="F84" s="409"/>
      <c r="G84" s="409"/>
      <c r="H84" s="409"/>
      <c r="I84" s="409"/>
      <c r="J84" s="409"/>
      <c r="K84" s="409"/>
      <c r="L84" s="409"/>
      <c r="M84" s="409"/>
      <c r="N84" s="409"/>
      <c r="O84" s="467"/>
      <c r="P84" s="467"/>
      <c r="Q84" s="467"/>
      <c r="R84" s="467"/>
      <c r="S84" s="467"/>
      <c r="T84" s="467"/>
      <c r="U84" s="467"/>
      <c r="V84" s="467"/>
      <c r="W84" s="467"/>
      <c r="X84" s="467"/>
      <c r="Y84" s="467"/>
      <c r="Z84" s="467"/>
    </row>
    <row r="85" spans="1:26" ht="12.75" customHeight="1">
      <c r="A85" s="409"/>
      <c r="B85" s="409"/>
      <c r="C85" s="409"/>
      <c r="D85" s="409"/>
      <c r="E85" s="409"/>
      <c r="F85" s="409"/>
      <c r="G85" s="409"/>
      <c r="H85" s="409"/>
      <c r="I85" s="409"/>
      <c r="J85" s="409"/>
      <c r="K85" s="409"/>
      <c r="L85" s="409"/>
      <c r="M85" s="409"/>
      <c r="N85" s="409"/>
      <c r="O85" s="467"/>
      <c r="P85" s="467"/>
      <c r="Q85" s="467"/>
      <c r="R85" s="467"/>
      <c r="S85" s="467"/>
      <c r="T85" s="467"/>
      <c r="U85" s="467"/>
      <c r="V85" s="467"/>
      <c r="W85" s="467"/>
      <c r="X85" s="467"/>
      <c r="Y85" s="467"/>
      <c r="Z85" s="467"/>
    </row>
    <row r="86" spans="1:26" ht="12.75" customHeight="1">
      <c r="A86" s="409"/>
      <c r="B86" s="409"/>
      <c r="C86" s="409"/>
      <c r="D86" s="409"/>
      <c r="E86" s="409"/>
      <c r="F86" s="409"/>
      <c r="G86" s="409"/>
      <c r="H86" s="409"/>
      <c r="I86" s="409"/>
      <c r="J86" s="409"/>
      <c r="K86" s="409"/>
      <c r="L86" s="409"/>
      <c r="M86" s="409"/>
      <c r="N86" s="409"/>
      <c r="O86" s="467"/>
      <c r="P86" s="467"/>
      <c r="Q86" s="467"/>
      <c r="R86" s="467"/>
      <c r="S86" s="467"/>
      <c r="T86" s="467"/>
      <c r="U86" s="467"/>
      <c r="V86" s="467"/>
      <c r="W86" s="467"/>
      <c r="X86" s="467"/>
      <c r="Y86" s="467"/>
      <c r="Z86" s="467"/>
    </row>
    <row r="87" spans="1:26" ht="12.75" customHeight="1">
      <c r="A87" s="409"/>
      <c r="B87" s="409"/>
      <c r="C87" s="409"/>
      <c r="D87" s="409"/>
      <c r="E87" s="409"/>
      <c r="F87" s="409"/>
      <c r="G87" s="409"/>
      <c r="H87" s="409"/>
      <c r="I87" s="409"/>
      <c r="J87" s="409"/>
      <c r="K87" s="409"/>
      <c r="L87" s="409"/>
      <c r="M87" s="409"/>
      <c r="N87" s="409"/>
      <c r="O87" s="467"/>
      <c r="P87" s="467"/>
      <c r="Q87" s="467"/>
      <c r="R87" s="467"/>
      <c r="S87" s="467"/>
      <c r="T87" s="467"/>
      <c r="U87" s="467"/>
      <c r="V87" s="467"/>
      <c r="W87" s="467"/>
      <c r="X87" s="467"/>
      <c r="Y87" s="467"/>
      <c r="Z87" s="467"/>
    </row>
    <row r="88" spans="1:26" ht="12.75" customHeight="1">
      <c r="A88" s="409"/>
      <c r="B88" s="409"/>
      <c r="C88" s="409"/>
      <c r="D88" s="409"/>
      <c r="E88" s="409"/>
      <c r="F88" s="409"/>
      <c r="G88" s="409"/>
      <c r="H88" s="409"/>
      <c r="I88" s="409"/>
      <c r="J88" s="409"/>
      <c r="K88" s="409"/>
      <c r="L88" s="409"/>
      <c r="M88" s="409"/>
      <c r="N88" s="409"/>
      <c r="O88" s="467"/>
      <c r="P88" s="467"/>
      <c r="Q88" s="467"/>
      <c r="R88" s="467"/>
      <c r="S88" s="467"/>
      <c r="T88" s="467"/>
      <c r="U88" s="467"/>
      <c r="V88" s="467"/>
      <c r="W88" s="467"/>
      <c r="X88" s="467"/>
      <c r="Y88" s="467"/>
      <c r="Z88" s="467"/>
    </row>
    <row r="89" spans="1:26" ht="12.75" customHeight="1">
      <c r="A89" s="409"/>
      <c r="B89" s="409"/>
      <c r="C89" s="409"/>
      <c r="D89" s="409"/>
      <c r="E89" s="409"/>
      <c r="F89" s="409"/>
      <c r="G89" s="409"/>
      <c r="H89" s="409"/>
      <c r="I89" s="409"/>
      <c r="J89" s="409"/>
      <c r="K89" s="409"/>
      <c r="L89" s="409"/>
      <c r="M89" s="409"/>
      <c r="N89" s="409"/>
      <c r="O89" s="467"/>
      <c r="P89" s="467"/>
      <c r="Q89" s="467"/>
      <c r="R89" s="467"/>
      <c r="S89" s="467"/>
      <c r="T89" s="467"/>
      <c r="U89" s="467"/>
      <c r="V89" s="467"/>
      <c r="W89" s="467"/>
      <c r="X89" s="467"/>
      <c r="Y89" s="467"/>
      <c r="Z89" s="467"/>
    </row>
    <row r="90" spans="1:26" ht="12.75" customHeight="1">
      <c r="A90" s="409"/>
      <c r="B90" s="409"/>
      <c r="C90" s="409"/>
      <c r="D90" s="409"/>
      <c r="E90" s="409"/>
      <c r="F90" s="409"/>
      <c r="G90" s="409"/>
      <c r="H90" s="409"/>
      <c r="I90" s="409"/>
      <c r="J90" s="409"/>
      <c r="K90" s="409"/>
      <c r="L90" s="409"/>
      <c r="M90" s="409"/>
      <c r="N90" s="409"/>
      <c r="O90" s="467"/>
      <c r="P90" s="467"/>
      <c r="Q90" s="467"/>
      <c r="R90" s="467"/>
      <c r="S90" s="467"/>
      <c r="T90" s="467"/>
      <c r="U90" s="467"/>
      <c r="V90" s="467"/>
      <c r="W90" s="467"/>
      <c r="X90" s="467"/>
      <c r="Y90" s="467"/>
      <c r="Z90" s="467"/>
    </row>
    <row r="91" spans="1:26" ht="12.75" customHeight="1">
      <c r="A91" s="409"/>
      <c r="B91" s="409"/>
      <c r="C91" s="409"/>
      <c r="D91" s="409"/>
      <c r="E91" s="409"/>
      <c r="F91" s="409"/>
      <c r="G91" s="409"/>
      <c r="H91" s="409"/>
      <c r="I91" s="409"/>
      <c r="J91" s="409"/>
      <c r="K91" s="409"/>
      <c r="L91" s="409"/>
      <c r="M91" s="409"/>
      <c r="N91" s="409"/>
      <c r="O91" s="467"/>
      <c r="P91" s="467"/>
      <c r="Q91" s="467"/>
      <c r="R91" s="467"/>
      <c r="S91" s="467"/>
      <c r="T91" s="467"/>
      <c r="U91" s="467"/>
      <c r="V91" s="467"/>
      <c r="W91" s="467"/>
      <c r="X91" s="467"/>
      <c r="Y91" s="467"/>
      <c r="Z91" s="467"/>
    </row>
    <row r="92" spans="1:26" ht="12.75" customHeight="1">
      <c r="A92" s="409"/>
      <c r="B92" s="409"/>
      <c r="C92" s="409"/>
      <c r="D92" s="409"/>
      <c r="E92" s="409"/>
      <c r="F92" s="409"/>
      <c r="G92" s="409"/>
      <c r="H92" s="409"/>
      <c r="I92" s="409"/>
      <c r="J92" s="409"/>
      <c r="K92" s="409"/>
      <c r="L92" s="409"/>
      <c r="M92" s="409"/>
      <c r="N92" s="409"/>
      <c r="O92" s="467"/>
      <c r="P92" s="467"/>
      <c r="Q92" s="467"/>
      <c r="R92" s="467"/>
      <c r="S92" s="467"/>
      <c r="T92" s="467"/>
      <c r="U92" s="467"/>
      <c r="V92" s="467"/>
      <c r="W92" s="467"/>
      <c r="X92" s="467"/>
      <c r="Y92" s="467"/>
      <c r="Z92" s="467"/>
    </row>
    <row r="93" spans="1:26" ht="12.75" customHeight="1">
      <c r="A93" s="409"/>
      <c r="B93" s="409"/>
      <c r="C93" s="409"/>
      <c r="D93" s="409"/>
      <c r="E93" s="409"/>
      <c r="F93" s="409"/>
      <c r="G93" s="409"/>
      <c r="H93" s="409"/>
      <c r="I93" s="409"/>
      <c r="J93" s="409"/>
      <c r="K93" s="409"/>
      <c r="L93" s="409"/>
      <c r="M93" s="409"/>
      <c r="N93" s="409"/>
      <c r="O93" s="467"/>
      <c r="P93" s="467"/>
      <c r="Q93" s="467"/>
      <c r="R93" s="467"/>
      <c r="S93" s="467"/>
      <c r="T93" s="467"/>
      <c r="U93" s="467"/>
      <c r="V93" s="467"/>
      <c r="W93" s="467"/>
      <c r="X93" s="467"/>
      <c r="Y93" s="467"/>
      <c r="Z93" s="467"/>
    </row>
    <row r="94" spans="1:26" ht="12.75" customHeight="1">
      <c r="A94" s="409"/>
      <c r="B94" s="409"/>
      <c r="C94" s="409"/>
      <c r="D94" s="409"/>
      <c r="E94" s="409"/>
      <c r="F94" s="409"/>
      <c r="G94" s="409"/>
      <c r="H94" s="409"/>
      <c r="I94" s="409"/>
      <c r="J94" s="409"/>
      <c r="K94" s="409"/>
      <c r="L94" s="409"/>
      <c r="M94" s="409"/>
      <c r="N94" s="409"/>
      <c r="O94" s="467"/>
      <c r="P94" s="467"/>
      <c r="Q94" s="467"/>
      <c r="R94" s="467"/>
      <c r="S94" s="467"/>
      <c r="T94" s="467"/>
      <c r="U94" s="467"/>
      <c r="V94" s="467"/>
      <c r="W94" s="467"/>
      <c r="X94" s="467"/>
      <c r="Y94" s="467"/>
      <c r="Z94" s="467"/>
    </row>
    <row r="95" spans="1:26" ht="12.75" customHeight="1">
      <c r="A95" s="409"/>
      <c r="B95" s="409"/>
      <c r="C95" s="409"/>
      <c r="D95" s="409"/>
      <c r="E95" s="409"/>
      <c r="F95" s="409"/>
      <c r="G95" s="409"/>
      <c r="H95" s="409"/>
      <c r="I95" s="409"/>
      <c r="J95" s="409"/>
      <c r="K95" s="409"/>
      <c r="L95" s="409"/>
      <c r="M95" s="409"/>
      <c r="N95" s="409"/>
      <c r="O95" s="467"/>
      <c r="P95" s="467"/>
      <c r="Q95" s="467"/>
      <c r="R95" s="467"/>
      <c r="S95" s="467"/>
      <c r="T95" s="467"/>
      <c r="U95" s="467"/>
      <c r="V95" s="467"/>
      <c r="W95" s="467"/>
      <c r="X95" s="467"/>
      <c r="Y95" s="467"/>
      <c r="Z95" s="467"/>
    </row>
    <row r="96" spans="1:26" ht="12.75" customHeight="1">
      <c r="A96" s="409"/>
      <c r="B96" s="409"/>
      <c r="C96" s="409"/>
      <c r="D96" s="409"/>
      <c r="E96" s="409"/>
      <c r="F96" s="409"/>
      <c r="G96" s="409"/>
      <c r="H96" s="409"/>
      <c r="I96" s="409"/>
      <c r="J96" s="409"/>
      <c r="K96" s="409"/>
      <c r="L96" s="409"/>
      <c r="M96" s="409"/>
      <c r="N96" s="409"/>
      <c r="O96" s="467"/>
      <c r="P96" s="467"/>
      <c r="Q96" s="467"/>
      <c r="R96" s="467"/>
      <c r="S96" s="467"/>
      <c r="T96" s="467"/>
      <c r="U96" s="467"/>
      <c r="V96" s="467"/>
      <c r="W96" s="467"/>
      <c r="X96" s="467"/>
      <c r="Y96" s="467"/>
      <c r="Z96" s="467"/>
    </row>
    <row r="97" spans="1:26" ht="12.75" customHeight="1">
      <c r="A97" s="409"/>
      <c r="B97" s="409"/>
      <c r="C97" s="409"/>
      <c r="D97" s="409"/>
      <c r="E97" s="409"/>
      <c r="F97" s="409"/>
      <c r="G97" s="409"/>
      <c r="H97" s="409"/>
      <c r="I97" s="409"/>
      <c r="J97" s="409"/>
      <c r="K97" s="409"/>
      <c r="L97" s="409"/>
      <c r="M97" s="409"/>
      <c r="N97" s="409"/>
      <c r="O97" s="467"/>
      <c r="P97" s="467"/>
      <c r="Q97" s="467"/>
      <c r="R97" s="467"/>
      <c r="S97" s="467"/>
      <c r="T97" s="467"/>
      <c r="U97" s="467"/>
      <c r="V97" s="467"/>
      <c r="W97" s="467"/>
      <c r="X97" s="467"/>
      <c r="Y97" s="467"/>
      <c r="Z97" s="467"/>
    </row>
    <row r="98" spans="1:26" ht="12.75" customHeight="1">
      <c r="A98" s="409"/>
      <c r="B98" s="409"/>
      <c r="C98" s="409"/>
      <c r="D98" s="409"/>
      <c r="E98" s="409"/>
      <c r="F98" s="409"/>
      <c r="G98" s="409"/>
      <c r="H98" s="409"/>
      <c r="I98" s="409"/>
      <c r="J98" s="409"/>
      <c r="K98" s="409"/>
      <c r="L98" s="409"/>
      <c r="M98" s="409"/>
      <c r="N98" s="409"/>
      <c r="O98" s="467"/>
      <c r="P98" s="467"/>
      <c r="Q98" s="467"/>
      <c r="R98" s="467"/>
      <c r="S98" s="467"/>
      <c r="T98" s="467"/>
      <c r="U98" s="467"/>
      <c r="V98" s="467"/>
      <c r="W98" s="467"/>
      <c r="X98" s="467"/>
      <c r="Y98" s="467"/>
      <c r="Z98" s="467"/>
    </row>
    <row r="99" spans="1:26" ht="12.75" customHeight="1">
      <c r="A99" s="409"/>
      <c r="B99" s="409"/>
      <c r="C99" s="409"/>
      <c r="D99" s="409"/>
      <c r="E99" s="409"/>
      <c r="F99" s="409"/>
      <c r="G99" s="409"/>
      <c r="H99" s="409"/>
      <c r="I99" s="409"/>
      <c r="J99" s="409"/>
      <c r="K99" s="409"/>
      <c r="L99" s="409"/>
      <c r="M99" s="409"/>
      <c r="N99" s="409"/>
      <c r="O99" s="467"/>
      <c r="P99" s="467"/>
      <c r="Q99" s="467"/>
      <c r="R99" s="467"/>
      <c r="S99" s="467"/>
      <c r="T99" s="467"/>
      <c r="U99" s="467"/>
      <c r="V99" s="467"/>
      <c r="W99" s="467"/>
      <c r="X99" s="467"/>
      <c r="Y99" s="467"/>
      <c r="Z99" s="467"/>
    </row>
    <row r="100" spans="1:26" ht="12.75" customHeight="1">
      <c r="A100" s="409"/>
      <c r="B100" s="409"/>
      <c r="C100" s="409"/>
      <c r="D100" s="409"/>
      <c r="E100" s="409"/>
      <c r="F100" s="409"/>
      <c r="G100" s="409"/>
      <c r="H100" s="409"/>
      <c r="I100" s="409"/>
      <c r="J100" s="409"/>
      <c r="K100" s="409"/>
      <c r="L100" s="409"/>
      <c r="M100" s="409"/>
      <c r="N100" s="409"/>
      <c r="O100" s="467"/>
      <c r="P100" s="467"/>
      <c r="Q100" s="467"/>
      <c r="R100" s="467"/>
      <c r="S100" s="467"/>
      <c r="T100" s="467"/>
      <c r="U100" s="467"/>
      <c r="V100" s="467"/>
      <c r="W100" s="467"/>
      <c r="X100" s="467"/>
      <c r="Y100" s="467"/>
      <c r="Z100" s="467"/>
    </row>
    <row r="101" spans="1:26" ht="12.75" customHeight="1">
      <c r="A101" s="409"/>
      <c r="B101" s="409"/>
      <c r="C101" s="409"/>
      <c r="D101" s="409"/>
      <c r="E101" s="409"/>
      <c r="F101" s="409"/>
      <c r="G101" s="409"/>
      <c r="H101" s="409"/>
      <c r="I101" s="409"/>
      <c r="J101" s="409"/>
      <c r="K101" s="409"/>
      <c r="L101" s="409"/>
      <c r="M101" s="409"/>
      <c r="N101" s="409"/>
      <c r="O101" s="467"/>
      <c r="P101" s="467"/>
      <c r="Q101" s="467"/>
      <c r="R101" s="467"/>
      <c r="S101" s="467"/>
      <c r="T101" s="467"/>
      <c r="U101" s="467"/>
      <c r="V101" s="467"/>
      <c r="W101" s="467"/>
      <c r="X101" s="467"/>
      <c r="Y101" s="467"/>
      <c r="Z101" s="467"/>
    </row>
    <row r="102" spans="1:26" ht="12.75" customHeight="1">
      <c r="A102" s="409"/>
      <c r="B102" s="409"/>
      <c r="C102" s="409"/>
      <c r="D102" s="409"/>
      <c r="E102" s="409"/>
      <c r="F102" s="409"/>
      <c r="G102" s="409"/>
      <c r="H102" s="409"/>
      <c r="I102" s="409"/>
      <c r="J102" s="409"/>
      <c r="K102" s="409"/>
      <c r="L102" s="409"/>
      <c r="M102" s="409"/>
      <c r="N102" s="409"/>
      <c r="O102" s="467"/>
      <c r="P102" s="467"/>
      <c r="Q102" s="467"/>
      <c r="R102" s="467"/>
      <c r="S102" s="467"/>
      <c r="T102" s="467"/>
      <c r="U102" s="467"/>
      <c r="V102" s="467"/>
      <c r="W102" s="467"/>
      <c r="X102" s="467"/>
      <c r="Y102" s="467"/>
      <c r="Z102" s="467"/>
    </row>
    <row r="103" spans="1:26" ht="12.75" customHeight="1">
      <c r="A103" s="409"/>
      <c r="B103" s="409"/>
      <c r="C103" s="409"/>
      <c r="D103" s="409"/>
      <c r="E103" s="409"/>
      <c r="F103" s="409"/>
      <c r="G103" s="409"/>
      <c r="H103" s="409"/>
      <c r="I103" s="409"/>
      <c r="J103" s="409"/>
      <c r="K103" s="409"/>
      <c r="L103" s="409"/>
      <c r="M103" s="409"/>
      <c r="N103" s="409"/>
      <c r="O103" s="467"/>
      <c r="P103" s="467"/>
      <c r="Q103" s="467"/>
      <c r="R103" s="467"/>
      <c r="S103" s="467"/>
      <c r="T103" s="467"/>
      <c r="U103" s="467"/>
      <c r="V103" s="467"/>
      <c r="W103" s="467"/>
      <c r="X103" s="467"/>
      <c r="Y103" s="467"/>
      <c r="Z103" s="467"/>
    </row>
    <row r="104" spans="1:26" ht="12.75" customHeight="1">
      <c r="A104" s="409"/>
      <c r="B104" s="409"/>
      <c r="C104" s="409"/>
      <c r="D104" s="409"/>
      <c r="E104" s="409"/>
      <c r="F104" s="409"/>
      <c r="G104" s="409"/>
      <c r="H104" s="409"/>
      <c r="I104" s="409"/>
      <c r="J104" s="409"/>
      <c r="K104" s="409"/>
      <c r="L104" s="409"/>
      <c r="M104" s="409"/>
      <c r="N104" s="409"/>
      <c r="O104" s="467"/>
      <c r="P104" s="467"/>
      <c r="Q104" s="467"/>
      <c r="R104" s="467"/>
      <c r="S104" s="467"/>
      <c r="T104" s="467"/>
      <c r="U104" s="467"/>
      <c r="V104" s="467"/>
      <c r="W104" s="467"/>
      <c r="X104" s="467"/>
      <c r="Y104" s="467"/>
      <c r="Z104" s="467"/>
    </row>
    <row r="105" spans="1:26" ht="12.75" customHeight="1">
      <c r="A105" s="409"/>
      <c r="B105" s="409"/>
      <c r="C105" s="409"/>
      <c r="D105" s="409"/>
      <c r="E105" s="409"/>
      <c r="F105" s="409"/>
      <c r="G105" s="409"/>
      <c r="H105" s="409"/>
      <c r="I105" s="409"/>
      <c r="J105" s="409"/>
      <c r="K105" s="409"/>
      <c r="L105" s="409"/>
      <c r="M105" s="409"/>
      <c r="N105" s="409"/>
      <c r="O105" s="467"/>
      <c r="P105" s="467"/>
      <c r="Q105" s="467"/>
      <c r="R105" s="467"/>
      <c r="S105" s="467"/>
      <c r="T105" s="467"/>
      <c r="U105" s="467"/>
      <c r="V105" s="467"/>
      <c r="W105" s="467"/>
      <c r="X105" s="467"/>
      <c r="Y105" s="467"/>
      <c r="Z105" s="467"/>
    </row>
    <row r="106" spans="1:26" ht="12.75" customHeight="1">
      <c r="A106" s="409"/>
      <c r="B106" s="409"/>
      <c r="C106" s="409"/>
      <c r="D106" s="409"/>
      <c r="E106" s="409"/>
      <c r="F106" s="409"/>
      <c r="G106" s="409"/>
      <c r="H106" s="409"/>
      <c r="I106" s="409"/>
      <c r="J106" s="409"/>
      <c r="K106" s="409"/>
      <c r="L106" s="409"/>
      <c r="M106" s="409"/>
      <c r="N106" s="409"/>
      <c r="O106" s="467"/>
      <c r="P106" s="467"/>
      <c r="Q106" s="467"/>
      <c r="R106" s="467"/>
      <c r="S106" s="467"/>
      <c r="T106" s="467"/>
      <c r="U106" s="467"/>
      <c r="V106" s="467"/>
      <c r="W106" s="467"/>
      <c r="X106" s="467"/>
      <c r="Y106" s="467"/>
      <c r="Z106" s="467"/>
    </row>
    <row r="107" spans="1:26" ht="12.75" customHeight="1">
      <c r="A107" s="409"/>
      <c r="B107" s="409"/>
      <c r="C107" s="409"/>
      <c r="D107" s="409"/>
      <c r="E107" s="409"/>
      <c r="F107" s="409"/>
      <c r="G107" s="409"/>
      <c r="H107" s="409"/>
      <c r="I107" s="409"/>
      <c r="J107" s="409"/>
      <c r="K107" s="409"/>
      <c r="L107" s="409"/>
      <c r="M107" s="409"/>
      <c r="N107" s="409"/>
      <c r="O107" s="467"/>
      <c r="P107" s="467"/>
      <c r="Q107" s="467"/>
      <c r="R107" s="467"/>
      <c r="S107" s="467"/>
      <c r="T107" s="467"/>
      <c r="U107" s="467"/>
      <c r="V107" s="467"/>
      <c r="W107" s="467"/>
      <c r="X107" s="467"/>
      <c r="Y107" s="467"/>
      <c r="Z107" s="467"/>
    </row>
    <row r="108" spans="1:26" ht="12.75" customHeight="1">
      <c r="A108" s="409"/>
      <c r="B108" s="409"/>
      <c r="C108" s="409"/>
      <c r="D108" s="409"/>
      <c r="E108" s="409"/>
      <c r="F108" s="409"/>
      <c r="G108" s="409"/>
      <c r="H108" s="409"/>
      <c r="I108" s="409"/>
      <c r="J108" s="409"/>
      <c r="K108" s="409"/>
      <c r="L108" s="409"/>
      <c r="M108" s="409"/>
      <c r="N108" s="409"/>
      <c r="O108" s="467"/>
      <c r="P108" s="467"/>
      <c r="Q108" s="467"/>
      <c r="R108" s="467"/>
      <c r="S108" s="467"/>
      <c r="T108" s="467"/>
      <c r="U108" s="467"/>
      <c r="V108" s="467"/>
      <c r="W108" s="467"/>
      <c r="X108" s="467"/>
      <c r="Y108" s="467"/>
      <c r="Z108" s="467"/>
    </row>
    <row r="109" spans="1:26" ht="12.75" customHeight="1">
      <c r="A109" s="409"/>
      <c r="B109" s="409"/>
      <c r="C109" s="409"/>
      <c r="D109" s="409"/>
      <c r="E109" s="409"/>
      <c r="F109" s="409"/>
      <c r="G109" s="409"/>
      <c r="H109" s="409"/>
      <c r="I109" s="409"/>
      <c r="J109" s="409"/>
      <c r="K109" s="409"/>
      <c r="L109" s="409"/>
      <c r="M109" s="409"/>
      <c r="N109" s="409"/>
      <c r="O109" s="467"/>
      <c r="P109" s="467"/>
      <c r="Q109" s="467"/>
      <c r="R109" s="467"/>
      <c r="S109" s="467"/>
      <c r="T109" s="467"/>
      <c r="U109" s="467"/>
      <c r="V109" s="467"/>
      <c r="W109" s="467"/>
      <c r="X109" s="467"/>
      <c r="Y109" s="467"/>
      <c r="Z109" s="467"/>
    </row>
    <row r="110" spans="1:26" ht="12.75" customHeight="1">
      <c r="A110" s="409"/>
      <c r="B110" s="409"/>
      <c r="C110" s="409"/>
      <c r="D110" s="409"/>
      <c r="E110" s="409"/>
      <c r="F110" s="409"/>
      <c r="G110" s="409"/>
      <c r="H110" s="409"/>
      <c r="I110" s="409"/>
      <c r="J110" s="409"/>
      <c r="K110" s="409"/>
      <c r="L110" s="409"/>
      <c r="M110" s="409"/>
      <c r="N110" s="409"/>
      <c r="O110" s="467"/>
      <c r="P110" s="467"/>
      <c r="Q110" s="467"/>
      <c r="R110" s="467"/>
      <c r="S110" s="467"/>
      <c r="T110" s="467"/>
      <c r="U110" s="467"/>
      <c r="V110" s="467"/>
      <c r="W110" s="467"/>
      <c r="X110" s="467"/>
      <c r="Y110" s="467"/>
      <c r="Z110" s="467"/>
    </row>
    <row r="111" spans="1:26" ht="12.75" customHeight="1">
      <c r="A111" s="409"/>
      <c r="B111" s="409"/>
      <c r="C111" s="409"/>
      <c r="D111" s="409"/>
      <c r="E111" s="409"/>
      <c r="F111" s="409"/>
      <c r="G111" s="409"/>
      <c r="H111" s="409"/>
      <c r="I111" s="409"/>
      <c r="J111" s="409"/>
      <c r="K111" s="409"/>
      <c r="L111" s="409"/>
      <c r="M111" s="409"/>
      <c r="N111" s="409"/>
      <c r="O111" s="467"/>
      <c r="P111" s="467"/>
      <c r="Q111" s="467"/>
      <c r="R111" s="467"/>
      <c r="S111" s="467"/>
      <c r="T111" s="467"/>
      <c r="U111" s="467"/>
      <c r="V111" s="467"/>
      <c r="W111" s="467"/>
      <c r="X111" s="467"/>
      <c r="Y111" s="467"/>
      <c r="Z111" s="467"/>
    </row>
    <row r="112" spans="1:26" ht="12.75" customHeight="1">
      <c r="A112" s="409"/>
      <c r="B112" s="409"/>
      <c r="C112" s="409"/>
      <c r="D112" s="409"/>
      <c r="E112" s="409"/>
      <c r="F112" s="409"/>
      <c r="G112" s="409"/>
      <c r="H112" s="409"/>
      <c r="I112" s="409"/>
      <c r="J112" s="409"/>
      <c r="K112" s="409"/>
      <c r="L112" s="409"/>
      <c r="M112" s="409"/>
      <c r="N112" s="409"/>
      <c r="O112" s="467"/>
      <c r="P112" s="467"/>
      <c r="Q112" s="467"/>
      <c r="R112" s="467"/>
      <c r="S112" s="467"/>
      <c r="T112" s="467"/>
      <c r="U112" s="467"/>
      <c r="V112" s="467"/>
      <c r="W112" s="467"/>
      <c r="X112" s="467"/>
      <c r="Y112" s="467"/>
      <c r="Z112" s="467"/>
    </row>
    <row r="113" spans="1:26" ht="12.75" customHeight="1">
      <c r="A113" s="409"/>
      <c r="B113" s="409"/>
      <c r="C113" s="409"/>
      <c r="D113" s="409"/>
      <c r="E113" s="409"/>
      <c r="F113" s="409"/>
      <c r="G113" s="409"/>
      <c r="H113" s="409"/>
      <c r="I113" s="409"/>
      <c r="J113" s="409"/>
      <c r="K113" s="409"/>
      <c r="L113" s="409"/>
      <c r="M113" s="409"/>
      <c r="N113" s="409"/>
      <c r="O113" s="467"/>
      <c r="P113" s="467"/>
      <c r="Q113" s="467"/>
      <c r="R113" s="467"/>
      <c r="S113" s="467"/>
      <c r="T113" s="467"/>
      <c r="U113" s="467"/>
      <c r="V113" s="467"/>
      <c r="W113" s="467"/>
      <c r="X113" s="467"/>
      <c r="Y113" s="467"/>
      <c r="Z113" s="467"/>
    </row>
    <row r="114" spans="1:26" ht="12.75" customHeight="1">
      <c r="A114" s="409"/>
      <c r="B114" s="409"/>
      <c r="C114" s="409"/>
      <c r="D114" s="409"/>
      <c r="E114" s="409"/>
      <c r="F114" s="409"/>
      <c r="G114" s="409"/>
      <c r="H114" s="409"/>
      <c r="I114" s="409"/>
      <c r="J114" s="409"/>
      <c r="K114" s="409"/>
      <c r="L114" s="409"/>
      <c r="M114" s="409"/>
      <c r="N114" s="409"/>
      <c r="O114" s="467"/>
      <c r="P114" s="467"/>
      <c r="Q114" s="467"/>
      <c r="R114" s="467"/>
      <c r="S114" s="467"/>
      <c r="T114" s="467"/>
      <c r="U114" s="467"/>
      <c r="V114" s="467"/>
      <c r="W114" s="467"/>
      <c r="X114" s="467"/>
      <c r="Y114" s="467"/>
      <c r="Z114" s="467"/>
    </row>
    <row r="115" spans="1:26" ht="12.75" customHeight="1">
      <c r="A115" s="409"/>
      <c r="B115" s="409"/>
      <c r="C115" s="409"/>
      <c r="D115" s="409"/>
      <c r="E115" s="409"/>
      <c r="F115" s="409"/>
      <c r="G115" s="409"/>
      <c r="H115" s="409"/>
      <c r="I115" s="409"/>
      <c r="J115" s="409"/>
      <c r="K115" s="409"/>
      <c r="L115" s="409"/>
      <c r="M115" s="409"/>
      <c r="N115" s="409"/>
      <c r="O115" s="467"/>
      <c r="P115" s="467"/>
      <c r="Q115" s="467"/>
      <c r="R115" s="467"/>
      <c r="S115" s="467"/>
      <c r="T115" s="467"/>
      <c r="U115" s="467"/>
      <c r="V115" s="467"/>
      <c r="W115" s="467"/>
      <c r="X115" s="467"/>
      <c r="Y115" s="467"/>
      <c r="Z115" s="467"/>
    </row>
    <row r="116" spans="1:26" ht="12.75" customHeight="1">
      <c r="A116" s="409"/>
      <c r="B116" s="409"/>
      <c r="C116" s="409"/>
      <c r="D116" s="409"/>
      <c r="E116" s="409"/>
      <c r="F116" s="409"/>
      <c r="G116" s="409"/>
      <c r="H116" s="409"/>
      <c r="I116" s="409"/>
      <c r="J116" s="409"/>
      <c r="K116" s="409"/>
      <c r="L116" s="409"/>
      <c r="M116" s="409"/>
      <c r="N116" s="409"/>
      <c r="O116" s="467"/>
      <c r="P116" s="467"/>
      <c r="Q116" s="467"/>
      <c r="R116" s="467"/>
      <c r="S116" s="467"/>
      <c r="T116" s="467"/>
      <c r="U116" s="467"/>
      <c r="V116" s="467"/>
      <c r="W116" s="467"/>
      <c r="X116" s="467"/>
      <c r="Y116" s="467"/>
      <c r="Z116" s="467"/>
    </row>
    <row r="117" spans="1:26" ht="12.75" customHeight="1">
      <c r="A117" s="409"/>
      <c r="B117" s="409"/>
      <c r="C117" s="409"/>
      <c r="D117" s="409"/>
      <c r="E117" s="409"/>
      <c r="F117" s="409"/>
      <c r="G117" s="409"/>
      <c r="H117" s="409"/>
      <c r="I117" s="409"/>
      <c r="J117" s="409"/>
      <c r="K117" s="409"/>
      <c r="L117" s="409"/>
      <c r="M117" s="409"/>
      <c r="N117" s="409"/>
      <c r="O117" s="467"/>
      <c r="P117" s="467"/>
      <c r="Q117" s="467"/>
      <c r="R117" s="467"/>
      <c r="S117" s="467"/>
      <c r="T117" s="467"/>
      <c r="U117" s="467"/>
      <c r="V117" s="467"/>
      <c r="W117" s="467"/>
      <c r="X117" s="467"/>
      <c r="Y117" s="467"/>
      <c r="Z117" s="467"/>
    </row>
    <row r="118" spans="1:26" ht="12.75" customHeight="1">
      <c r="A118" s="409"/>
      <c r="B118" s="409"/>
      <c r="C118" s="409"/>
      <c r="D118" s="409"/>
      <c r="E118" s="409"/>
      <c r="F118" s="409"/>
      <c r="G118" s="409"/>
      <c r="H118" s="409"/>
      <c r="I118" s="409"/>
      <c r="J118" s="409"/>
      <c r="K118" s="409"/>
      <c r="L118" s="409"/>
      <c r="M118" s="409"/>
      <c r="N118" s="409"/>
      <c r="O118" s="467"/>
      <c r="P118" s="467"/>
      <c r="Q118" s="467"/>
      <c r="R118" s="467"/>
      <c r="S118" s="467"/>
      <c r="T118" s="467"/>
      <c r="U118" s="467"/>
      <c r="V118" s="467"/>
      <c r="W118" s="467"/>
      <c r="X118" s="467"/>
      <c r="Y118" s="467"/>
      <c r="Z118" s="467"/>
    </row>
    <row r="119" spans="1:26" ht="12.75" customHeight="1">
      <c r="A119" s="409"/>
      <c r="B119" s="409"/>
      <c r="C119" s="409"/>
      <c r="D119" s="409"/>
      <c r="E119" s="409"/>
      <c r="F119" s="409"/>
      <c r="G119" s="409"/>
      <c r="H119" s="409"/>
      <c r="I119" s="409"/>
      <c r="J119" s="409"/>
      <c r="K119" s="409"/>
      <c r="L119" s="409"/>
      <c r="M119" s="409"/>
      <c r="N119" s="409"/>
      <c r="O119" s="467"/>
      <c r="P119" s="467"/>
      <c r="Q119" s="467"/>
      <c r="R119" s="467"/>
      <c r="S119" s="467"/>
      <c r="T119" s="467"/>
      <c r="U119" s="467"/>
      <c r="V119" s="467"/>
      <c r="W119" s="467"/>
      <c r="X119" s="467"/>
      <c r="Y119" s="467"/>
      <c r="Z119" s="467"/>
    </row>
    <row r="120" spans="1:26" ht="12.75" customHeight="1">
      <c r="A120" s="409"/>
      <c r="B120" s="409"/>
      <c r="C120" s="409"/>
      <c r="D120" s="409"/>
      <c r="E120" s="409"/>
      <c r="F120" s="409"/>
      <c r="G120" s="409"/>
      <c r="H120" s="409"/>
      <c r="I120" s="409"/>
      <c r="J120" s="409"/>
      <c r="K120" s="409"/>
      <c r="L120" s="409"/>
      <c r="M120" s="409"/>
      <c r="N120" s="409"/>
      <c r="O120" s="467"/>
      <c r="P120" s="467"/>
      <c r="Q120" s="467"/>
      <c r="R120" s="467"/>
      <c r="S120" s="467"/>
      <c r="T120" s="467"/>
      <c r="U120" s="467"/>
      <c r="V120" s="467"/>
      <c r="W120" s="467"/>
      <c r="X120" s="467"/>
      <c r="Y120" s="467"/>
      <c r="Z120" s="467"/>
    </row>
    <row r="121" spans="1:26" ht="12.75" customHeight="1">
      <c r="A121" s="409"/>
      <c r="B121" s="409"/>
      <c r="C121" s="409"/>
      <c r="D121" s="409"/>
      <c r="E121" s="409"/>
      <c r="F121" s="409"/>
      <c r="G121" s="409"/>
      <c r="H121" s="409"/>
      <c r="I121" s="409"/>
      <c r="J121" s="409"/>
      <c r="K121" s="409"/>
      <c r="L121" s="409"/>
      <c r="M121" s="409"/>
      <c r="N121" s="409"/>
      <c r="O121" s="467"/>
      <c r="P121" s="467"/>
      <c r="Q121" s="467"/>
      <c r="R121" s="467"/>
      <c r="S121" s="467"/>
      <c r="T121" s="467"/>
      <c r="U121" s="467"/>
      <c r="V121" s="467"/>
      <c r="W121" s="467"/>
      <c r="X121" s="467"/>
      <c r="Y121" s="467"/>
      <c r="Z121" s="467"/>
    </row>
    <row r="122" spans="1:26" ht="12.75" customHeight="1">
      <c r="A122" s="409"/>
      <c r="B122" s="409"/>
      <c r="C122" s="409"/>
      <c r="D122" s="409"/>
      <c r="E122" s="409"/>
      <c r="F122" s="409"/>
      <c r="G122" s="409"/>
      <c r="H122" s="409"/>
      <c r="I122" s="409"/>
      <c r="J122" s="409"/>
      <c r="K122" s="409"/>
      <c r="L122" s="409"/>
      <c r="M122" s="409"/>
      <c r="N122" s="409"/>
      <c r="O122" s="467"/>
      <c r="P122" s="467"/>
      <c r="Q122" s="467"/>
      <c r="R122" s="467"/>
      <c r="S122" s="467"/>
      <c r="T122" s="467"/>
      <c r="U122" s="467"/>
      <c r="V122" s="467"/>
      <c r="W122" s="467"/>
      <c r="X122" s="467"/>
      <c r="Y122" s="467"/>
      <c r="Z122" s="467"/>
    </row>
    <row r="123" spans="1:26" ht="12.75" customHeight="1">
      <c r="A123" s="409"/>
      <c r="B123" s="409"/>
      <c r="C123" s="409"/>
      <c r="D123" s="409"/>
      <c r="E123" s="409"/>
      <c r="F123" s="409"/>
      <c r="G123" s="409"/>
      <c r="H123" s="409"/>
      <c r="I123" s="409"/>
      <c r="J123" s="409"/>
      <c r="K123" s="409"/>
      <c r="L123" s="409"/>
      <c r="M123" s="409"/>
      <c r="N123" s="409"/>
      <c r="O123" s="467"/>
      <c r="P123" s="467"/>
      <c r="Q123" s="467"/>
      <c r="R123" s="467"/>
      <c r="S123" s="467"/>
      <c r="T123" s="467"/>
      <c r="U123" s="467"/>
      <c r="V123" s="467"/>
      <c r="W123" s="467"/>
      <c r="X123" s="467"/>
      <c r="Y123" s="467"/>
      <c r="Z123" s="467"/>
    </row>
    <row r="124" spans="1:26" ht="12.75" customHeight="1">
      <c r="A124" s="409"/>
      <c r="B124" s="409"/>
      <c r="C124" s="409"/>
      <c r="D124" s="409"/>
      <c r="E124" s="409"/>
      <c r="F124" s="409"/>
      <c r="G124" s="409"/>
      <c r="H124" s="409"/>
      <c r="I124" s="409"/>
      <c r="J124" s="409"/>
      <c r="K124" s="409"/>
      <c r="L124" s="409"/>
      <c r="M124" s="409"/>
      <c r="N124" s="409"/>
      <c r="O124" s="467"/>
      <c r="P124" s="467"/>
      <c r="Q124" s="467"/>
      <c r="R124" s="467"/>
      <c r="S124" s="467"/>
      <c r="T124" s="467"/>
      <c r="U124" s="467"/>
      <c r="V124" s="467"/>
      <c r="W124" s="467"/>
      <c r="X124" s="467"/>
      <c r="Y124" s="467"/>
      <c r="Z124" s="467"/>
    </row>
    <row r="125" spans="1:26" ht="12.75" customHeight="1">
      <c r="A125" s="409"/>
      <c r="B125" s="409"/>
      <c r="C125" s="409"/>
      <c r="D125" s="409"/>
      <c r="E125" s="409"/>
      <c r="F125" s="409"/>
      <c r="G125" s="409"/>
      <c r="H125" s="409"/>
      <c r="I125" s="409"/>
      <c r="J125" s="409"/>
      <c r="K125" s="409"/>
      <c r="L125" s="409"/>
      <c r="M125" s="409"/>
      <c r="N125" s="409"/>
      <c r="O125" s="467"/>
      <c r="P125" s="467"/>
      <c r="Q125" s="467"/>
      <c r="R125" s="467"/>
      <c r="S125" s="467"/>
      <c r="T125" s="467"/>
      <c r="U125" s="467"/>
      <c r="V125" s="467"/>
      <c r="W125" s="467"/>
      <c r="X125" s="467"/>
      <c r="Y125" s="467"/>
      <c r="Z125" s="467"/>
    </row>
    <row r="126" spans="1:26" ht="12.75" customHeight="1">
      <c r="A126" s="409"/>
      <c r="B126" s="409"/>
      <c r="C126" s="409"/>
      <c r="D126" s="409"/>
      <c r="E126" s="409"/>
      <c r="F126" s="409"/>
      <c r="G126" s="409"/>
      <c r="H126" s="409"/>
      <c r="I126" s="409"/>
      <c r="J126" s="409"/>
      <c r="K126" s="409"/>
      <c r="L126" s="409"/>
      <c r="M126" s="409"/>
      <c r="N126" s="409"/>
      <c r="O126" s="467"/>
      <c r="P126" s="467"/>
      <c r="Q126" s="467"/>
      <c r="R126" s="467"/>
      <c r="S126" s="467"/>
      <c r="T126" s="467"/>
      <c r="U126" s="467"/>
      <c r="V126" s="467"/>
      <c r="W126" s="467"/>
      <c r="X126" s="467"/>
      <c r="Y126" s="467"/>
      <c r="Z126" s="467"/>
    </row>
    <row r="127" spans="1:26" ht="12.75" customHeight="1">
      <c r="A127" s="409"/>
      <c r="B127" s="409"/>
      <c r="C127" s="409"/>
      <c r="D127" s="409"/>
      <c r="E127" s="409"/>
      <c r="F127" s="409"/>
      <c r="G127" s="409"/>
      <c r="H127" s="409"/>
      <c r="I127" s="409"/>
      <c r="J127" s="409"/>
      <c r="K127" s="409"/>
      <c r="L127" s="409"/>
      <c r="M127" s="409"/>
      <c r="N127" s="409"/>
      <c r="O127" s="467"/>
      <c r="P127" s="467"/>
      <c r="Q127" s="467"/>
      <c r="R127" s="467"/>
      <c r="S127" s="467"/>
      <c r="T127" s="467"/>
      <c r="U127" s="467"/>
      <c r="V127" s="467"/>
      <c r="W127" s="467"/>
      <c r="X127" s="467"/>
      <c r="Y127" s="467"/>
      <c r="Z127" s="467"/>
    </row>
    <row r="128" spans="1:26" ht="12.75" customHeight="1">
      <c r="A128" s="409"/>
      <c r="B128" s="409"/>
      <c r="C128" s="409"/>
      <c r="D128" s="409"/>
      <c r="E128" s="409"/>
      <c r="F128" s="409"/>
      <c r="G128" s="409"/>
      <c r="H128" s="409"/>
      <c r="I128" s="409"/>
      <c r="J128" s="409"/>
      <c r="K128" s="409"/>
      <c r="L128" s="409"/>
      <c r="M128" s="409"/>
      <c r="N128" s="409"/>
      <c r="O128" s="467"/>
      <c r="P128" s="467"/>
      <c r="Q128" s="467"/>
      <c r="R128" s="467"/>
      <c r="S128" s="467"/>
      <c r="T128" s="467"/>
      <c r="U128" s="467"/>
      <c r="V128" s="467"/>
      <c r="W128" s="467"/>
      <c r="X128" s="467"/>
      <c r="Y128" s="467"/>
      <c r="Z128" s="467"/>
    </row>
    <row r="129" spans="1:26" ht="12.75" customHeight="1">
      <c r="A129" s="409"/>
      <c r="B129" s="409"/>
      <c r="C129" s="409"/>
      <c r="D129" s="409"/>
      <c r="E129" s="409"/>
      <c r="F129" s="409"/>
      <c r="G129" s="409"/>
      <c r="H129" s="409"/>
      <c r="I129" s="409"/>
      <c r="J129" s="409"/>
      <c r="K129" s="409"/>
      <c r="L129" s="409"/>
      <c r="M129" s="409"/>
      <c r="N129" s="409"/>
      <c r="O129" s="467"/>
      <c r="P129" s="467"/>
      <c r="Q129" s="467"/>
      <c r="R129" s="467"/>
      <c r="S129" s="467"/>
      <c r="T129" s="467"/>
      <c r="U129" s="467"/>
      <c r="V129" s="467"/>
      <c r="W129" s="467"/>
      <c r="X129" s="467"/>
      <c r="Y129" s="467"/>
      <c r="Z129" s="467"/>
    </row>
    <row r="130" spans="1:26" ht="12.75" customHeight="1">
      <c r="A130" s="409"/>
      <c r="B130" s="409"/>
      <c r="C130" s="409"/>
      <c r="D130" s="409"/>
      <c r="E130" s="409"/>
      <c r="F130" s="409"/>
      <c r="G130" s="409"/>
      <c r="H130" s="409"/>
      <c r="I130" s="409"/>
      <c r="J130" s="409"/>
      <c r="K130" s="409"/>
      <c r="L130" s="409"/>
      <c r="M130" s="409"/>
      <c r="N130" s="409"/>
      <c r="O130" s="467"/>
      <c r="P130" s="467"/>
      <c r="Q130" s="467"/>
      <c r="R130" s="467"/>
      <c r="S130" s="467"/>
      <c r="T130" s="467"/>
      <c r="U130" s="467"/>
      <c r="V130" s="467"/>
      <c r="W130" s="467"/>
      <c r="X130" s="467"/>
      <c r="Y130" s="467"/>
      <c r="Z130" s="467"/>
    </row>
    <row r="131" spans="1:26" ht="12.75" customHeight="1">
      <c r="A131" s="409"/>
      <c r="B131" s="409"/>
      <c r="C131" s="409"/>
      <c r="D131" s="409"/>
      <c r="E131" s="409"/>
      <c r="F131" s="409"/>
      <c r="G131" s="409"/>
      <c r="H131" s="409"/>
      <c r="I131" s="409"/>
      <c r="J131" s="409"/>
      <c r="K131" s="409"/>
      <c r="L131" s="409"/>
      <c r="M131" s="409"/>
      <c r="N131" s="409"/>
      <c r="O131" s="467"/>
      <c r="P131" s="467"/>
      <c r="Q131" s="467"/>
      <c r="R131" s="467"/>
      <c r="S131" s="467"/>
      <c r="T131" s="467"/>
      <c r="U131" s="467"/>
      <c r="V131" s="467"/>
      <c r="W131" s="467"/>
      <c r="X131" s="467"/>
      <c r="Y131" s="467"/>
      <c r="Z131" s="467"/>
    </row>
    <row r="132" spans="1:26" ht="12.75" customHeight="1">
      <c r="A132" s="409"/>
      <c r="B132" s="409"/>
      <c r="C132" s="409"/>
      <c r="D132" s="409"/>
      <c r="E132" s="409"/>
      <c r="F132" s="409"/>
      <c r="G132" s="409"/>
      <c r="H132" s="409"/>
      <c r="I132" s="409"/>
      <c r="J132" s="409"/>
      <c r="K132" s="409"/>
      <c r="L132" s="409"/>
      <c r="M132" s="409"/>
      <c r="N132" s="409"/>
      <c r="O132" s="467"/>
      <c r="P132" s="467"/>
      <c r="Q132" s="467"/>
      <c r="R132" s="467"/>
      <c r="S132" s="467"/>
      <c r="T132" s="467"/>
      <c r="U132" s="467"/>
      <c r="V132" s="467"/>
      <c r="W132" s="467"/>
      <c r="X132" s="467"/>
      <c r="Y132" s="467"/>
      <c r="Z132" s="467"/>
    </row>
    <row r="133" spans="1:26" ht="12.75" customHeight="1">
      <c r="A133" s="409"/>
      <c r="B133" s="409"/>
      <c r="C133" s="409"/>
      <c r="D133" s="409"/>
      <c r="E133" s="409"/>
      <c r="F133" s="409"/>
      <c r="G133" s="409"/>
      <c r="H133" s="409"/>
      <c r="I133" s="409"/>
      <c r="J133" s="409"/>
      <c r="K133" s="409"/>
      <c r="L133" s="409"/>
      <c r="M133" s="409"/>
      <c r="N133" s="409"/>
      <c r="O133" s="467"/>
      <c r="P133" s="467"/>
      <c r="Q133" s="467"/>
      <c r="R133" s="467"/>
      <c r="S133" s="467"/>
      <c r="T133" s="467"/>
      <c r="U133" s="467"/>
      <c r="V133" s="467"/>
      <c r="W133" s="467"/>
      <c r="X133" s="467"/>
      <c r="Y133" s="467"/>
      <c r="Z133" s="467"/>
    </row>
    <row r="134" spans="1:26" ht="12.75" customHeight="1">
      <c r="A134" s="409"/>
      <c r="B134" s="409"/>
      <c r="C134" s="409"/>
      <c r="D134" s="409"/>
      <c r="E134" s="409"/>
      <c r="F134" s="409"/>
      <c r="G134" s="409"/>
      <c r="H134" s="409"/>
      <c r="I134" s="409"/>
      <c r="J134" s="409"/>
      <c r="K134" s="409"/>
      <c r="L134" s="409"/>
      <c r="M134" s="409"/>
      <c r="N134" s="409"/>
      <c r="O134" s="467"/>
      <c r="P134" s="467"/>
      <c r="Q134" s="467"/>
      <c r="R134" s="467"/>
      <c r="S134" s="467"/>
      <c r="T134" s="467"/>
      <c r="U134" s="467"/>
      <c r="V134" s="467"/>
      <c r="W134" s="467"/>
      <c r="X134" s="467"/>
      <c r="Y134" s="467"/>
      <c r="Z134" s="467"/>
    </row>
    <row r="135" spans="1:26" ht="12.75" customHeight="1">
      <c r="A135" s="409"/>
      <c r="B135" s="409"/>
      <c r="C135" s="409"/>
      <c r="D135" s="409"/>
      <c r="E135" s="409"/>
      <c r="F135" s="409"/>
      <c r="G135" s="409"/>
      <c r="H135" s="409"/>
      <c r="I135" s="409"/>
      <c r="J135" s="409"/>
      <c r="K135" s="409"/>
      <c r="L135" s="409"/>
      <c r="M135" s="409"/>
      <c r="N135" s="409"/>
      <c r="O135" s="467"/>
      <c r="P135" s="467"/>
      <c r="Q135" s="467"/>
      <c r="R135" s="467"/>
      <c r="S135" s="467"/>
      <c r="T135" s="467"/>
      <c r="U135" s="467"/>
      <c r="V135" s="467"/>
      <c r="W135" s="467"/>
      <c r="X135" s="467"/>
      <c r="Y135" s="467"/>
      <c r="Z135" s="467"/>
    </row>
    <row r="136" spans="1:26" ht="12.75" customHeight="1">
      <c r="A136" s="409"/>
      <c r="B136" s="409"/>
      <c r="C136" s="409"/>
      <c r="D136" s="409"/>
      <c r="E136" s="409"/>
      <c r="F136" s="409"/>
      <c r="G136" s="409"/>
      <c r="H136" s="409"/>
      <c r="I136" s="409"/>
      <c r="J136" s="409"/>
      <c r="K136" s="409"/>
      <c r="L136" s="409"/>
      <c r="M136" s="409"/>
      <c r="N136" s="409"/>
      <c r="O136" s="467"/>
      <c r="P136" s="467"/>
      <c r="Q136" s="467"/>
      <c r="R136" s="467"/>
      <c r="S136" s="467"/>
      <c r="T136" s="467"/>
      <c r="U136" s="467"/>
      <c r="V136" s="467"/>
      <c r="W136" s="467"/>
      <c r="X136" s="467"/>
      <c r="Y136" s="467"/>
      <c r="Z136" s="467"/>
    </row>
    <row r="137" spans="1:26" ht="12.75" customHeight="1">
      <c r="A137" s="409"/>
      <c r="B137" s="409"/>
      <c r="C137" s="409"/>
      <c r="D137" s="409"/>
      <c r="E137" s="409"/>
      <c r="F137" s="409"/>
      <c r="G137" s="409"/>
      <c r="H137" s="409"/>
      <c r="I137" s="409"/>
      <c r="J137" s="409"/>
      <c r="K137" s="409"/>
      <c r="L137" s="409"/>
      <c r="M137" s="409"/>
      <c r="N137" s="409"/>
      <c r="O137" s="467"/>
      <c r="P137" s="467"/>
      <c r="Q137" s="467"/>
      <c r="R137" s="467"/>
      <c r="S137" s="467"/>
      <c r="T137" s="467"/>
      <c r="U137" s="467"/>
      <c r="V137" s="467"/>
      <c r="W137" s="467"/>
      <c r="X137" s="467"/>
      <c r="Y137" s="467"/>
      <c r="Z137" s="467"/>
    </row>
    <row r="138" spans="1:26" ht="12.75" customHeight="1">
      <c r="A138" s="409"/>
      <c r="B138" s="409"/>
      <c r="C138" s="409"/>
      <c r="D138" s="409"/>
      <c r="E138" s="409"/>
      <c r="F138" s="409"/>
      <c r="G138" s="409"/>
      <c r="H138" s="409"/>
      <c r="I138" s="409"/>
      <c r="J138" s="409"/>
      <c r="K138" s="409"/>
      <c r="L138" s="409"/>
      <c r="M138" s="409"/>
      <c r="N138" s="409"/>
      <c r="O138" s="467"/>
      <c r="P138" s="467"/>
      <c r="Q138" s="467"/>
      <c r="R138" s="467"/>
      <c r="S138" s="467"/>
      <c r="T138" s="467"/>
      <c r="U138" s="467"/>
      <c r="V138" s="467"/>
      <c r="W138" s="467"/>
      <c r="X138" s="467"/>
      <c r="Y138" s="467"/>
      <c r="Z138" s="467"/>
    </row>
    <row r="139" spans="1:26" ht="12.75" customHeight="1">
      <c r="A139" s="409"/>
      <c r="B139" s="409"/>
      <c r="C139" s="409"/>
      <c r="D139" s="409"/>
      <c r="E139" s="409"/>
      <c r="F139" s="409"/>
      <c r="G139" s="409"/>
      <c r="H139" s="409"/>
      <c r="I139" s="409"/>
      <c r="J139" s="409"/>
      <c r="K139" s="409"/>
      <c r="L139" s="409"/>
      <c r="M139" s="409"/>
      <c r="N139" s="409"/>
      <c r="O139" s="467"/>
      <c r="P139" s="467"/>
      <c r="Q139" s="467"/>
      <c r="R139" s="467"/>
      <c r="S139" s="467"/>
      <c r="T139" s="467"/>
      <c r="U139" s="467"/>
      <c r="V139" s="467"/>
      <c r="W139" s="467"/>
      <c r="X139" s="467"/>
      <c r="Y139" s="467"/>
      <c r="Z139" s="467"/>
    </row>
    <row r="140" spans="1:26" ht="12.75" customHeight="1">
      <c r="A140" s="409"/>
      <c r="B140" s="409"/>
      <c r="C140" s="409"/>
      <c r="D140" s="409"/>
      <c r="E140" s="409"/>
      <c r="F140" s="409"/>
      <c r="G140" s="409"/>
      <c r="H140" s="409"/>
      <c r="I140" s="409"/>
      <c r="J140" s="409"/>
      <c r="K140" s="409"/>
      <c r="L140" s="409"/>
      <c r="M140" s="409"/>
      <c r="N140" s="409"/>
      <c r="O140" s="467"/>
      <c r="P140" s="467"/>
      <c r="Q140" s="467"/>
      <c r="R140" s="467"/>
      <c r="S140" s="467"/>
      <c r="T140" s="467"/>
      <c r="U140" s="467"/>
      <c r="V140" s="467"/>
      <c r="W140" s="467"/>
      <c r="X140" s="467"/>
      <c r="Y140" s="467"/>
      <c r="Z140" s="467"/>
    </row>
    <row r="141" spans="1:26" ht="12.75" customHeight="1">
      <c r="A141" s="409"/>
      <c r="B141" s="409"/>
      <c r="C141" s="409"/>
      <c r="D141" s="409"/>
      <c r="E141" s="409"/>
      <c r="F141" s="409"/>
      <c r="G141" s="409"/>
      <c r="H141" s="409"/>
      <c r="I141" s="409"/>
      <c r="J141" s="409"/>
      <c r="K141" s="409"/>
      <c r="L141" s="409"/>
      <c r="M141" s="409"/>
      <c r="N141" s="409"/>
      <c r="O141" s="467"/>
      <c r="P141" s="467"/>
      <c r="Q141" s="467"/>
      <c r="R141" s="467"/>
      <c r="S141" s="467"/>
      <c r="T141" s="467"/>
      <c r="U141" s="467"/>
      <c r="V141" s="467"/>
      <c r="W141" s="467"/>
      <c r="X141" s="467"/>
      <c r="Y141" s="467"/>
      <c r="Z141" s="467"/>
    </row>
    <row r="142" spans="1:26" ht="12.75" customHeight="1">
      <c r="A142" s="409"/>
      <c r="B142" s="409"/>
      <c r="C142" s="409"/>
      <c r="D142" s="409"/>
      <c r="E142" s="409"/>
      <c r="F142" s="409"/>
      <c r="G142" s="409"/>
      <c r="H142" s="409"/>
      <c r="I142" s="409"/>
      <c r="J142" s="409"/>
      <c r="K142" s="409"/>
      <c r="L142" s="409"/>
      <c r="M142" s="409"/>
      <c r="N142" s="409"/>
      <c r="O142" s="467"/>
      <c r="P142" s="467"/>
      <c r="Q142" s="467"/>
      <c r="R142" s="467"/>
      <c r="S142" s="467"/>
      <c r="T142" s="467"/>
      <c r="U142" s="467"/>
      <c r="V142" s="467"/>
      <c r="W142" s="467"/>
      <c r="X142" s="467"/>
      <c r="Y142" s="467"/>
      <c r="Z142" s="467"/>
    </row>
    <row r="143" spans="1:26" ht="12.75" customHeight="1">
      <c r="A143" s="409"/>
      <c r="B143" s="409"/>
      <c r="C143" s="409"/>
      <c r="D143" s="409"/>
      <c r="E143" s="409"/>
      <c r="F143" s="409"/>
      <c r="G143" s="409"/>
      <c r="H143" s="409"/>
      <c r="I143" s="409"/>
      <c r="J143" s="409"/>
      <c r="K143" s="409"/>
      <c r="L143" s="409"/>
      <c r="M143" s="409"/>
      <c r="N143" s="409"/>
      <c r="O143" s="467"/>
      <c r="P143" s="467"/>
      <c r="Q143" s="467"/>
      <c r="R143" s="467"/>
      <c r="S143" s="467"/>
      <c r="T143" s="467"/>
      <c r="U143" s="467"/>
      <c r="V143" s="467"/>
      <c r="W143" s="467"/>
      <c r="X143" s="467"/>
      <c r="Y143" s="467"/>
      <c r="Z143" s="467"/>
    </row>
    <row r="144" spans="1:26" ht="12.75" customHeight="1">
      <c r="A144" s="409"/>
      <c r="B144" s="409"/>
      <c r="C144" s="409"/>
      <c r="D144" s="409"/>
      <c r="E144" s="409"/>
      <c r="F144" s="409"/>
      <c r="G144" s="409"/>
      <c r="H144" s="409"/>
      <c r="I144" s="409"/>
      <c r="J144" s="409"/>
      <c r="K144" s="409"/>
      <c r="L144" s="409"/>
      <c r="M144" s="409"/>
      <c r="N144" s="409"/>
      <c r="O144" s="467"/>
      <c r="P144" s="467"/>
      <c r="Q144" s="467"/>
      <c r="R144" s="467"/>
      <c r="S144" s="467"/>
      <c r="T144" s="467"/>
      <c r="U144" s="467"/>
      <c r="V144" s="467"/>
      <c r="W144" s="467"/>
      <c r="X144" s="467"/>
      <c r="Y144" s="467"/>
      <c r="Z144" s="467"/>
    </row>
    <row r="145" spans="1:26" ht="12.75" customHeight="1">
      <c r="A145" s="409"/>
      <c r="B145" s="409"/>
      <c r="C145" s="409"/>
      <c r="D145" s="409"/>
      <c r="E145" s="409"/>
      <c r="F145" s="409"/>
      <c r="G145" s="409"/>
      <c r="H145" s="409"/>
      <c r="I145" s="409"/>
      <c r="J145" s="409"/>
      <c r="K145" s="409"/>
      <c r="L145" s="409"/>
      <c r="M145" s="409"/>
      <c r="N145" s="409"/>
      <c r="O145" s="467"/>
      <c r="P145" s="467"/>
      <c r="Q145" s="467"/>
      <c r="R145" s="467"/>
      <c r="S145" s="467"/>
      <c r="T145" s="467"/>
      <c r="U145" s="467"/>
      <c r="V145" s="467"/>
      <c r="W145" s="467"/>
      <c r="X145" s="467"/>
      <c r="Y145" s="467"/>
      <c r="Z145" s="467"/>
    </row>
    <row r="146" spans="1:26" ht="12.75" customHeight="1">
      <c r="A146" s="409"/>
      <c r="B146" s="409"/>
      <c r="C146" s="409"/>
      <c r="D146" s="409"/>
      <c r="E146" s="409"/>
      <c r="F146" s="409"/>
      <c r="G146" s="409"/>
      <c r="H146" s="409"/>
      <c r="I146" s="409"/>
      <c r="J146" s="409"/>
      <c r="K146" s="409"/>
      <c r="L146" s="409"/>
      <c r="M146" s="409"/>
      <c r="N146" s="409"/>
      <c r="O146" s="467"/>
      <c r="P146" s="467"/>
      <c r="Q146" s="467"/>
      <c r="R146" s="467"/>
      <c r="S146" s="467"/>
      <c r="T146" s="467"/>
      <c r="U146" s="467"/>
      <c r="V146" s="467"/>
      <c r="W146" s="467"/>
      <c r="X146" s="467"/>
      <c r="Y146" s="467"/>
      <c r="Z146" s="467"/>
    </row>
    <row r="147" spans="1:26" ht="12.75" customHeight="1">
      <c r="A147" s="409"/>
      <c r="B147" s="409"/>
      <c r="C147" s="409"/>
      <c r="D147" s="409"/>
      <c r="E147" s="409"/>
      <c r="F147" s="409"/>
      <c r="G147" s="409"/>
      <c r="H147" s="409"/>
      <c r="I147" s="409"/>
      <c r="J147" s="409"/>
      <c r="K147" s="409"/>
      <c r="L147" s="409"/>
      <c r="M147" s="409"/>
      <c r="N147" s="409"/>
      <c r="O147" s="467"/>
      <c r="P147" s="467"/>
      <c r="Q147" s="467"/>
      <c r="R147" s="467"/>
      <c r="S147" s="467"/>
      <c r="T147" s="467"/>
      <c r="U147" s="467"/>
      <c r="V147" s="467"/>
      <c r="W147" s="467"/>
      <c r="X147" s="467"/>
      <c r="Y147" s="467"/>
      <c r="Z147" s="467"/>
    </row>
    <row r="148" spans="1:26" ht="12.75" customHeight="1">
      <c r="A148" s="409"/>
      <c r="B148" s="409"/>
      <c r="C148" s="409"/>
      <c r="D148" s="409"/>
      <c r="E148" s="409"/>
      <c r="F148" s="409"/>
      <c r="G148" s="409"/>
      <c r="H148" s="409"/>
      <c r="I148" s="409"/>
      <c r="J148" s="409"/>
      <c r="K148" s="409"/>
      <c r="L148" s="409"/>
      <c r="M148" s="409"/>
      <c r="N148" s="409"/>
      <c r="O148" s="467"/>
      <c r="P148" s="467"/>
      <c r="Q148" s="467"/>
      <c r="R148" s="467"/>
      <c r="S148" s="467"/>
      <c r="T148" s="467"/>
      <c r="U148" s="467"/>
      <c r="V148" s="467"/>
      <c r="W148" s="467"/>
      <c r="X148" s="467"/>
      <c r="Y148" s="467"/>
      <c r="Z148" s="467"/>
    </row>
    <row r="149" spans="1:26" ht="12.75" customHeight="1">
      <c r="A149" s="409"/>
      <c r="B149" s="409"/>
      <c r="C149" s="409"/>
      <c r="D149" s="409"/>
      <c r="E149" s="409"/>
      <c r="F149" s="409"/>
      <c r="G149" s="409"/>
      <c r="H149" s="409"/>
      <c r="I149" s="409"/>
      <c r="J149" s="409"/>
      <c r="K149" s="409"/>
      <c r="L149" s="409"/>
      <c r="M149" s="409"/>
      <c r="N149" s="409"/>
      <c r="O149" s="467"/>
      <c r="P149" s="467"/>
      <c r="Q149" s="467"/>
      <c r="R149" s="467"/>
      <c r="S149" s="467"/>
      <c r="T149" s="467"/>
      <c r="U149" s="467"/>
      <c r="V149" s="467"/>
      <c r="W149" s="467"/>
      <c r="X149" s="467"/>
      <c r="Y149" s="467"/>
      <c r="Z149" s="467"/>
    </row>
    <row r="150" spans="1:26" ht="12.75" customHeight="1">
      <c r="A150" s="409"/>
      <c r="B150" s="409"/>
      <c r="C150" s="409"/>
      <c r="D150" s="409"/>
      <c r="E150" s="409"/>
      <c r="F150" s="409"/>
      <c r="G150" s="409"/>
      <c r="H150" s="409"/>
      <c r="I150" s="409"/>
      <c r="J150" s="409"/>
      <c r="K150" s="409"/>
      <c r="L150" s="409"/>
      <c r="M150" s="409"/>
      <c r="N150" s="409"/>
      <c r="O150" s="467"/>
      <c r="P150" s="467"/>
      <c r="Q150" s="467"/>
      <c r="R150" s="467"/>
      <c r="S150" s="467"/>
      <c r="T150" s="467"/>
      <c r="U150" s="467"/>
      <c r="V150" s="467"/>
      <c r="W150" s="467"/>
      <c r="X150" s="467"/>
      <c r="Y150" s="467"/>
      <c r="Z150" s="467"/>
    </row>
    <row r="151" spans="1:26" ht="12.75" customHeight="1">
      <c r="A151" s="409"/>
      <c r="B151" s="409"/>
      <c r="C151" s="409"/>
      <c r="D151" s="409"/>
      <c r="E151" s="409"/>
      <c r="F151" s="409"/>
      <c r="G151" s="409"/>
      <c r="H151" s="409"/>
      <c r="I151" s="409"/>
      <c r="J151" s="409"/>
      <c r="K151" s="409"/>
      <c r="L151" s="409"/>
      <c r="M151" s="409"/>
      <c r="N151" s="409"/>
      <c r="O151" s="467"/>
      <c r="P151" s="467"/>
      <c r="Q151" s="467"/>
      <c r="R151" s="467"/>
      <c r="S151" s="467"/>
      <c r="T151" s="467"/>
      <c r="U151" s="467"/>
      <c r="V151" s="467"/>
      <c r="W151" s="467"/>
      <c r="X151" s="467"/>
      <c r="Y151" s="467"/>
      <c r="Z151" s="467"/>
    </row>
    <row r="152" spans="1:26" ht="12.75" customHeight="1">
      <c r="A152" s="409"/>
      <c r="B152" s="409"/>
      <c r="C152" s="409"/>
      <c r="D152" s="409"/>
      <c r="E152" s="409"/>
      <c r="F152" s="409"/>
      <c r="G152" s="409"/>
      <c r="H152" s="409"/>
      <c r="I152" s="409"/>
      <c r="J152" s="409"/>
      <c r="K152" s="409"/>
      <c r="L152" s="409"/>
      <c r="M152" s="409"/>
      <c r="N152" s="409"/>
      <c r="O152" s="467"/>
      <c r="P152" s="467"/>
      <c r="Q152" s="467"/>
      <c r="R152" s="467"/>
      <c r="S152" s="467"/>
      <c r="T152" s="467"/>
      <c r="U152" s="467"/>
      <c r="V152" s="467"/>
      <c r="W152" s="467"/>
      <c r="X152" s="467"/>
      <c r="Y152" s="467"/>
      <c r="Z152" s="467"/>
    </row>
    <row r="153" spans="1:26" ht="12.75" customHeight="1">
      <c r="A153" s="409"/>
      <c r="B153" s="409"/>
      <c r="C153" s="409"/>
      <c r="D153" s="409"/>
      <c r="E153" s="409"/>
      <c r="F153" s="409"/>
      <c r="G153" s="409"/>
      <c r="H153" s="409"/>
      <c r="I153" s="409"/>
      <c r="J153" s="409"/>
      <c r="K153" s="409"/>
      <c r="L153" s="409"/>
      <c r="M153" s="409"/>
      <c r="N153" s="409"/>
      <c r="O153" s="467"/>
      <c r="P153" s="467"/>
      <c r="Q153" s="467"/>
      <c r="R153" s="467"/>
      <c r="S153" s="467"/>
      <c r="T153" s="467"/>
      <c r="U153" s="467"/>
      <c r="V153" s="467"/>
      <c r="W153" s="467"/>
      <c r="X153" s="467"/>
      <c r="Y153" s="467"/>
      <c r="Z153" s="467"/>
    </row>
    <row r="154" spans="1:26" ht="12.75" customHeight="1">
      <c r="A154" s="409"/>
      <c r="B154" s="409"/>
      <c r="C154" s="409"/>
      <c r="D154" s="409"/>
      <c r="E154" s="409"/>
      <c r="F154" s="409"/>
      <c r="G154" s="409"/>
      <c r="H154" s="409"/>
      <c r="I154" s="409"/>
      <c r="J154" s="409"/>
      <c r="K154" s="409"/>
      <c r="L154" s="409"/>
      <c r="M154" s="409"/>
      <c r="N154" s="409"/>
      <c r="O154" s="467"/>
      <c r="P154" s="467"/>
      <c r="Q154" s="467"/>
      <c r="R154" s="467"/>
      <c r="S154" s="467"/>
      <c r="T154" s="467"/>
      <c r="U154" s="467"/>
      <c r="V154" s="467"/>
      <c r="W154" s="467"/>
      <c r="X154" s="467"/>
      <c r="Y154" s="467"/>
      <c r="Z154" s="467"/>
    </row>
    <row r="155" spans="1:26" ht="12.75" customHeight="1">
      <c r="A155" s="409"/>
      <c r="B155" s="409"/>
      <c r="C155" s="409"/>
      <c r="D155" s="409"/>
      <c r="E155" s="409"/>
      <c r="F155" s="409"/>
      <c r="G155" s="409"/>
      <c r="H155" s="409"/>
      <c r="I155" s="409"/>
      <c r="J155" s="409"/>
      <c r="K155" s="409"/>
      <c r="L155" s="409"/>
      <c r="M155" s="409"/>
      <c r="N155" s="409"/>
      <c r="O155" s="467"/>
      <c r="P155" s="467"/>
      <c r="Q155" s="467"/>
      <c r="R155" s="467"/>
      <c r="S155" s="467"/>
      <c r="T155" s="467"/>
      <c r="U155" s="467"/>
      <c r="V155" s="467"/>
      <c r="W155" s="467"/>
      <c r="X155" s="467"/>
      <c r="Y155" s="467"/>
      <c r="Z155" s="467"/>
    </row>
    <row r="156" spans="1:26" ht="12.75" customHeight="1">
      <c r="A156" s="409"/>
      <c r="B156" s="409"/>
      <c r="C156" s="409"/>
      <c r="D156" s="409"/>
      <c r="E156" s="409"/>
      <c r="F156" s="409"/>
      <c r="G156" s="409"/>
      <c r="H156" s="409"/>
      <c r="I156" s="409"/>
      <c r="J156" s="409"/>
      <c r="K156" s="409"/>
      <c r="L156" s="409"/>
      <c r="M156" s="409"/>
      <c r="N156" s="409"/>
      <c r="O156" s="467"/>
      <c r="P156" s="467"/>
      <c r="Q156" s="467"/>
      <c r="R156" s="467"/>
      <c r="S156" s="467"/>
      <c r="T156" s="467"/>
      <c r="U156" s="467"/>
      <c r="V156" s="467"/>
      <c r="W156" s="467"/>
      <c r="X156" s="467"/>
      <c r="Y156" s="467"/>
      <c r="Z156" s="467"/>
    </row>
    <row r="157" spans="1:26" ht="12.75" customHeight="1">
      <c r="A157" s="409"/>
      <c r="B157" s="409"/>
      <c r="C157" s="409"/>
      <c r="D157" s="409"/>
      <c r="E157" s="409"/>
      <c r="F157" s="409"/>
      <c r="G157" s="409"/>
      <c r="H157" s="409"/>
      <c r="I157" s="409"/>
      <c r="J157" s="409"/>
      <c r="K157" s="409"/>
      <c r="L157" s="409"/>
      <c r="M157" s="409"/>
      <c r="N157" s="409"/>
      <c r="O157" s="467"/>
      <c r="P157" s="467"/>
      <c r="Q157" s="467"/>
      <c r="R157" s="467"/>
      <c r="S157" s="467"/>
      <c r="T157" s="467"/>
      <c r="U157" s="467"/>
      <c r="V157" s="467"/>
      <c r="W157" s="467"/>
      <c r="X157" s="467"/>
      <c r="Y157" s="467"/>
      <c r="Z157" s="467"/>
    </row>
    <row r="158" spans="1:26" ht="12.75" customHeight="1">
      <c r="A158" s="409"/>
      <c r="B158" s="409"/>
      <c r="C158" s="409"/>
      <c r="D158" s="409"/>
      <c r="E158" s="409"/>
      <c r="F158" s="409"/>
      <c r="G158" s="409"/>
      <c r="H158" s="409"/>
      <c r="I158" s="409"/>
      <c r="J158" s="409"/>
      <c r="K158" s="409"/>
      <c r="L158" s="409"/>
      <c r="M158" s="409"/>
      <c r="N158" s="409"/>
      <c r="O158" s="467"/>
      <c r="P158" s="467"/>
      <c r="Q158" s="467"/>
      <c r="R158" s="467"/>
      <c r="S158" s="467"/>
      <c r="T158" s="467"/>
      <c r="U158" s="467"/>
      <c r="V158" s="467"/>
      <c r="W158" s="467"/>
      <c r="X158" s="467"/>
      <c r="Y158" s="467"/>
      <c r="Z158" s="467"/>
    </row>
    <row r="159" spans="1:26" ht="12.75" customHeight="1">
      <c r="A159" s="409"/>
      <c r="B159" s="409"/>
      <c r="C159" s="409"/>
      <c r="D159" s="409"/>
      <c r="E159" s="409"/>
      <c r="F159" s="409"/>
      <c r="G159" s="409"/>
      <c r="H159" s="409"/>
      <c r="I159" s="409"/>
      <c r="J159" s="409"/>
      <c r="K159" s="409"/>
      <c r="L159" s="409"/>
      <c r="M159" s="409"/>
      <c r="N159" s="409"/>
      <c r="O159" s="467"/>
      <c r="P159" s="467"/>
      <c r="Q159" s="467"/>
      <c r="R159" s="467"/>
      <c r="S159" s="467"/>
      <c r="T159" s="467"/>
      <c r="U159" s="467"/>
      <c r="V159" s="467"/>
      <c r="W159" s="467"/>
      <c r="X159" s="467"/>
      <c r="Y159" s="467"/>
      <c r="Z159" s="467"/>
    </row>
    <row r="160" spans="1:26" ht="12.75" customHeight="1">
      <c r="A160" s="409"/>
      <c r="B160" s="409"/>
      <c r="C160" s="409"/>
      <c r="D160" s="409"/>
      <c r="E160" s="409"/>
      <c r="F160" s="409"/>
      <c r="G160" s="409"/>
      <c r="H160" s="409"/>
      <c r="I160" s="409"/>
      <c r="J160" s="409"/>
      <c r="K160" s="409"/>
      <c r="L160" s="409"/>
      <c r="M160" s="409"/>
      <c r="N160" s="409"/>
      <c r="O160" s="467"/>
      <c r="P160" s="467"/>
      <c r="Q160" s="467"/>
      <c r="R160" s="467"/>
      <c r="S160" s="467"/>
      <c r="T160" s="467"/>
      <c r="U160" s="467"/>
      <c r="V160" s="467"/>
      <c r="W160" s="467"/>
      <c r="X160" s="467"/>
      <c r="Y160" s="467"/>
      <c r="Z160" s="467"/>
    </row>
    <row r="161" spans="1:26" ht="12.75" customHeight="1">
      <c r="A161" s="409"/>
      <c r="B161" s="409"/>
      <c r="C161" s="409"/>
      <c r="D161" s="409"/>
      <c r="E161" s="409"/>
      <c r="F161" s="409"/>
      <c r="G161" s="409"/>
      <c r="H161" s="409"/>
      <c r="I161" s="409"/>
      <c r="J161" s="409"/>
      <c r="K161" s="409"/>
      <c r="L161" s="409"/>
      <c r="M161" s="409"/>
      <c r="N161" s="409"/>
      <c r="O161" s="467"/>
      <c r="P161" s="467"/>
      <c r="Q161" s="467"/>
      <c r="R161" s="467"/>
      <c r="S161" s="467"/>
      <c r="T161" s="467"/>
      <c r="U161" s="467"/>
      <c r="V161" s="467"/>
      <c r="W161" s="467"/>
      <c r="X161" s="467"/>
      <c r="Y161" s="467"/>
      <c r="Z161" s="467"/>
    </row>
    <row r="162" spans="1:26" ht="12.75" customHeight="1">
      <c r="A162" s="409"/>
      <c r="B162" s="409"/>
      <c r="C162" s="409"/>
      <c r="D162" s="409"/>
      <c r="E162" s="409"/>
      <c r="F162" s="409"/>
      <c r="G162" s="409"/>
      <c r="H162" s="409"/>
      <c r="I162" s="409"/>
      <c r="J162" s="409"/>
      <c r="K162" s="409"/>
      <c r="L162" s="409"/>
      <c r="M162" s="409"/>
      <c r="N162" s="409"/>
      <c r="O162" s="467"/>
      <c r="P162" s="467"/>
      <c r="Q162" s="467"/>
      <c r="R162" s="467"/>
      <c r="S162" s="467"/>
      <c r="T162" s="467"/>
      <c r="U162" s="467"/>
      <c r="V162" s="467"/>
      <c r="W162" s="467"/>
      <c r="X162" s="467"/>
      <c r="Y162" s="467"/>
      <c r="Z162" s="467"/>
    </row>
    <row r="163" spans="1:26" ht="12.75" customHeight="1">
      <c r="A163" s="409"/>
      <c r="B163" s="409"/>
      <c r="C163" s="409"/>
      <c r="D163" s="409"/>
      <c r="E163" s="409"/>
      <c r="F163" s="409"/>
      <c r="G163" s="409"/>
      <c r="H163" s="409"/>
      <c r="I163" s="409"/>
      <c r="J163" s="409"/>
      <c r="K163" s="409"/>
      <c r="L163" s="409"/>
      <c r="M163" s="409"/>
      <c r="N163" s="409"/>
      <c r="O163" s="467"/>
      <c r="P163" s="467"/>
      <c r="Q163" s="467"/>
      <c r="R163" s="467"/>
      <c r="S163" s="467"/>
      <c r="T163" s="467"/>
      <c r="U163" s="467"/>
      <c r="V163" s="467"/>
      <c r="W163" s="467"/>
      <c r="X163" s="467"/>
      <c r="Y163" s="467"/>
      <c r="Z163" s="467"/>
    </row>
    <row r="164" spans="1:26" ht="12.75" customHeight="1">
      <c r="A164" s="409"/>
      <c r="B164" s="409"/>
      <c r="C164" s="409"/>
      <c r="D164" s="409"/>
      <c r="E164" s="409"/>
      <c r="F164" s="409"/>
      <c r="G164" s="409"/>
      <c r="H164" s="409"/>
      <c r="I164" s="409"/>
      <c r="J164" s="409"/>
      <c r="K164" s="409"/>
      <c r="L164" s="409"/>
      <c r="M164" s="409"/>
      <c r="N164" s="409"/>
      <c r="O164" s="467"/>
      <c r="P164" s="467"/>
      <c r="Q164" s="467"/>
      <c r="R164" s="467"/>
      <c r="S164" s="467"/>
      <c r="T164" s="467"/>
      <c r="U164" s="467"/>
      <c r="V164" s="467"/>
      <c r="W164" s="467"/>
      <c r="X164" s="467"/>
      <c r="Y164" s="467"/>
      <c r="Z164" s="467"/>
    </row>
    <row r="165" spans="1:26" ht="12.75" customHeight="1">
      <c r="A165" s="409"/>
      <c r="B165" s="409"/>
      <c r="C165" s="409"/>
      <c r="D165" s="409"/>
      <c r="E165" s="409"/>
      <c r="F165" s="409"/>
      <c r="G165" s="409"/>
      <c r="H165" s="409"/>
      <c r="I165" s="409"/>
      <c r="J165" s="409"/>
      <c r="K165" s="409"/>
      <c r="L165" s="409"/>
      <c r="M165" s="409"/>
      <c r="N165" s="409"/>
      <c r="O165" s="467"/>
      <c r="P165" s="467"/>
      <c r="Q165" s="467"/>
      <c r="R165" s="467"/>
      <c r="S165" s="467"/>
      <c r="T165" s="467"/>
      <c r="U165" s="467"/>
      <c r="V165" s="467"/>
      <c r="W165" s="467"/>
      <c r="X165" s="467"/>
      <c r="Y165" s="467"/>
      <c r="Z165" s="467"/>
    </row>
    <row r="166" spans="1:26" ht="12.75" customHeight="1">
      <c r="A166" s="409"/>
      <c r="B166" s="409"/>
      <c r="C166" s="409"/>
      <c r="D166" s="409"/>
      <c r="E166" s="409"/>
      <c r="F166" s="409"/>
      <c r="G166" s="409"/>
      <c r="H166" s="409"/>
      <c r="I166" s="409"/>
      <c r="J166" s="409"/>
      <c r="K166" s="409"/>
      <c r="L166" s="409"/>
      <c r="M166" s="409"/>
      <c r="N166" s="409"/>
      <c r="O166" s="467"/>
      <c r="P166" s="467"/>
      <c r="Q166" s="467"/>
      <c r="R166" s="467"/>
      <c r="S166" s="467"/>
      <c r="T166" s="467"/>
      <c r="U166" s="467"/>
      <c r="V166" s="467"/>
      <c r="W166" s="467"/>
      <c r="X166" s="467"/>
      <c r="Y166" s="467"/>
      <c r="Z166" s="467"/>
    </row>
    <row r="167" spans="1:26" ht="12.75" customHeight="1">
      <c r="A167" s="409"/>
      <c r="B167" s="409"/>
      <c r="C167" s="409"/>
      <c r="D167" s="409"/>
      <c r="E167" s="409"/>
      <c r="F167" s="409"/>
      <c r="G167" s="409"/>
      <c r="H167" s="409"/>
      <c r="I167" s="409"/>
      <c r="J167" s="409"/>
      <c r="K167" s="409"/>
      <c r="L167" s="409"/>
      <c r="M167" s="409"/>
      <c r="N167" s="409"/>
      <c r="O167" s="467"/>
      <c r="P167" s="467"/>
      <c r="Q167" s="467"/>
      <c r="R167" s="467"/>
      <c r="S167" s="467"/>
      <c r="T167" s="467"/>
      <c r="U167" s="467"/>
      <c r="V167" s="467"/>
      <c r="W167" s="467"/>
      <c r="X167" s="467"/>
      <c r="Y167" s="467"/>
      <c r="Z167" s="467"/>
    </row>
    <row r="168" spans="1:26" ht="12.75" customHeight="1">
      <c r="A168" s="409"/>
      <c r="B168" s="409"/>
      <c r="C168" s="409"/>
      <c r="D168" s="409"/>
      <c r="E168" s="409"/>
      <c r="F168" s="409"/>
      <c r="G168" s="409"/>
      <c r="H168" s="409"/>
      <c r="I168" s="409"/>
      <c r="J168" s="409"/>
      <c r="K168" s="409"/>
      <c r="L168" s="409"/>
      <c r="M168" s="409"/>
      <c r="N168" s="409"/>
      <c r="O168" s="467"/>
      <c r="P168" s="467"/>
      <c r="Q168" s="467"/>
      <c r="R168" s="467"/>
      <c r="S168" s="467"/>
      <c r="T168" s="467"/>
      <c r="U168" s="467"/>
      <c r="V168" s="467"/>
      <c r="W168" s="467"/>
      <c r="X168" s="467"/>
      <c r="Y168" s="467"/>
      <c r="Z168" s="467"/>
    </row>
    <row r="169" spans="1:26" ht="12.75" customHeight="1">
      <c r="A169" s="409"/>
      <c r="B169" s="409"/>
      <c r="C169" s="409"/>
      <c r="D169" s="409"/>
      <c r="E169" s="409"/>
      <c r="F169" s="409"/>
      <c r="G169" s="409"/>
      <c r="H169" s="409"/>
      <c r="I169" s="409"/>
      <c r="J169" s="409"/>
      <c r="K169" s="409"/>
      <c r="L169" s="409"/>
      <c r="M169" s="409"/>
      <c r="N169" s="409"/>
      <c r="O169" s="467"/>
      <c r="P169" s="467"/>
      <c r="Q169" s="467"/>
      <c r="R169" s="467"/>
      <c r="S169" s="467"/>
      <c r="T169" s="467"/>
      <c r="U169" s="467"/>
      <c r="V169" s="467"/>
      <c r="W169" s="467"/>
      <c r="X169" s="467"/>
      <c r="Y169" s="467"/>
      <c r="Z169" s="467"/>
    </row>
    <row r="170" spans="1:26" ht="12.75" customHeight="1">
      <c r="A170" s="409"/>
      <c r="B170" s="409"/>
      <c r="C170" s="409"/>
      <c r="D170" s="409"/>
      <c r="E170" s="409"/>
      <c r="F170" s="409"/>
      <c r="G170" s="409"/>
      <c r="H170" s="409"/>
      <c r="I170" s="409"/>
      <c r="J170" s="409"/>
      <c r="K170" s="409"/>
      <c r="L170" s="409"/>
      <c r="M170" s="409"/>
      <c r="N170" s="409"/>
      <c r="O170" s="467"/>
      <c r="P170" s="467"/>
      <c r="Q170" s="467"/>
      <c r="R170" s="467"/>
      <c r="S170" s="467"/>
      <c r="T170" s="467"/>
      <c r="U170" s="467"/>
      <c r="V170" s="467"/>
      <c r="W170" s="467"/>
      <c r="X170" s="467"/>
      <c r="Y170" s="467"/>
      <c r="Z170" s="467"/>
    </row>
    <row r="171" spans="1:26" ht="12.75" customHeight="1">
      <c r="A171" s="409"/>
      <c r="B171" s="409"/>
      <c r="C171" s="409"/>
      <c r="D171" s="409"/>
      <c r="E171" s="409"/>
      <c r="F171" s="409"/>
      <c r="G171" s="409"/>
      <c r="H171" s="409"/>
      <c r="I171" s="409"/>
      <c r="J171" s="409"/>
      <c r="K171" s="409"/>
      <c r="L171" s="409"/>
      <c r="M171" s="409"/>
      <c r="N171" s="409"/>
      <c r="O171" s="467"/>
      <c r="P171" s="467"/>
      <c r="Q171" s="467"/>
      <c r="R171" s="467"/>
      <c r="S171" s="467"/>
      <c r="T171" s="467"/>
      <c r="U171" s="467"/>
      <c r="V171" s="467"/>
      <c r="W171" s="467"/>
      <c r="X171" s="467"/>
      <c r="Y171" s="467"/>
      <c r="Z171" s="467"/>
    </row>
    <row r="172" spans="1:26" ht="12.75" customHeight="1">
      <c r="A172" s="409"/>
      <c r="B172" s="409"/>
      <c r="C172" s="409"/>
      <c r="D172" s="409"/>
      <c r="E172" s="409"/>
      <c r="F172" s="409"/>
      <c r="G172" s="409"/>
      <c r="H172" s="409"/>
      <c r="I172" s="409"/>
      <c r="J172" s="409"/>
      <c r="K172" s="409"/>
      <c r="L172" s="409"/>
      <c r="M172" s="409"/>
      <c r="N172" s="409"/>
      <c r="O172" s="467"/>
      <c r="P172" s="467"/>
      <c r="Q172" s="467"/>
      <c r="R172" s="467"/>
      <c r="S172" s="467"/>
      <c r="T172" s="467"/>
      <c r="U172" s="467"/>
      <c r="V172" s="467"/>
      <c r="W172" s="467"/>
      <c r="X172" s="467"/>
      <c r="Y172" s="467"/>
      <c r="Z172" s="467"/>
    </row>
    <row r="173" spans="1:26" ht="12.75" customHeight="1">
      <c r="A173" s="409"/>
      <c r="B173" s="409"/>
      <c r="C173" s="409"/>
      <c r="D173" s="409"/>
      <c r="E173" s="409"/>
      <c r="F173" s="409"/>
      <c r="G173" s="409"/>
      <c r="H173" s="409"/>
      <c r="I173" s="409"/>
      <c r="J173" s="409"/>
      <c r="K173" s="409"/>
      <c r="L173" s="409"/>
      <c r="M173" s="409"/>
      <c r="N173" s="409"/>
      <c r="O173" s="467"/>
      <c r="P173" s="467"/>
      <c r="Q173" s="467"/>
      <c r="R173" s="467"/>
      <c r="S173" s="467"/>
      <c r="T173" s="467"/>
      <c r="U173" s="467"/>
      <c r="V173" s="467"/>
      <c r="W173" s="467"/>
      <c r="X173" s="467"/>
      <c r="Y173" s="467"/>
      <c r="Z173" s="467"/>
    </row>
    <row r="174" spans="1:26" ht="12.75" customHeight="1">
      <c r="A174" s="409"/>
      <c r="B174" s="409"/>
      <c r="C174" s="409"/>
      <c r="D174" s="409"/>
      <c r="E174" s="409"/>
      <c r="F174" s="409"/>
      <c r="G174" s="409"/>
      <c r="H174" s="409"/>
      <c r="I174" s="409"/>
      <c r="J174" s="409"/>
      <c r="K174" s="409"/>
      <c r="L174" s="409"/>
      <c r="M174" s="409"/>
      <c r="N174" s="409"/>
      <c r="O174" s="467"/>
      <c r="P174" s="467"/>
      <c r="Q174" s="467"/>
      <c r="R174" s="467"/>
      <c r="S174" s="467"/>
      <c r="T174" s="467"/>
      <c r="U174" s="467"/>
      <c r="V174" s="467"/>
      <c r="W174" s="467"/>
      <c r="X174" s="467"/>
      <c r="Y174" s="467"/>
      <c r="Z174" s="467"/>
    </row>
    <row r="175" spans="1:26" ht="12.75" customHeight="1">
      <c r="A175" s="409"/>
      <c r="B175" s="409"/>
      <c r="C175" s="409"/>
      <c r="D175" s="409"/>
      <c r="E175" s="409"/>
      <c r="F175" s="409"/>
      <c r="G175" s="409"/>
      <c r="H175" s="409"/>
      <c r="I175" s="409"/>
      <c r="J175" s="409"/>
      <c r="K175" s="409"/>
      <c r="L175" s="409"/>
      <c r="M175" s="409"/>
      <c r="N175" s="409"/>
      <c r="O175" s="467"/>
      <c r="P175" s="467"/>
      <c r="Q175" s="467"/>
      <c r="R175" s="467"/>
      <c r="S175" s="467"/>
      <c r="T175" s="467"/>
      <c r="U175" s="467"/>
      <c r="V175" s="467"/>
      <c r="W175" s="467"/>
      <c r="X175" s="467"/>
      <c r="Y175" s="467"/>
      <c r="Z175" s="467"/>
    </row>
    <row r="176" spans="1:26" ht="12.75" customHeight="1">
      <c r="A176" s="409"/>
      <c r="B176" s="409"/>
      <c r="C176" s="409"/>
      <c r="D176" s="409"/>
      <c r="E176" s="409"/>
      <c r="F176" s="409"/>
      <c r="G176" s="409"/>
      <c r="H176" s="409"/>
      <c r="I176" s="409"/>
      <c r="J176" s="409"/>
      <c r="K176" s="409"/>
      <c r="L176" s="409"/>
      <c r="M176" s="409"/>
      <c r="N176" s="409"/>
      <c r="O176" s="467"/>
      <c r="P176" s="467"/>
      <c r="Q176" s="467"/>
      <c r="R176" s="467"/>
      <c r="S176" s="467"/>
      <c r="T176" s="467"/>
      <c r="U176" s="467"/>
      <c r="V176" s="467"/>
      <c r="W176" s="467"/>
      <c r="X176" s="467"/>
      <c r="Y176" s="467"/>
      <c r="Z176" s="467"/>
    </row>
    <row r="177" spans="1:26" ht="12.75" customHeight="1">
      <c r="A177" s="409"/>
      <c r="B177" s="409"/>
      <c r="C177" s="409"/>
      <c r="D177" s="409"/>
      <c r="E177" s="409"/>
      <c r="F177" s="409"/>
      <c r="G177" s="409"/>
      <c r="H177" s="409"/>
      <c r="I177" s="409"/>
      <c r="J177" s="409"/>
      <c r="K177" s="409"/>
      <c r="L177" s="409"/>
      <c r="M177" s="409"/>
      <c r="N177" s="409"/>
      <c r="O177" s="467"/>
      <c r="P177" s="467"/>
      <c r="Q177" s="467"/>
      <c r="R177" s="467"/>
      <c r="S177" s="467"/>
      <c r="T177" s="467"/>
      <c r="U177" s="467"/>
      <c r="V177" s="467"/>
      <c r="W177" s="467"/>
      <c r="X177" s="467"/>
      <c r="Y177" s="467"/>
      <c r="Z177" s="467"/>
    </row>
    <row r="178" spans="1:26" ht="12.75" customHeight="1">
      <c r="A178" s="409"/>
      <c r="B178" s="409"/>
      <c r="C178" s="409"/>
      <c r="D178" s="409"/>
      <c r="E178" s="409"/>
      <c r="F178" s="409"/>
      <c r="G178" s="409"/>
      <c r="H178" s="409"/>
      <c r="I178" s="409"/>
      <c r="J178" s="409"/>
      <c r="K178" s="409"/>
      <c r="L178" s="409"/>
      <c r="M178" s="409"/>
      <c r="N178" s="409"/>
      <c r="O178" s="467"/>
      <c r="P178" s="467"/>
      <c r="Q178" s="467"/>
      <c r="R178" s="467"/>
      <c r="S178" s="467"/>
      <c r="T178" s="467"/>
      <c r="U178" s="467"/>
      <c r="V178" s="467"/>
      <c r="W178" s="467"/>
      <c r="X178" s="467"/>
      <c r="Y178" s="467"/>
      <c r="Z178" s="467"/>
    </row>
    <row r="179" spans="1:26" ht="12.75" customHeight="1">
      <c r="A179" s="409"/>
      <c r="B179" s="409"/>
      <c r="C179" s="409"/>
      <c r="D179" s="409"/>
      <c r="E179" s="409"/>
      <c r="F179" s="409"/>
      <c r="G179" s="409"/>
      <c r="H179" s="409"/>
      <c r="I179" s="409"/>
      <c r="J179" s="409"/>
      <c r="K179" s="409"/>
      <c r="L179" s="409"/>
      <c r="M179" s="409"/>
      <c r="N179" s="409"/>
      <c r="O179" s="467"/>
      <c r="P179" s="467"/>
      <c r="Q179" s="467"/>
      <c r="R179" s="467"/>
      <c r="S179" s="467"/>
      <c r="T179" s="467"/>
      <c r="U179" s="467"/>
      <c r="V179" s="467"/>
      <c r="W179" s="467"/>
      <c r="X179" s="467"/>
      <c r="Y179" s="467"/>
      <c r="Z179" s="467"/>
    </row>
    <row r="180" spans="1:26" ht="12.75" customHeight="1">
      <c r="A180" s="409"/>
      <c r="B180" s="409"/>
      <c r="C180" s="409"/>
      <c r="D180" s="409"/>
      <c r="E180" s="409"/>
      <c r="F180" s="409"/>
      <c r="G180" s="409"/>
      <c r="H180" s="409"/>
      <c r="I180" s="409"/>
      <c r="J180" s="409"/>
      <c r="K180" s="409"/>
      <c r="L180" s="409"/>
      <c r="M180" s="409"/>
      <c r="N180" s="409"/>
      <c r="O180" s="467"/>
      <c r="P180" s="467"/>
      <c r="Q180" s="467"/>
      <c r="R180" s="467"/>
      <c r="S180" s="467"/>
      <c r="T180" s="467"/>
      <c r="U180" s="467"/>
      <c r="V180" s="467"/>
      <c r="W180" s="467"/>
      <c r="X180" s="467"/>
      <c r="Y180" s="467"/>
      <c r="Z180" s="467"/>
    </row>
    <row r="181" spans="1:26" ht="12.75" customHeight="1">
      <c r="A181" s="409"/>
      <c r="B181" s="409"/>
      <c r="C181" s="409"/>
      <c r="D181" s="409"/>
      <c r="E181" s="409"/>
      <c r="F181" s="409"/>
      <c r="G181" s="409"/>
      <c r="H181" s="409"/>
      <c r="I181" s="409"/>
      <c r="J181" s="409"/>
      <c r="K181" s="409"/>
      <c r="L181" s="409"/>
      <c r="M181" s="409"/>
      <c r="N181" s="409"/>
      <c r="O181" s="467"/>
      <c r="P181" s="467"/>
      <c r="Q181" s="467"/>
      <c r="R181" s="467"/>
      <c r="S181" s="467"/>
      <c r="T181" s="467"/>
      <c r="U181" s="467"/>
      <c r="V181" s="467"/>
      <c r="W181" s="467"/>
      <c r="X181" s="467"/>
      <c r="Y181" s="467"/>
      <c r="Z181" s="467"/>
    </row>
    <row r="182" spans="1:26" ht="12.75" customHeight="1">
      <c r="A182" s="409"/>
      <c r="B182" s="409"/>
      <c r="C182" s="409"/>
      <c r="D182" s="409"/>
      <c r="E182" s="409"/>
      <c r="F182" s="409"/>
      <c r="G182" s="409"/>
      <c r="H182" s="409"/>
      <c r="I182" s="409"/>
      <c r="J182" s="409"/>
      <c r="K182" s="409"/>
      <c r="L182" s="409"/>
      <c r="M182" s="409"/>
      <c r="N182" s="409"/>
      <c r="O182" s="467"/>
      <c r="P182" s="467"/>
      <c r="Q182" s="467"/>
      <c r="R182" s="467"/>
      <c r="S182" s="467"/>
      <c r="T182" s="467"/>
      <c r="U182" s="467"/>
      <c r="V182" s="467"/>
      <c r="W182" s="467"/>
      <c r="X182" s="467"/>
      <c r="Y182" s="467"/>
      <c r="Z182" s="467"/>
    </row>
    <row r="183" spans="1:26" ht="12.75" customHeight="1">
      <c r="A183" s="409"/>
      <c r="B183" s="409"/>
      <c r="C183" s="409"/>
      <c r="D183" s="409"/>
      <c r="E183" s="409"/>
      <c r="F183" s="409"/>
      <c r="G183" s="409"/>
      <c r="H183" s="409"/>
      <c r="I183" s="409"/>
      <c r="J183" s="409"/>
      <c r="K183" s="409"/>
      <c r="L183" s="409"/>
      <c r="M183" s="409"/>
      <c r="N183" s="409"/>
      <c r="O183" s="467"/>
      <c r="P183" s="467"/>
      <c r="Q183" s="467"/>
      <c r="R183" s="467"/>
      <c r="S183" s="467"/>
      <c r="T183" s="467"/>
      <c r="U183" s="467"/>
      <c r="V183" s="467"/>
      <c r="W183" s="467"/>
      <c r="X183" s="467"/>
      <c r="Y183" s="467"/>
      <c r="Z183" s="467"/>
    </row>
    <row r="184" spans="1:26" ht="12.75" customHeight="1">
      <c r="A184" s="409"/>
      <c r="B184" s="409"/>
      <c r="C184" s="409"/>
      <c r="D184" s="409"/>
      <c r="E184" s="409"/>
      <c r="F184" s="409"/>
      <c r="G184" s="409"/>
      <c r="H184" s="409"/>
      <c r="I184" s="409"/>
      <c r="J184" s="409"/>
      <c r="K184" s="409"/>
      <c r="L184" s="409"/>
      <c r="M184" s="409"/>
      <c r="N184" s="409"/>
      <c r="O184" s="467"/>
      <c r="P184" s="467"/>
      <c r="Q184" s="467"/>
      <c r="R184" s="467"/>
      <c r="S184" s="467"/>
      <c r="T184" s="467"/>
      <c r="U184" s="467"/>
      <c r="V184" s="467"/>
      <c r="W184" s="467"/>
      <c r="X184" s="467"/>
      <c r="Y184" s="467"/>
      <c r="Z184" s="467"/>
    </row>
    <row r="185" spans="1:26" ht="12.75" customHeight="1">
      <c r="A185" s="409"/>
      <c r="B185" s="409"/>
      <c r="C185" s="409"/>
      <c r="D185" s="409"/>
      <c r="E185" s="409"/>
      <c r="F185" s="409"/>
      <c r="G185" s="409"/>
      <c r="H185" s="409"/>
      <c r="I185" s="409"/>
      <c r="J185" s="409"/>
      <c r="K185" s="409"/>
      <c r="L185" s="409"/>
      <c r="M185" s="409"/>
      <c r="N185" s="409"/>
      <c r="O185" s="467"/>
      <c r="P185" s="467"/>
      <c r="Q185" s="467"/>
      <c r="R185" s="467"/>
      <c r="S185" s="467"/>
      <c r="T185" s="467"/>
      <c r="U185" s="467"/>
      <c r="V185" s="467"/>
      <c r="W185" s="467"/>
      <c r="X185" s="467"/>
      <c r="Y185" s="467"/>
      <c r="Z185" s="467"/>
    </row>
    <row r="186" spans="1:26" ht="12.75" customHeight="1">
      <c r="A186" s="409"/>
      <c r="B186" s="409"/>
      <c r="C186" s="409"/>
      <c r="D186" s="409"/>
      <c r="E186" s="409"/>
      <c r="F186" s="409"/>
      <c r="G186" s="409"/>
      <c r="H186" s="409"/>
      <c r="I186" s="409"/>
      <c r="J186" s="409"/>
      <c r="K186" s="409"/>
      <c r="L186" s="409"/>
      <c r="M186" s="409"/>
      <c r="N186" s="409"/>
      <c r="O186" s="467"/>
      <c r="P186" s="467"/>
      <c r="Q186" s="467"/>
      <c r="R186" s="467"/>
      <c r="S186" s="467"/>
      <c r="T186" s="467"/>
      <c r="U186" s="467"/>
      <c r="V186" s="467"/>
      <c r="W186" s="467"/>
      <c r="X186" s="467"/>
      <c r="Y186" s="467"/>
      <c r="Z186" s="467"/>
    </row>
    <row r="187" spans="1:26" ht="12.75" customHeight="1">
      <c r="A187" s="409"/>
      <c r="B187" s="409"/>
      <c r="C187" s="409"/>
      <c r="D187" s="409"/>
      <c r="E187" s="409"/>
      <c r="F187" s="409"/>
      <c r="G187" s="409"/>
      <c r="H187" s="409"/>
      <c r="I187" s="409"/>
      <c r="J187" s="409"/>
      <c r="K187" s="409"/>
      <c r="L187" s="409"/>
      <c r="M187" s="409"/>
      <c r="N187" s="409"/>
      <c r="O187" s="467"/>
      <c r="P187" s="467"/>
      <c r="Q187" s="467"/>
      <c r="R187" s="467"/>
      <c r="S187" s="467"/>
      <c r="T187" s="467"/>
      <c r="U187" s="467"/>
      <c r="V187" s="467"/>
      <c r="W187" s="467"/>
      <c r="X187" s="467"/>
      <c r="Y187" s="467"/>
      <c r="Z187" s="467"/>
    </row>
    <row r="188" spans="1:26" ht="12.75" customHeight="1">
      <c r="A188" s="409"/>
      <c r="B188" s="409"/>
      <c r="C188" s="409"/>
      <c r="D188" s="409"/>
      <c r="E188" s="409"/>
      <c r="F188" s="409"/>
      <c r="G188" s="409"/>
      <c r="H188" s="409"/>
      <c r="I188" s="409"/>
      <c r="J188" s="409"/>
      <c r="K188" s="409"/>
      <c r="L188" s="409"/>
      <c r="M188" s="409"/>
      <c r="N188" s="409"/>
      <c r="O188" s="467"/>
      <c r="P188" s="467"/>
      <c r="Q188" s="467"/>
      <c r="R188" s="467"/>
      <c r="S188" s="467"/>
      <c r="T188" s="467"/>
      <c r="U188" s="467"/>
      <c r="V188" s="467"/>
      <c r="W188" s="467"/>
      <c r="X188" s="467"/>
      <c r="Y188" s="467"/>
      <c r="Z188" s="467"/>
    </row>
    <row r="189" spans="1:26" ht="12.75" customHeight="1">
      <c r="A189" s="409"/>
      <c r="B189" s="409"/>
      <c r="C189" s="409"/>
      <c r="D189" s="409"/>
      <c r="E189" s="409"/>
      <c r="F189" s="409"/>
      <c r="G189" s="409"/>
      <c r="H189" s="409"/>
      <c r="I189" s="409"/>
      <c r="J189" s="409"/>
      <c r="K189" s="409"/>
      <c r="L189" s="409"/>
      <c r="M189" s="409"/>
      <c r="N189" s="409"/>
      <c r="O189" s="467"/>
      <c r="P189" s="467"/>
      <c r="Q189" s="467"/>
      <c r="R189" s="467"/>
      <c r="S189" s="467"/>
      <c r="T189" s="467"/>
      <c r="U189" s="467"/>
      <c r="V189" s="467"/>
      <c r="W189" s="467"/>
      <c r="X189" s="467"/>
      <c r="Y189" s="467"/>
      <c r="Z189" s="467"/>
    </row>
    <row r="190" spans="1:26" ht="12.75" customHeight="1">
      <c r="A190" s="409"/>
      <c r="B190" s="409"/>
      <c r="C190" s="409"/>
      <c r="D190" s="409"/>
      <c r="E190" s="409"/>
      <c r="F190" s="409"/>
      <c r="G190" s="409"/>
      <c r="H190" s="409"/>
      <c r="I190" s="409"/>
      <c r="J190" s="409"/>
      <c r="K190" s="409"/>
      <c r="L190" s="409"/>
      <c r="M190" s="409"/>
      <c r="N190" s="409"/>
      <c r="O190" s="467"/>
      <c r="P190" s="467"/>
      <c r="Q190" s="467"/>
      <c r="R190" s="467"/>
      <c r="S190" s="467"/>
      <c r="T190" s="467"/>
      <c r="U190" s="467"/>
      <c r="V190" s="467"/>
      <c r="W190" s="467"/>
      <c r="X190" s="467"/>
      <c r="Y190" s="467"/>
      <c r="Z190" s="467"/>
    </row>
    <row r="191" spans="1:26" ht="12.75" customHeight="1">
      <c r="A191" s="409"/>
      <c r="B191" s="409"/>
      <c r="C191" s="409"/>
      <c r="D191" s="409"/>
      <c r="E191" s="409"/>
      <c r="F191" s="409"/>
      <c r="G191" s="409"/>
      <c r="H191" s="409"/>
      <c r="I191" s="409"/>
      <c r="J191" s="409"/>
      <c r="K191" s="409"/>
      <c r="L191" s="409"/>
      <c r="M191" s="409"/>
      <c r="N191" s="409"/>
      <c r="O191" s="467"/>
      <c r="P191" s="467"/>
      <c r="Q191" s="467"/>
      <c r="R191" s="467"/>
      <c r="S191" s="467"/>
      <c r="T191" s="467"/>
      <c r="U191" s="467"/>
      <c r="V191" s="467"/>
      <c r="W191" s="467"/>
      <c r="X191" s="467"/>
      <c r="Y191" s="467"/>
      <c r="Z191" s="467"/>
    </row>
    <row r="192" spans="1:26" ht="12.75" customHeight="1">
      <c r="A192" s="409"/>
      <c r="B192" s="409"/>
      <c r="C192" s="409"/>
      <c r="D192" s="409"/>
      <c r="E192" s="409"/>
      <c r="F192" s="409"/>
      <c r="G192" s="409"/>
      <c r="H192" s="409"/>
      <c r="I192" s="409"/>
      <c r="J192" s="409"/>
      <c r="K192" s="409"/>
      <c r="L192" s="409"/>
      <c r="M192" s="409"/>
      <c r="N192" s="409"/>
      <c r="O192" s="467"/>
      <c r="P192" s="467"/>
      <c r="Q192" s="467"/>
      <c r="R192" s="467"/>
      <c r="S192" s="467"/>
      <c r="T192" s="467"/>
      <c r="U192" s="467"/>
      <c r="V192" s="467"/>
      <c r="W192" s="467"/>
      <c r="X192" s="467"/>
      <c r="Y192" s="467"/>
      <c r="Z192" s="467"/>
    </row>
    <row r="193" spans="1:26" ht="12.75" customHeight="1">
      <c r="A193" s="409"/>
      <c r="B193" s="409"/>
      <c r="C193" s="409"/>
      <c r="D193" s="409"/>
      <c r="E193" s="409"/>
      <c r="F193" s="409"/>
      <c r="G193" s="409"/>
      <c r="H193" s="409"/>
      <c r="I193" s="409"/>
      <c r="J193" s="409"/>
      <c r="K193" s="409"/>
      <c r="L193" s="409"/>
      <c r="M193" s="409"/>
      <c r="N193" s="409"/>
      <c r="O193" s="467"/>
      <c r="P193" s="467"/>
      <c r="Q193" s="467"/>
      <c r="R193" s="467"/>
      <c r="S193" s="467"/>
      <c r="T193" s="467"/>
      <c r="U193" s="467"/>
      <c r="V193" s="467"/>
      <c r="W193" s="467"/>
      <c r="X193" s="467"/>
      <c r="Y193" s="467"/>
      <c r="Z193" s="467"/>
    </row>
    <row r="194" spans="1:26" ht="12.75" customHeight="1">
      <c r="A194" s="409"/>
      <c r="B194" s="409"/>
      <c r="C194" s="409"/>
      <c r="D194" s="409"/>
      <c r="E194" s="409"/>
      <c r="F194" s="409"/>
      <c r="G194" s="409"/>
      <c r="H194" s="409"/>
      <c r="I194" s="409"/>
      <c r="J194" s="409"/>
      <c r="K194" s="409"/>
      <c r="L194" s="409"/>
      <c r="M194" s="409"/>
      <c r="N194" s="409"/>
      <c r="O194" s="467"/>
      <c r="P194" s="467"/>
      <c r="Q194" s="467"/>
      <c r="R194" s="467"/>
      <c r="S194" s="467"/>
      <c r="T194" s="467"/>
      <c r="U194" s="467"/>
      <c r="V194" s="467"/>
      <c r="W194" s="467"/>
      <c r="X194" s="467"/>
      <c r="Y194" s="467"/>
      <c r="Z194" s="467"/>
    </row>
    <row r="195" spans="1:26" ht="12.75" customHeight="1">
      <c r="A195" s="409"/>
      <c r="B195" s="409"/>
      <c r="C195" s="409"/>
      <c r="D195" s="409"/>
      <c r="E195" s="409"/>
      <c r="F195" s="409"/>
      <c r="G195" s="409"/>
      <c r="H195" s="409"/>
      <c r="I195" s="409"/>
      <c r="J195" s="409"/>
      <c r="K195" s="409"/>
      <c r="L195" s="409"/>
      <c r="M195" s="409"/>
      <c r="N195" s="409"/>
      <c r="O195" s="467"/>
      <c r="P195" s="467"/>
      <c r="Q195" s="467"/>
      <c r="R195" s="467"/>
      <c r="S195" s="467"/>
      <c r="T195" s="467"/>
      <c r="U195" s="467"/>
      <c r="V195" s="467"/>
      <c r="W195" s="467"/>
      <c r="X195" s="467"/>
      <c r="Y195" s="467"/>
      <c r="Z195" s="467"/>
    </row>
    <row r="196" spans="1:26" ht="12.75" customHeight="1">
      <c r="A196" s="409"/>
      <c r="B196" s="409"/>
      <c r="C196" s="409"/>
      <c r="D196" s="409"/>
      <c r="E196" s="409"/>
      <c r="F196" s="409"/>
      <c r="G196" s="409"/>
      <c r="H196" s="409"/>
      <c r="I196" s="409"/>
      <c r="J196" s="409"/>
      <c r="K196" s="409"/>
      <c r="L196" s="409"/>
      <c r="M196" s="409"/>
      <c r="N196" s="409"/>
      <c r="O196" s="467"/>
      <c r="P196" s="467"/>
      <c r="Q196" s="467"/>
      <c r="R196" s="467"/>
      <c r="S196" s="467"/>
      <c r="T196" s="467"/>
      <c r="U196" s="467"/>
      <c r="V196" s="467"/>
      <c r="W196" s="467"/>
      <c r="X196" s="467"/>
      <c r="Y196" s="467"/>
      <c r="Z196" s="467"/>
    </row>
    <row r="197" spans="1:26" ht="12.75" customHeight="1">
      <c r="A197" s="409"/>
      <c r="B197" s="409"/>
      <c r="C197" s="409"/>
      <c r="D197" s="409"/>
      <c r="E197" s="409"/>
      <c r="F197" s="409"/>
      <c r="G197" s="409"/>
      <c r="H197" s="409"/>
      <c r="I197" s="409"/>
      <c r="J197" s="409"/>
      <c r="K197" s="409"/>
      <c r="L197" s="409"/>
      <c r="M197" s="409"/>
      <c r="N197" s="409"/>
      <c r="O197" s="467"/>
      <c r="P197" s="467"/>
      <c r="Q197" s="467"/>
      <c r="R197" s="467"/>
      <c r="S197" s="467"/>
      <c r="T197" s="467"/>
      <c r="U197" s="467"/>
      <c r="V197" s="467"/>
      <c r="W197" s="467"/>
      <c r="X197" s="467"/>
      <c r="Y197" s="467"/>
      <c r="Z197" s="467"/>
    </row>
    <row r="198" spans="1:26" ht="12.75" customHeight="1">
      <c r="A198" s="409"/>
      <c r="B198" s="409"/>
      <c r="C198" s="409"/>
      <c r="D198" s="409"/>
      <c r="E198" s="409"/>
      <c r="F198" s="409"/>
      <c r="G198" s="409"/>
      <c r="H198" s="409"/>
      <c r="I198" s="409"/>
      <c r="J198" s="409"/>
      <c r="K198" s="409"/>
      <c r="L198" s="409"/>
      <c r="M198" s="409"/>
      <c r="N198" s="409"/>
      <c r="O198" s="467"/>
      <c r="P198" s="467"/>
      <c r="Q198" s="467"/>
      <c r="R198" s="467"/>
      <c r="S198" s="467"/>
      <c r="T198" s="467"/>
      <c r="U198" s="467"/>
      <c r="V198" s="467"/>
      <c r="W198" s="467"/>
      <c r="X198" s="467"/>
      <c r="Y198" s="467"/>
      <c r="Z198" s="467"/>
    </row>
    <row r="199" spans="1:26" ht="12.75" customHeight="1">
      <c r="A199" s="409"/>
      <c r="B199" s="409"/>
      <c r="C199" s="409"/>
      <c r="D199" s="409"/>
      <c r="E199" s="409"/>
      <c r="F199" s="409"/>
      <c r="G199" s="409"/>
      <c r="H199" s="409"/>
      <c r="I199" s="409"/>
      <c r="J199" s="409"/>
      <c r="K199" s="409"/>
      <c r="L199" s="409"/>
      <c r="M199" s="409"/>
      <c r="N199" s="409"/>
      <c r="O199" s="467"/>
      <c r="P199" s="467"/>
      <c r="Q199" s="467"/>
      <c r="R199" s="467"/>
      <c r="S199" s="467"/>
      <c r="T199" s="467"/>
      <c r="U199" s="467"/>
      <c r="V199" s="467"/>
      <c r="W199" s="467"/>
      <c r="X199" s="467"/>
      <c r="Y199" s="467"/>
      <c r="Z199" s="467"/>
    </row>
    <row r="200" spans="1:26" ht="12.75" customHeight="1">
      <c r="A200" s="409"/>
      <c r="B200" s="409"/>
      <c r="C200" s="409"/>
      <c r="D200" s="409"/>
      <c r="E200" s="409"/>
      <c r="F200" s="409"/>
      <c r="G200" s="409"/>
      <c r="H200" s="409"/>
      <c r="I200" s="409"/>
      <c r="J200" s="409"/>
      <c r="K200" s="409"/>
      <c r="L200" s="409"/>
      <c r="M200" s="409"/>
      <c r="N200" s="409"/>
      <c r="O200" s="467"/>
      <c r="P200" s="467"/>
      <c r="Q200" s="467"/>
      <c r="R200" s="467"/>
      <c r="S200" s="467"/>
      <c r="T200" s="467"/>
      <c r="U200" s="467"/>
      <c r="V200" s="467"/>
      <c r="W200" s="467"/>
      <c r="X200" s="467"/>
      <c r="Y200" s="467"/>
      <c r="Z200" s="467"/>
    </row>
    <row r="201" spans="1:26" ht="12.75" customHeight="1">
      <c r="A201" s="409"/>
      <c r="B201" s="409"/>
      <c r="C201" s="409"/>
      <c r="D201" s="409"/>
      <c r="E201" s="409"/>
      <c r="F201" s="409"/>
      <c r="G201" s="409"/>
      <c r="H201" s="409"/>
      <c r="I201" s="409"/>
      <c r="J201" s="409"/>
      <c r="K201" s="409"/>
      <c r="L201" s="409"/>
      <c r="M201" s="409"/>
      <c r="N201" s="409"/>
      <c r="O201" s="467"/>
      <c r="P201" s="467"/>
      <c r="Q201" s="467"/>
      <c r="R201" s="467"/>
      <c r="S201" s="467"/>
      <c r="T201" s="467"/>
      <c r="U201" s="467"/>
      <c r="V201" s="467"/>
      <c r="W201" s="467"/>
      <c r="X201" s="467"/>
      <c r="Y201" s="467"/>
      <c r="Z201" s="467"/>
    </row>
    <row r="202" spans="1:26" ht="12.75" customHeight="1">
      <c r="A202" s="409"/>
      <c r="B202" s="409"/>
      <c r="C202" s="409"/>
      <c r="D202" s="409"/>
      <c r="E202" s="409"/>
      <c r="F202" s="409"/>
      <c r="G202" s="409"/>
      <c r="H202" s="409"/>
      <c r="I202" s="409"/>
      <c r="J202" s="409"/>
      <c r="K202" s="409"/>
      <c r="L202" s="409"/>
      <c r="M202" s="409"/>
      <c r="N202" s="409"/>
      <c r="O202" s="467"/>
      <c r="P202" s="467"/>
      <c r="Q202" s="467"/>
      <c r="R202" s="467"/>
      <c r="S202" s="467"/>
      <c r="T202" s="467"/>
      <c r="U202" s="467"/>
      <c r="V202" s="467"/>
      <c r="W202" s="467"/>
      <c r="X202" s="467"/>
      <c r="Y202" s="467"/>
      <c r="Z202" s="467"/>
    </row>
    <row r="203" spans="1:26" ht="12.75" customHeight="1">
      <c r="A203" s="409"/>
      <c r="B203" s="409"/>
      <c r="C203" s="409"/>
      <c r="D203" s="409"/>
      <c r="E203" s="409"/>
      <c r="F203" s="409"/>
      <c r="G203" s="409"/>
      <c r="H203" s="409"/>
      <c r="I203" s="409"/>
      <c r="J203" s="409"/>
      <c r="K203" s="409"/>
      <c r="L203" s="409"/>
      <c r="M203" s="409"/>
      <c r="N203" s="409"/>
      <c r="O203" s="467"/>
      <c r="P203" s="467"/>
      <c r="Q203" s="467"/>
      <c r="R203" s="467"/>
      <c r="S203" s="467"/>
      <c r="T203" s="467"/>
      <c r="U203" s="467"/>
      <c r="V203" s="467"/>
      <c r="W203" s="467"/>
      <c r="X203" s="467"/>
      <c r="Y203" s="467"/>
      <c r="Z203" s="467"/>
    </row>
    <row r="204" spans="1:26" ht="12.75" customHeight="1">
      <c r="A204" s="409"/>
      <c r="B204" s="409"/>
      <c r="C204" s="409"/>
      <c r="D204" s="409"/>
      <c r="E204" s="409"/>
      <c r="F204" s="409"/>
      <c r="G204" s="409"/>
      <c r="H204" s="409"/>
      <c r="I204" s="409"/>
      <c r="J204" s="409"/>
      <c r="K204" s="409"/>
      <c r="L204" s="409"/>
      <c r="M204" s="409"/>
      <c r="N204" s="409"/>
      <c r="O204" s="467"/>
      <c r="P204" s="467"/>
      <c r="Q204" s="467"/>
      <c r="R204" s="467"/>
      <c r="S204" s="467"/>
      <c r="T204" s="467"/>
      <c r="U204" s="467"/>
      <c r="V204" s="467"/>
      <c r="W204" s="467"/>
      <c r="X204" s="467"/>
      <c r="Y204" s="467"/>
      <c r="Z204" s="467"/>
    </row>
    <row r="205" spans="1:26" ht="12.75" customHeight="1">
      <c r="A205" s="409"/>
      <c r="B205" s="409"/>
      <c r="C205" s="409"/>
      <c r="D205" s="409"/>
      <c r="E205" s="409"/>
      <c r="F205" s="409"/>
      <c r="G205" s="409"/>
      <c r="H205" s="409"/>
      <c r="I205" s="409"/>
      <c r="J205" s="409"/>
      <c r="K205" s="409"/>
      <c r="L205" s="409"/>
      <c r="M205" s="409"/>
      <c r="N205" s="409"/>
      <c r="O205" s="467"/>
      <c r="P205" s="467"/>
      <c r="Q205" s="467"/>
      <c r="R205" s="467"/>
      <c r="S205" s="467"/>
      <c r="T205" s="467"/>
      <c r="U205" s="467"/>
      <c r="V205" s="467"/>
      <c r="W205" s="467"/>
      <c r="X205" s="467"/>
      <c r="Y205" s="467"/>
      <c r="Z205" s="467"/>
    </row>
    <row r="206" spans="1:26" ht="12.75" customHeight="1">
      <c r="A206" s="409"/>
      <c r="B206" s="409"/>
      <c r="C206" s="409"/>
      <c r="D206" s="409"/>
      <c r="E206" s="409"/>
      <c r="F206" s="409"/>
      <c r="G206" s="409"/>
      <c r="H206" s="409"/>
      <c r="I206" s="409"/>
      <c r="J206" s="409"/>
      <c r="K206" s="409"/>
      <c r="L206" s="409"/>
      <c r="M206" s="409"/>
      <c r="N206" s="409"/>
      <c r="O206" s="467"/>
      <c r="P206" s="467"/>
      <c r="Q206" s="467"/>
      <c r="R206" s="467"/>
      <c r="S206" s="467"/>
      <c r="T206" s="467"/>
      <c r="U206" s="467"/>
      <c r="V206" s="467"/>
      <c r="W206" s="467"/>
      <c r="X206" s="467"/>
      <c r="Y206" s="467"/>
      <c r="Z206" s="467"/>
    </row>
    <row r="207" spans="1:26" ht="12.75" customHeight="1">
      <c r="A207" s="409"/>
      <c r="B207" s="409"/>
      <c r="C207" s="409"/>
      <c r="D207" s="409"/>
      <c r="E207" s="409"/>
      <c r="F207" s="409"/>
      <c r="G207" s="409"/>
      <c r="H207" s="409"/>
      <c r="I207" s="409"/>
      <c r="J207" s="409"/>
      <c r="K207" s="409"/>
      <c r="L207" s="409"/>
      <c r="M207" s="409"/>
      <c r="N207" s="409"/>
      <c r="O207" s="467"/>
      <c r="P207" s="467"/>
      <c r="Q207" s="467"/>
      <c r="R207" s="467"/>
      <c r="S207" s="467"/>
      <c r="T207" s="467"/>
      <c r="U207" s="467"/>
      <c r="V207" s="467"/>
      <c r="W207" s="467"/>
      <c r="X207" s="467"/>
      <c r="Y207" s="467"/>
      <c r="Z207" s="467"/>
    </row>
    <row r="208" spans="1:26" ht="12.75" customHeight="1">
      <c r="A208" s="409"/>
      <c r="B208" s="409"/>
      <c r="C208" s="409"/>
      <c r="D208" s="409"/>
      <c r="E208" s="409"/>
      <c r="F208" s="409"/>
      <c r="G208" s="409"/>
      <c r="H208" s="409"/>
      <c r="I208" s="409"/>
      <c r="J208" s="409"/>
      <c r="K208" s="409"/>
      <c r="L208" s="409"/>
      <c r="M208" s="409"/>
      <c r="N208" s="409"/>
      <c r="O208" s="467"/>
      <c r="P208" s="467"/>
      <c r="Q208" s="467"/>
      <c r="R208" s="467"/>
      <c r="S208" s="467"/>
      <c r="T208" s="467"/>
      <c r="U208" s="467"/>
      <c r="V208" s="467"/>
      <c r="W208" s="467"/>
      <c r="X208" s="467"/>
      <c r="Y208" s="467"/>
      <c r="Z208" s="467"/>
    </row>
    <row r="209" spans="1:26" ht="12.75" customHeight="1">
      <c r="A209" s="409"/>
      <c r="B209" s="409"/>
      <c r="C209" s="409"/>
      <c r="D209" s="409"/>
      <c r="E209" s="409"/>
      <c r="F209" s="409"/>
      <c r="G209" s="409"/>
      <c r="H209" s="409"/>
      <c r="I209" s="409"/>
      <c r="J209" s="409"/>
      <c r="K209" s="409"/>
      <c r="L209" s="409"/>
      <c r="M209" s="409"/>
      <c r="N209" s="409"/>
      <c r="O209" s="467"/>
      <c r="P209" s="467"/>
      <c r="Q209" s="467"/>
      <c r="R209" s="467"/>
      <c r="S209" s="467"/>
      <c r="T209" s="467"/>
      <c r="U209" s="467"/>
      <c r="V209" s="467"/>
      <c r="W209" s="467"/>
      <c r="X209" s="467"/>
      <c r="Y209" s="467"/>
      <c r="Z209" s="467"/>
    </row>
    <row r="210" spans="1:26" ht="12.75" customHeight="1">
      <c r="A210" s="409"/>
      <c r="B210" s="409"/>
      <c r="C210" s="409"/>
      <c r="D210" s="409"/>
      <c r="E210" s="409"/>
      <c r="F210" s="409"/>
      <c r="G210" s="409"/>
      <c r="H210" s="409"/>
      <c r="I210" s="409"/>
      <c r="J210" s="409"/>
      <c r="K210" s="409"/>
      <c r="L210" s="409"/>
      <c r="M210" s="409"/>
      <c r="N210" s="409"/>
      <c r="O210" s="467"/>
      <c r="P210" s="467"/>
      <c r="Q210" s="467"/>
      <c r="R210" s="467"/>
      <c r="S210" s="467"/>
      <c r="T210" s="467"/>
      <c r="U210" s="467"/>
      <c r="V210" s="467"/>
      <c r="W210" s="467"/>
      <c r="X210" s="467"/>
      <c r="Y210" s="467"/>
      <c r="Z210" s="467"/>
    </row>
    <row r="211" spans="1:26" ht="12.75" customHeight="1">
      <c r="A211" s="409"/>
      <c r="B211" s="409"/>
      <c r="C211" s="409"/>
      <c r="D211" s="409"/>
      <c r="E211" s="409"/>
      <c r="F211" s="409"/>
      <c r="G211" s="409"/>
      <c r="H211" s="409"/>
      <c r="I211" s="409"/>
      <c r="J211" s="409"/>
      <c r="K211" s="409"/>
      <c r="L211" s="409"/>
      <c r="M211" s="409"/>
      <c r="N211" s="409"/>
      <c r="O211" s="467"/>
      <c r="P211" s="467"/>
      <c r="Q211" s="467"/>
      <c r="R211" s="467"/>
      <c r="S211" s="467"/>
      <c r="T211" s="467"/>
      <c r="U211" s="467"/>
      <c r="V211" s="467"/>
      <c r="W211" s="467"/>
      <c r="X211" s="467"/>
      <c r="Y211" s="467"/>
      <c r="Z211" s="467"/>
    </row>
    <row r="212" spans="1:26" ht="12.75" customHeight="1">
      <c r="A212" s="409"/>
      <c r="B212" s="409"/>
      <c r="C212" s="409"/>
      <c r="D212" s="409"/>
      <c r="E212" s="409"/>
      <c r="F212" s="409"/>
      <c r="G212" s="409"/>
      <c r="H212" s="409"/>
      <c r="I212" s="409"/>
      <c r="J212" s="409"/>
      <c r="K212" s="409"/>
      <c r="L212" s="409"/>
      <c r="M212" s="409"/>
      <c r="N212" s="409"/>
      <c r="O212" s="467"/>
      <c r="P212" s="467"/>
      <c r="Q212" s="467"/>
      <c r="R212" s="467"/>
      <c r="S212" s="467"/>
      <c r="T212" s="467"/>
      <c r="U212" s="467"/>
      <c r="V212" s="467"/>
      <c r="W212" s="467"/>
      <c r="X212" s="467"/>
      <c r="Y212" s="467"/>
      <c r="Z212" s="467"/>
    </row>
    <row r="213" spans="1:26" ht="12.75" customHeight="1">
      <c r="A213" s="409"/>
      <c r="B213" s="409"/>
      <c r="C213" s="409"/>
      <c r="D213" s="409"/>
      <c r="E213" s="409"/>
      <c r="F213" s="409"/>
      <c r="G213" s="409"/>
      <c r="H213" s="409"/>
      <c r="I213" s="409"/>
      <c r="J213" s="409"/>
      <c r="K213" s="409"/>
      <c r="L213" s="409"/>
      <c r="M213" s="409"/>
      <c r="N213" s="409"/>
      <c r="O213" s="467"/>
      <c r="P213" s="467"/>
      <c r="Q213" s="467"/>
      <c r="R213" s="467"/>
      <c r="S213" s="467"/>
      <c r="T213" s="467"/>
      <c r="U213" s="467"/>
      <c r="V213" s="467"/>
      <c r="W213" s="467"/>
      <c r="X213" s="467"/>
      <c r="Y213" s="467"/>
      <c r="Z213" s="467"/>
    </row>
    <row r="214" spans="1:26" ht="12.75" customHeight="1">
      <c r="A214" s="409"/>
      <c r="B214" s="409"/>
      <c r="C214" s="409"/>
      <c r="D214" s="409"/>
      <c r="E214" s="409"/>
      <c r="F214" s="409"/>
      <c r="G214" s="409"/>
      <c r="H214" s="409"/>
      <c r="I214" s="409"/>
      <c r="J214" s="409"/>
      <c r="K214" s="409"/>
      <c r="L214" s="409"/>
      <c r="M214" s="409"/>
      <c r="N214" s="409"/>
      <c r="O214" s="467"/>
      <c r="P214" s="467"/>
      <c r="Q214" s="467"/>
      <c r="R214" s="467"/>
      <c r="S214" s="467"/>
      <c r="T214" s="467"/>
      <c r="U214" s="467"/>
      <c r="V214" s="467"/>
      <c r="W214" s="467"/>
      <c r="X214" s="467"/>
      <c r="Y214" s="467"/>
      <c r="Z214" s="467"/>
    </row>
    <row r="215" spans="1:26" ht="12.75" customHeight="1">
      <c r="A215" s="409"/>
      <c r="B215" s="409"/>
      <c r="C215" s="409"/>
      <c r="D215" s="409"/>
      <c r="E215" s="409"/>
      <c r="F215" s="409"/>
      <c r="G215" s="409"/>
      <c r="H215" s="409"/>
      <c r="I215" s="409"/>
      <c r="J215" s="409"/>
      <c r="K215" s="409"/>
      <c r="L215" s="409"/>
      <c r="M215" s="409"/>
      <c r="N215" s="409"/>
      <c r="O215" s="467"/>
      <c r="P215" s="467"/>
      <c r="Q215" s="467"/>
      <c r="R215" s="467"/>
      <c r="S215" s="467"/>
      <c r="T215" s="467"/>
      <c r="U215" s="467"/>
      <c r="V215" s="467"/>
      <c r="W215" s="467"/>
      <c r="X215" s="467"/>
      <c r="Y215" s="467"/>
      <c r="Z215" s="467"/>
    </row>
    <row r="216" spans="1:26" ht="12.75" customHeight="1">
      <c r="A216" s="409"/>
      <c r="B216" s="409"/>
      <c r="C216" s="409"/>
      <c r="D216" s="409"/>
      <c r="E216" s="409"/>
      <c r="F216" s="409"/>
      <c r="G216" s="409"/>
      <c r="H216" s="409"/>
      <c r="I216" s="409"/>
      <c r="J216" s="409"/>
      <c r="K216" s="409"/>
      <c r="L216" s="409"/>
      <c r="M216" s="409"/>
      <c r="N216" s="409"/>
      <c r="O216" s="467"/>
      <c r="P216" s="467"/>
      <c r="Q216" s="467"/>
      <c r="R216" s="467"/>
      <c r="S216" s="467"/>
      <c r="T216" s="467"/>
      <c r="U216" s="467"/>
      <c r="V216" s="467"/>
      <c r="W216" s="467"/>
      <c r="X216" s="467"/>
      <c r="Y216" s="467"/>
      <c r="Z216" s="467"/>
    </row>
    <row r="217" spans="1:26" ht="12.75" customHeight="1">
      <c r="A217" s="409"/>
      <c r="B217" s="409"/>
      <c r="C217" s="409"/>
      <c r="D217" s="409"/>
      <c r="E217" s="409"/>
      <c r="F217" s="409"/>
      <c r="G217" s="409"/>
      <c r="H217" s="409"/>
      <c r="I217" s="409"/>
      <c r="J217" s="409"/>
      <c r="K217" s="409"/>
      <c r="L217" s="409"/>
      <c r="M217" s="409"/>
      <c r="N217" s="409"/>
      <c r="O217" s="467"/>
      <c r="P217" s="467"/>
      <c r="Q217" s="467"/>
      <c r="R217" s="467"/>
      <c r="S217" s="467"/>
      <c r="T217" s="467"/>
      <c r="U217" s="467"/>
      <c r="V217" s="467"/>
      <c r="W217" s="467"/>
      <c r="X217" s="467"/>
      <c r="Y217" s="467"/>
      <c r="Z217" s="467"/>
    </row>
    <row r="218" spans="1:26" ht="12.75" customHeight="1">
      <c r="A218" s="409"/>
      <c r="B218" s="409"/>
      <c r="C218" s="409"/>
      <c r="D218" s="409"/>
      <c r="E218" s="409"/>
      <c r="F218" s="409"/>
      <c r="G218" s="409"/>
      <c r="H218" s="409"/>
      <c r="I218" s="409"/>
      <c r="J218" s="409"/>
      <c r="K218" s="409"/>
      <c r="L218" s="409"/>
      <c r="M218" s="409"/>
      <c r="N218" s="409"/>
      <c r="O218" s="467"/>
      <c r="P218" s="467"/>
      <c r="Q218" s="467"/>
      <c r="R218" s="467"/>
      <c r="S218" s="467"/>
      <c r="T218" s="467"/>
      <c r="U218" s="467"/>
      <c r="V218" s="467"/>
      <c r="W218" s="467"/>
      <c r="X218" s="467"/>
      <c r="Y218" s="467"/>
      <c r="Z218" s="467"/>
    </row>
    <row r="219" spans="1:26" ht="12.75" customHeight="1">
      <c r="A219" s="409"/>
      <c r="B219" s="409"/>
      <c r="C219" s="409"/>
      <c r="D219" s="409"/>
      <c r="E219" s="409"/>
      <c r="F219" s="409"/>
      <c r="G219" s="409"/>
      <c r="H219" s="409"/>
      <c r="I219" s="409"/>
      <c r="J219" s="409"/>
      <c r="K219" s="409"/>
      <c r="L219" s="409"/>
      <c r="M219" s="409"/>
      <c r="N219" s="409"/>
      <c r="O219" s="467"/>
      <c r="P219" s="467"/>
      <c r="Q219" s="467"/>
      <c r="R219" s="467"/>
      <c r="S219" s="467"/>
      <c r="T219" s="467"/>
      <c r="U219" s="467"/>
      <c r="V219" s="467"/>
      <c r="W219" s="467"/>
      <c r="X219" s="467"/>
      <c r="Y219" s="467"/>
      <c r="Z219" s="467"/>
    </row>
    <row r="220" spans="1:26" ht="12.75" customHeight="1">
      <c r="A220" s="409"/>
      <c r="B220" s="409"/>
      <c r="C220" s="409"/>
      <c r="D220" s="409"/>
      <c r="E220" s="409"/>
      <c r="F220" s="409"/>
      <c r="G220" s="409"/>
      <c r="H220" s="409"/>
      <c r="I220" s="409"/>
      <c r="J220" s="409"/>
      <c r="K220" s="409"/>
      <c r="L220" s="409"/>
      <c r="M220" s="409"/>
      <c r="N220" s="409"/>
      <c r="O220" s="467"/>
      <c r="P220" s="467"/>
      <c r="Q220" s="467"/>
      <c r="R220" s="467"/>
      <c r="S220" s="467"/>
      <c r="T220" s="467"/>
      <c r="U220" s="467"/>
      <c r="V220" s="467"/>
      <c r="W220" s="467"/>
      <c r="X220" s="467"/>
      <c r="Y220" s="467"/>
      <c r="Z220" s="467"/>
    </row>
    <row r="221" spans="1:26" ht="12.75" customHeight="1">
      <c r="A221" s="409"/>
      <c r="B221" s="409"/>
      <c r="C221" s="409"/>
      <c r="D221" s="409"/>
      <c r="E221" s="409"/>
      <c r="F221" s="409"/>
      <c r="G221" s="409"/>
      <c r="H221" s="409"/>
      <c r="I221" s="409"/>
      <c r="J221" s="409"/>
      <c r="K221" s="409"/>
      <c r="L221" s="409"/>
      <c r="M221" s="409"/>
      <c r="N221" s="409"/>
      <c r="O221" s="467"/>
      <c r="P221" s="467"/>
      <c r="Q221" s="467"/>
      <c r="R221" s="467"/>
      <c r="S221" s="467"/>
      <c r="T221" s="467"/>
      <c r="U221" s="467"/>
      <c r="V221" s="467"/>
      <c r="W221" s="467"/>
      <c r="X221" s="467"/>
      <c r="Y221" s="467"/>
      <c r="Z221" s="467"/>
    </row>
    <row r="222" spans="1:26" ht="12.75" customHeight="1">
      <c r="A222" s="409"/>
      <c r="B222" s="409"/>
      <c r="C222" s="409"/>
      <c r="D222" s="409"/>
      <c r="E222" s="409"/>
      <c r="F222" s="409"/>
      <c r="G222" s="409"/>
      <c r="H222" s="409"/>
      <c r="I222" s="409"/>
      <c r="J222" s="409"/>
      <c r="K222" s="409"/>
      <c r="L222" s="409"/>
      <c r="M222" s="409"/>
      <c r="N222" s="409"/>
      <c r="O222" s="467"/>
      <c r="P222" s="467"/>
      <c r="Q222" s="467"/>
      <c r="R222" s="467"/>
      <c r="S222" s="467"/>
      <c r="T222" s="467"/>
      <c r="U222" s="467"/>
      <c r="V222" s="467"/>
      <c r="W222" s="467"/>
      <c r="X222" s="467"/>
      <c r="Y222" s="467"/>
      <c r="Z222" s="467"/>
    </row>
    <row r="223" spans="1:26" ht="12.75" customHeight="1">
      <c r="A223" s="409"/>
      <c r="B223" s="409"/>
      <c r="C223" s="409"/>
      <c r="D223" s="409"/>
      <c r="E223" s="409"/>
      <c r="F223" s="409"/>
      <c r="G223" s="409"/>
      <c r="H223" s="409"/>
      <c r="I223" s="409"/>
      <c r="J223" s="409"/>
      <c r="K223" s="409"/>
      <c r="L223" s="409"/>
      <c r="M223" s="409"/>
      <c r="N223" s="409"/>
      <c r="O223" s="467"/>
      <c r="P223" s="467"/>
      <c r="Q223" s="467"/>
      <c r="R223" s="467"/>
      <c r="S223" s="467"/>
      <c r="T223" s="467"/>
      <c r="U223" s="467"/>
      <c r="V223" s="467"/>
      <c r="W223" s="467"/>
      <c r="X223" s="467"/>
      <c r="Y223" s="467"/>
      <c r="Z223" s="467"/>
    </row>
    <row r="224" spans="1:26" ht="12.75" customHeight="1">
      <c r="A224" s="409"/>
      <c r="B224" s="409"/>
      <c r="C224" s="409"/>
      <c r="D224" s="409"/>
      <c r="E224" s="409"/>
      <c r="F224" s="409"/>
      <c r="G224" s="409"/>
      <c r="H224" s="409"/>
      <c r="I224" s="409"/>
      <c r="J224" s="409"/>
      <c r="K224" s="409"/>
      <c r="L224" s="409"/>
      <c r="M224" s="409"/>
      <c r="N224" s="409"/>
      <c r="O224" s="467"/>
      <c r="P224" s="467"/>
      <c r="Q224" s="467"/>
      <c r="R224" s="467"/>
      <c r="S224" s="467"/>
      <c r="T224" s="467"/>
      <c r="U224" s="467"/>
      <c r="V224" s="467"/>
      <c r="W224" s="467"/>
      <c r="X224" s="467"/>
      <c r="Y224" s="467"/>
      <c r="Z224" s="467"/>
    </row>
    <row r="225" spans="1:26" ht="12.75" customHeight="1">
      <c r="A225" s="409"/>
      <c r="B225" s="409"/>
      <c r="C225" s="409"/>
      <c r="D225" s="409"/>
      <c r="E225" s="409"/>
      <c r="F225" s="409"/>
      <c r="G225" s="409"/>
      <c r="H225" s="409"/>
      <c r="I225" s="409"/>
      <c r="J225" s="409"/>
      <c r="K225" s="409"/>
      <c r="L225" s="409"/>
      <c r="M225" s="409"/>
      <c r="N225" s="409"/>
      <c r="O225" s="467"/>
      <c r="P225" s="467"/>
      <c r="Q225" s="467"/>
      <c r="R225" s="467"/>
      <c r="S225" s="467"/>
      <c r="T225" s="467"/>
      <c r="U225" s="467"/>
      <c r="V225" s="467"/>
      <c r="W225" s="467"/>
      <c r="X225" s="467"/>
      <c r="Y225" s="467"/>
      <c r="Z225" s="467"/>
    </row>
    <row r="226" spans="1:26" ht="12.75" customHeight="1">
      <c r="A226" s="409"/>
      <c r="B226" s="409"/>
      <c r="C226" s="409"/>
      <c r="D226" s="409"/>
      <c r="E226" s="409"/>
      <c r="F226" s="409"/>
      <c r="G226" s="409"/>
      <c r="H226" s="409"/>
      <c r="I226" s="409"/>
      <c r="J226" s="409"/>
      <c r="K226" s="409"/>
      <c r="L226" s="409"/>
      <c r="M226" s="409"/>
      <c r="N226" s="409"/>
      <c r="O226" s="467"/>
      <c r="P226" s="467"/>
      <c r="Q226" s="467"/>
      <c r="R226" s="467"/>
      <c r="S226" s="467"/>
      <c r="T226" s="467"/>
      <c r="U226" s="467"/>
      <c r="V226" s="467"/>
      <c r="W226" s="467"/>
      <c r="X226" s="467"/>
      <c r="Y226" s="467"/>
      <c r="Z226" s="467"/>
    </row>
    <row r="227" spans="1:26" ht="12.75" customHeight="1">
      <c r="A227" s="409"/>
      <c r="B227" s="409"/>
      <c r="C227" s="409"/>
      <c r="D227" s="409"/>
      <c r="E227" s="409"/>
      <c r="F227" s="409"/>
      <c r="G227" s="409"/>
      <c r="H227" s="409"/>
      <c r="I227" s="409"/>
      <c r="J227" s="409"/>
      <c r="K227" s="409"/>
      <c r="L227" s="409"/>
      <c r="M227" s="409"/>
      <c r="N227" s="409"/>
      <c r="O227" s="467"/>
      <c r="P227" s="467"/>
      <c r="Q227" s="467"/>
      <c r="R227" s="467"/>
      <c r="S227" s="467"/>
      <c r="T227" s="467"/>
      <c r="U227" s="467"/>
      <c r="V227" s="467"/>
      <c r="W227" s="467"/>
      <c r="X227" s="467"/>
      <c r="Y227" s="467"/>
      <c r="Z227" s="467"/>
    </row>
    <row r="228" spans="1:26" ht="12.75" customHeight="1">
      <c r="A228" s="409"/>
      <c r="B228" s="409"/>
      <c r="C228" s="409"/>
      <c r="D228" s="409"/>
      <c r="E228" s="409"/>
      <c r="F228" s="409"/>
      <c r="G228" s="409"/>
      <c r="H228" s="409"/>
      <c r="I228" s="409"/>
      <c r="J228" s="409"/>
      <c r="K228" s="409"/>
      <c r="L228" s="409"/>
      <c r="M228" s="409"/>
      <c r="N228" s="409"/>
      <c r="O228" s="467"/>
      <c r="P228" s="467"/>
      <c r="Q228" s="467"/>
      <c r="R228" s="467"/>
      <c r="S228" s="467"/>
      <c r="T228" s="467"/>
      <c r="U228" s="467"/>
      <c r="V228" s="467"/>
      <c r="W228" s="467"/>
      <c r="X228" s="467"/>
      <c r="Y228" s="467"/>
      <c r="Z228" s="467"/>
    </row>
    <row r="229" spans="1:26" ht="12.75" customHeight="1">
      <c r="A229" s="409"/>
      <c r="B229" s="409"/>
      <c r="C229" s="409"/>
      <c r="D229" s="409"/>
      <c r="E229" s="409"/>
      <c r="F229" s="409"/>
      <c r="G229" s="409"/>
      <c r="H229" s="409"/>
      <c r="I229" s="409"/>
      <c r="J229" s="409"/>
      <c r="K229" s="409"/>
      <c r="L229" s="409"/>
      <c r="M229" s="409"/>
      <c r="N229" s="409"/>
      <c r="O229" s="467"/>
      <c r="P229" s="467"/>
      <c r="Q229" s="467"/>
      <c r="R229" s="467"/>
      <c r="S229" s="467"/>
      <c r="T229" s="467"/>
      <c r="U229" s="467"/>
      <c r="V229" s="467"/>
      <c r="W229" s="467"/>
      <c r="X229" s="467"/>
      <c r="Y229" s="467"/>
      <c r="Z229" s="467"/>
    </row>
    <row r="230" spans="1:26" ht="12.75" customHeight="1">
      <c r="A230" s="409"/>
      <c r="B230" s="409"/>
      <c r="C230" s="409"/>
      <c r="D230" s="409"/>
      <c r="E230" s="409"/>
      <c r="F230" s="409"/>
      <c r="G230" s="409"/>
      <c r="H230" s="409"/>
      <c r="I230" s="409"/>
      <c r="J230" s="409"/>
      <c r="K230" s="409"/>
      <c r="L230" s="409"/>
      <c r="M230" s="409"/>
      <c r="N230" s="409"/>
      <c r="O230" s="467"/>
      <c r="P230" s="467"/>
      <c r="Q230" s="467"/>
      <c r="R230" s="467"/>
      <c r="S230" s="467"/>
      <c r="T230" s="467"/>
      <c r="U230" s="467"/>
      <c r="V230" s="467"/>
      <c r="W230" s="467"/>
      <c r="X230" s="467"/>
      <c r="Y230" s="467"/>
      <c r="Z230" s="467"/>
    </row>
    <row r="231" spans="1:26" ht="12.75" customHeight="1">
      <c r="A231" s="409"/>
      <c r="B231" s="409"/>
      <c r="C231" s="409"/>
      <c r="D231" s="409"/>
      <c r="E231" s="409"/>
      <c r="F231" s="409"/>
      <c r="G231" s="409"/>
      <c r="H231" s="409"/>
      <c r="I231" s="409"/>
      <c r="J231" s="409"/>
      <c r="K231" s="409"/>
      <c r="L231" s="409"/>
      <c r="M231" s="409"/>
      <c r="N231" s="409"/>
      <c r="O231" s="467"/>
      <c r="P231" s="467"/>
      <c r="Q231" s="467"/>
      <c r="R231" s="467"/>
      <c r="S231" s="467"/>
      <c r="T231" s="467"/>
      <c r="U231" s="467"/>
      <c r="V231" s="467"/>
      <c r="W231" s="467"/>
      <c r="X231" s="467"/>
      <c r="Y231" s="467"/>
      <c r="Z231" s="467"/>
    </row>
    <row r="232" spans="1:26" ht="12.75" customHeight="1">
      <c r="A232" s="409"/>
      <c r="B232" s="409"/>
      <c r="C232" s="409"/>
      <c r="D232" s="409"/>
      <c r="E232" s="409"/>
      <c r="F232" s="409"/>
      <c r="G232" s="409"/>
      <c r="H232" s="409"/>
      <c r="I232" s="409"/>
      <c r="J232" s="409"/>
      <c r="K232" s="409"/>
      <c r="L232" s="409"/>
      <c r="M232" s="409"/>
      <c r="N232" s="409"/>
      <c r="O232" s="467"/>
      <c r="P232" s="467"/>
      <c r="Q232" s="467"/>
      <c r="R232" s="467"/>
      <c r="S232" s="467"/>
      <c r="T232" s="467"/>
      <c r="U232" s="467"/>
      <c r="V232" s="467"/>
      <c r="W232" s="467"/>
      <c r="X232" s="467"/>
      <c r="Y232" s="467"/>
      <c r="Z232" s="467"/>
    </row>
    <row r="233" spans="1:26" ht="12.75" customHeight="1">
      <c r="A233" s="409"/>
      <c r="B233" s="409"/>
      <c r="C233" s="409"/>
      <c r="D233" s="409"/>
      <c r="E233" s="409"/>
      <c r="F233" s="409"/>
      <c r="G233" s="409"/>
      <c r="H233" s="409"/>
      <c r="I233" s="409"/>
      <c r="J233" s="409"/>
      <c r="K233" s="409"/>
      <c r="L233" s="409"/>
      <c r="M233" s="409"/>
      <c r="N233" s="409"/>
      <c r="O233" s="467"/>
      <c r="P233" s="467"/>
      <c r="Q233" s="467"/>
      <c r="R233" s="467"/>
      <c r="S233" s="467"/>
      <c r="T233" s="467"/>
      <c r="U233" s="467"/>
      <c r="V233" s="467"/>
      <c r="W233" s="467"/>
      <c r="X233" s="467"/>
      <c r="Y233" s="467"/>
      <c r="Z233" s="467"/>
    </row>
    <row r="234" spans="1:26" ht="12.75" customHeight="1">
      <c r="A234" s="409"/>
      <c r="B234" s="409"/>
      <c r="C234" s="409"/>
      <c r="D234" s="409"/>
      <c r="E234" s="409"/>
      <c r="F234" s="409"/>
      <c r="G234" s="409"/>
      <c r="H234" s="409"/>
      <c r="I234" s="409"/>
      <c r="J234" s="409"/>
      <c r="K234" s="409"/>
      <c r="L234" s="409"/>
      <c r="M234" s="409"/>
      <c r="N234" s="409"/>
      <c r="O234" s="467"/>
      <c r="P234" s="467"/>
      <c r="Q234" s="467"/>
      <c r="R234" s="467"/>
      <c r="S234" s="467"/>
      <c r="T234" s="467"/>
      <c r="U234" s="467"/>
      <c r="V234" s="467"/>
      <c r="W234" s="467"/>
      <c r="X234" s="467"/>
      <c r="Y234" s="467"/>
      <c r="Z234" s="467"/>
    </row>
    <row r="235" spans="1:26" ht="12.75" customHeight="1">
      <c r="A235" s="409"/>
      <c r="B235" s="409"/>
      <c r="C235" s="409"/>
      <c r="D235" s="409"/>
      <c r="E235" s="409"/>
      <c r="F235" s="409"/>
      <c r="G235" s="409"/>
      <c r="H235" s="409"/>
      <c r="I235" s="409"/>
      <c r="J235" s="409"/>
      <c r="K235" s="409"/>
      <c r="L235" s="409"/>
      <c r="M235" s="409"/>
      <c r="N235" s="409"/>
      <c r="O235" s="467"/>
      <c r="P235" s="467"/>
      <c r="Q235" s="467"/>
      <c r="R235" s="467"/>
      <c r="S235" s="467"/>
      <c r="T235" s="467"/>
      <c r="U235" s="467"/>
      <c r="V235" s="467"/>
      <c r="W235" s="467"/>
      <c r="X235" s="467"/>
      <c r="Y235" s="467"/>
      <c r="Z235" s="467"/>
    </row>
    <row r="236" spans="1:26" ht="12.75" customHeight="1">
      <c r="A236" s="409"/>
      <c r="B236" s="409"/>
      <c r="C236" s="409"/>
      <c r="D236" s="409"/>
      <c r="E236" s="409"/>
      <c r="F236" s="409"/>
      <c r="G236" s="409"/>
      <c r="H236" s="409"/>
      <c r="I236" s="409"/>
      <c r="J236" s="409"/>
      <c r="K236" s="409"/>
      <c r="L236" s="409"/>
      <c r="M236" s="409"/>
      <c r="N236" s="409"/>
      <c r="O236" s="467"/>
      <c r="P236" s="467"/>
      <c r="Q236" s="467"/>
      <c r="R236" s="467"/>
      <c r="S236" s="467"/>
      <c r="T236" s="467"/>
      <c r="U236" s="467"/>
      <c r="V236" s="467"/>
      <c r="W236" s="467"/>
      <c r="X236" s="467"/>
      <c r="Y236" s="467"/>
      <c r="Z236" s="467"/>
    </row>
    <row r="237" spans="1:26" ht="12.75" customHeight="1">
      <c r="A237" s="409"/>
      <c r="B237" s="409"/>
      <c r="C237" s="409"/>
      <c r="D237" s="409"/>
      <c r="E237" s="409"/>
      <c r="F237" s="409"/>
      <c r="G237" s="409"/>
      <c r="H237" s="409"/>
      <c r="I237" s="409"/>
      <c r="J237" s="409"/>
      <c r="K237" s="409"/>
      <c r="L237" s="409"/>
      <c r="M237" s="409"/>
      <c r="N237" s="409"/>
      <c r="O237" s="467"/>
      <c r="P237" s="467"/>
      <c r="Q237" s="467"/>
      <c r="R237" s="467"/>
      <c r="S237" s="467"/>
      <c r="T237" s="467"/>
      <c r="U237" s="467"/>
      <c r="V237" s="467"/>
      <c r="W237" s="467"/>
      <c r="X237" s="467"/>
      <c r="Y237" s="467"/>
      <c r="Z237" s="467"/>
    </row>
    <row r="238" spans="1:26" ht="12.75" customHeight="1">
      <c r="A238" s="409"/>
      <c r="B238" s="409"/>
      <c r="C238" s="409"/>
      <c r="D238" s="409"/>
      <c r="E238" s="409"/>
      <c r="F238" s="409"/>
      <c r="G238" s="409"/>
      <c r="H238" s="409"/>
      <c r="I238" s="409"/>
      <c r="J238" s="409"/>
      <c r="K238" s="409"/>
      <c r="L238" s="409"/>
      <c r="M238" s="409"/>
      <c r="N238" s="409"/>
      <c r="O238" s="467"/>
      <c r="P238" s="467"/>
      <c r="Q238" s="467"/>
      <c r="R238" s="467"/>
      <c r="S238" s="467"/>
      <c r="T238" s="467"/>
      <c r="U238" s="467"/>
      <c r="V238" s="467"/>
      <c r="W238" s="467"/>
      <c r="X238" s="467"/>
      <c r="Y238" s="467"/>
      <c r="Z238" s="467"/>
    </row>
    <row r="239" spans="1:26" ht="12.75" customHeight="1">
      <c r="A239" s="409"/>
      <c r="B239" s="409"/>
      <c r="C239" s="409"/>
      <c r="D239" s="409"/>
      <c r="E239" s="409"/>
      <c r="F239" s="409"/>
      <c r="G239" s="409"/>
      <c r="H239" s="409"/>
      <c r="I239" s="409"/>
      <c r="J239" s="409"/>
      <c r="K239" s="409"/>
      <c r="L239" s="409"/>
      <c r="M239" s="409"/>
      <c r="N239" s="409"/>
      <c r="O239" s="467"/>
      <c r="P239" s="467"/>
      <c r="Q239" s="467"/>
      <c r="R239" s="467"/>
      <c r="S239" s="467"/>
      <c r="T239" s="467"/>
      <c r="U239" s="467"/>
      <c r="V239" s="467"/>
      <c r="W239" s="467"/>
      <c r="X239" s="467"/>
      <c r="Y239" s="467"/>
      <c r="Z239" s="467"/>
    </row>
    <row r="240" spans="1:26" ht="12.75" customHeight="1">
      <c r="A240" s="409"/>
      <c r="B240" s="409"/>
      <c r="C240" s="409"/>
      <c r="D240" s="409"/>
      <c r="E240" s="409"/>
      <c r="F240" s="409"/>
      <c r="G240" s="409"/>
      <c r="H240" s="409"/>
      <c r="I240" s="409"/>
      <c r="J240" s="409"/>
      <c r="K240" s="409"/>
      <c r="L240" s="409"/>
      <c r="M240" s="409"/>
      <c r="N240" s="409"/>
      <c r="O240" s="467"/>
      <c r="P240" s="467"/>
      <c r="Q240" s="467"/>
      <c r="R240" s="467"/>
      <c r="S240" s="467"/>
      <c r="T240" s="467"/>
      <c r="U240" s="467"/>
      <c r="V240" s="467"/>
      <c r="W240" s="467"/>
      <c r="X240" s="467"/>
      <c r="Y240" s="467"/>
      <c r="Z240" s="467"/>
    </row>
    <row r="241" spans="1:26" ht="12.75" customHeight="1">
      <c r="A241" s="409"/>
      <c r="B241" s="409"/>
      <c r="C241" s="409"/>
      <c r="D241" s="409"/>
      <c r="E241" s="409"/>
      <c r="F241" s="409"/>
      <c r="G241" s="409"/>
      <c r="H241" s="409"/>
      <c r="I241" s="409"/>
      <c r="J241" s="409"/>
      <c r="K241" s="409"/>
      <c r="L241" s="409"/>
      <c r="M241" s="409"/>
      <c r="N241" s="409"/>
      <c r="O241" s="467"/>
      <c r="P241" s="467"/>
      <c r="Q241" s="467"/>
      <c r="R241" s="467"/>
      <c r="S241" s="467"/>
      <c r="T241" s="467"/>
      <c r="U241" s="467"/>
      <c r="V241" s="467"/>
      <c r="W241" s="467"/>
      <c r="X241" s="467"/>
      <c r="Y241" s="467"/>
      <c r="Z241" s="467"/>
    </row>
    <row r="242" spans="1:26" ht="12.75" customHeight="1">
      <c r="A242" s="409"/>
      <c r="B242" s="409"/>
      <c r="C242" s="409"/>
      <c r="D242" s="409"/>
      <c r="E242" s="409"/>
      <c r="F242" s="409"/>
      <c r="G242" s="409"/>
      <c r="H242" s="409"/>
      <c r="I242" s="409"/>
      <c r="J242" s="409"/>
      <c r="K242" s="409"/>
      <c r="L242" s="409"/>
      <c r="M242" s="409"/>
      <c r="N242" s="409"/>
      <c r="O242" s="467"/>
      <c r="P242" s="467"/>
      <c r="Q242" s="467"/>
      <c r="R242" s="467"/>
      <c r="S242" s="467"/>
      <c r="T242" s="467"/>
      <c r="U242" s="467"/>
      <c r="V242" s="467"/>
      <c r="W242" s="467"/>
      <c r="X242" s="467"/>
      <c r="Y242" s="467"/>
      <c r="Z242" s="467"/>
    </row>
    <row r="243" spans="1:26" ht="12.75" customHeight="1">
      <c r="A243" s="409"/>
      <c r="B243" s="409"/>
      <c r="C243" s="409"/>
      <c r="D243" s="409"/>
      <c r="E243" s="409"/>
      <c r="F243" s="409"/>
      <c r="G243" s="409"/>
      <c r="H243" s="409"/>
      <c r="I243" s="409"/>
      <c r="J243" s="409"/>
      <c r="K243" s="409"/>
      <c r="L243" s="409"/>
      <c r="M243" s="409"/>
      <c r="N243" s="409"/>
      <c r="O243" s="467"/>
      <c r="P243" s="467"/>
      <c r="Q243" s="467"/>
      <c r="R243" s="467"/>
      <c r="S243" s="467"/>
      <c r="T243" s="467"/>
      <c r="U243" s="467"/>
      <c r="V243" s="467"/>
      <c r="W243" s="467"/>
      <c r="X243" s="467"/>
      <c r="Y243" s="467"/>
      <c r="Z243" s="467"/>
    </row>
    <row r="244" spans="1:26" ht="12.75" customHeight="1">
      <c r="A244" s="409"/>
      <c r="B244" s="409"/>
      <c r="C244" s="409"/>
      <c r="D244" s="409"/>
      <c r="E244" s="409"/>
      <c r="F244" s="409"/>
      <c r="G244" s="409"/>
      <c r="H244" s="409"/>
      <c r="I244" s="409"/>
      <c r="J244" s="409"/>
      <c r="K244" s="409"/>
      <c r="L244" s="409"/>
      <c r="M244" s="409"/>
      <c r="N244" s="409"/>
      <c r="O244" s="467"/>
      <c r="P244" s="467"/>
      <c r="Q244" s="467"/>
      <c r="R244" s="467"/>
      <c r="S244" s="467"/>
      <c r="T244" s="467"/>
      <c r="U244" s="467"/>
      <c r="V244" s="467"/>
      <c r="W244" s="467"/>
      <c r="X244" s="467"/>
      <c r="Y244" s="467"/>
      <c r="Z244" s="467"/>
    </row>
    <row r="245" spans="1:26" ht="12.75" customHeight="1">
      <c r="A245" s="409"/>
      <c r="B245" s="409"/>
      <c r="C245" s="409"/>
      <c r="D245" s="409"/>
      <c r="E245" s="409"/>
      <c r="F245" s="409"/>
      <c r="G245" s="409"/>
      <c r="H245" s="409"/>
      <c r="I245" s="409"/>
      <c r="J245" s="409"/>
      <c r="K245" s="409"/>
      <c r="L245" s="409"/>
      <c r="M245" s="409"/>
      <c r="N245" s="409"/>
      <c r="O245" s="467"/>
      <c r="P245" s="467"/>
      <c r="Q245" s="467"/>
      <c r="R245" s="467"/>
      <c r="S245" s="467"/>
      <c r="T245" s="467"/>
      <c r="U245" s="467"/>
      <c r="V245" s="467"/>
      <c r="W245" s="467"/>
      <c r="X245" s="467"/>
      <c r="Y245" s="467"/>
      <c r="Z245" s="467"/>
    </row>
    <row r="246" spans="1:26" ht="12.75" customHeight="1">
      <c r="A246" s="409"/>
      <c r="B246" s="409"/>
      <c r="C246" s="409"/>
      <c r="D246" s="409"/>
      <c r="E246" s="409"/>
      <c r="F246" s="409"/>
      <c r="G246" s="409"/>
      <c r="H246" s="409"/>
      <c r="I246" s="409"/>
      <c r="J246" s="409"/>
      <c r="K246" s="409"/>
      <c r="L246" s="409"/>
      <c r="M246" s="409"/>
      <c r="N246" s="409"/>
      <c r="O246" s="467"/>
      <c r="P246" s="467"/>
      <c r="Q246" s="467"/>
      <c r="R246" s="467"/>
      <c r="S246" s="467"/>
      <c r="T246" s="467"/>
      <c r="U246" s="467"/>
      <c r="V246" s="467"/>
      <c r="W246" s="467"/>
      <c r="X246" s="467"/>
      <c r="Y246" s="467"/>
      <c r="Z246" s="467"/>
    </row>
    <row r="247" spans="1:26" ht="12.75" customHeight="1">
      <c r="A247" s="409"/>
      <c r="B247" s="409"/>
      <c r="C247" s="409"/>
      <c r="D247" s="409"/>
      <c r="E247" s="409"/>
      <c r="F247" s="409"/>
      <c r="G247" s="409"/>
      <c r="H247" s="409"/>
      <c r="I247" s="409"/>
      <c r="J247" s="409"/>
      <c r="K247" s="409"/>
      <c r="L247" s="409"/>
      <c r="M247" s="409"/>
      <c r="N247" s="409"/>
      <c r="O247" s="467"/>
      <c r="P247" s="467"/>
      <c r="Q247" s="467"/>
      <c r="R247" s="467"/>
      <c r="S247" s="467"/>
      <c r="T247" s="467"/>
      <c r="U247" s="467"/>
      <c r="V247" s="467"/>
      <c r="W247" s="467"/>
      <c r="X247" s="467"/>
      <c r="Y247" s="467"/>
      <c r="Z247" s="467"/>
    </row>
    <row r="248" spans="1:26" ht="12.75" customHeight="1">
      <c r="A248" s="409"/>
      <c r="B248" s="409"/>
      <c r="C248" s="409"/>
      <c r="D248" s="409"/>
      <c r="E248" s="409"/>
      <c r="F248" s="409"/>
      <c r="G248" s="409"/>
      <c r="H248" s="409"/>
      <c r="I248" s="409"/>
      <c r="J248" s="409"/>
      <c r="K248" s="409"/>
      <c r="L248" s="409"/>
      <c r="M248" s="409"/>
      <c r="N248" s="409"/>
      <c r="O248" s="467"/>
      <c r="P248" s="467"/>
      <c r="Q248" s="467"/>
      <c r="R248" s="467"/>
      <c r="S248" s="467"/>
      <c r="T248" s="467"/>
      <c r="U248" s="467"/>
      <c r="V248" s="467"/>
      <c r="W248" s="467"/>
      <c r="X248" s="467"/>
      <c r="Y248" s="467"/>
      <c r="Z248" s="467"/>
    </row>
    <row r="249" spans="1:26" ht="12.75" customHeight="1">
      <c r="A249" s="409"/>
      <c r="B249" s="409"/>
      <c r="C249" s="409"/>
      <c r="D249" s="409"/>
      <c r="E249" s="409"/>
      <c r="F249" s="409"/>
      <c r="G249" s="409"/>
      <c r="H249" s="409"/>
      <c r="I249" s="409"/>
      <c r="J249" s="409"/>
      <c r="K249" s="409"/>
      <c r="L249" s="409"/>
      <c r="M249" s="409"/>
      <c r="N249" s="409"/>
      <c r="O249" s="467"/>
      <c r="P249" s="467"/>
      <c r="Q249" s="467"/>
      <c r="R249" s="467"/>
      <c r="S249" s="467"/>
      <c r="T249" s="467"/>
      <c r="U249" s="467"/>
      <c r="V249" s="467"/>
      <c r="W249" s="467"/>
      <c r="X249" s="467"/>
      <c r="Y249" s="467"/>
      <c r="Z249" s="467"/>
    </row>
    <row r="250" spans="1:26" ht="12.75" customHeight="1">
      <c r="A250" s="409"/>
      <c r="B250" s="409"/>
      <c r="C250" s="409"/>
      <c r="D250" s="409"/>
      <c r="E250" s="409"/>
      <c r="F250" s="409"/>
      <c r="G250" s="409"/>
      <c r="H250" s="409"/>
      <c r="I250" s="409"/>
      <c r="J250" s="409"/>
      <c r="K250" s="409"/>
      <c r="L250" s="409"/>
      <c r="M250" s="409"/>
      <c r="N250" s="409"/>
      <c r="O250" s="467"/>
      <c r="P250" s="467"/>
      <c r="Q250" s="467"/>
      <c r="R250" s="467"/>
      <c r="S250" s="467"/>
      <c r="T250" s="467"/>
      <c r="U250" s="467"/>
      <c r="V250" s="467"/>
      <c r="W250" s="467"/>
      <c r="X250" s="467"/>
      <c r="Y250" s="467"/>
      <c r="Z250" s="467"/>
    </row>
    <row r="251" spans="1:26" ht="12.75" customHeight="1">
      <c r="A251" s="409"/>
      <c r="B251" s="409"/>
      <c r="C251" s="409"/>
      <c r="D251" s="409"/>
      <c r="E251" s="409"/>
      <c r="F251" s="409"/>
      <c r="G251" s="409"/>
      <c r="H251" s="409"/>
      <c r="I251" s="409"/>
      <c r="J251" s="409"/>
      <c r="K251" s="409"/>
      <c r="L251" s="409"/>
      <c r="M251" s="409"/>
      <c r="N251" s="409"/>
      <c r="O251" s="467"/>
      <c r="P251" s="467"/>
      <c r="Q251" s="467"/>
      <c r="R251" s="467"/>
      <c r="S251" s="467"/>
      <c r="T251" s="467"/>
      <c r="U251" s="467"/>
      <c r="V251" s="467"/>
      <c r="W251" s="467"/>
      <c r="X251" s="467"/>
      <c r="Y251" s="467"/>
      <c r="Z251" s="467"/>
    </row>
    <row r="252" spans="1:26" ht="12.75" customHeight="1">
      <c r="A252" s="409"/>
      <c r="B252" s="409"/>
      <c r="C252" s="409"/>
      <c r="D252" s="409"/>
      <c r="E252" s="409"/>
      <c r="F252" s="409"/>
      <c r="G252" s="409"/>
      <c r="H252" s="409"/>
      <c r="I252" s="409"/>
      <c r="J252" s="409"/>
      <c r="K252" s="409"/>
      <c r="L252" s="409"/>
      <c r="M252" s="409"/>
      <c r="N252" s="409"/>
      <c r="O252" s="467"/>
      <c r="P252" s="467"/>
      <c r="Q252" s="467"/>
      <c r="R252" s="467"/>
      <c r="S252" s="467"/>
      <c r="T252" s="467"/>
      <c r="U252" s="467"/>
      <c r="V252" s="467"/>
      <c r="W252" s="467"/>
      <c r="X252" s="467"/>
      <c r="Y252" s="467"/>
      <c r="Z252" s="467"/>
    </row>
    <row r="253" spans="1:26" ht="12.75" customHeight="1">
      <c r="A253" s="409"/>
      <c r="B253" s="409"/>
      <c r="C253" s="409"/>
      <c r="D253" s="409"/>
      <c r="E253" s="409"/>
      <c r="F253" s="409"/>
      <c r="G253" s="409"/>
      <c r="H253" s="409"/>
      <c r="I253" s="409"/>
      <c r="J253" s="409"/>
      <c r="K253" s="409"/>
      <c r="L253" s="409"/>
      <c r="M253" s="409"/>
      <c r="N253" s="409"/>
      <c r="O253" s="467"/>
      <c r="P253" s="467"/>
      <c r="Q253" s="467"/>
      <c r="R253" s="467"/>
      <c r="S253" s="467"/>
      <c r="T253" s="467"/>
      <c r="U253" s="467"/>
      <c r="V253" s="467"/>
      <c r="W253" s="467"/>
      <c r="X253" s="467"/>
      <c r="Y253" s="467"/>
      <c r="Z253" s="467"/>
    </row>
    <row r="254" spans="1:26" ht="12.75" customHeight="1">
      <c r="A254" s="409"/>
      <c r="B254" s="409"/>
      <c r="C254" s="409"/>
      <c r="D254" s="409"/>
      <c r="E254" s="409"/>
      <c r="F254" s="409"/>
      <c r="G254" s="409"/>
      <c r="H254" s="409"/>
      <c r="I254" s="409"/>
      <c r="J254" s="409"/>
      <c r="K254" s="409"/>
      <c r="L254" s="409"/>
      <c r="M254" s="409"/>
      <c r="N254" s="409"/>
      <c r="O254" s="467"/>
      <c r="P254" s="467"/>
      <c r="Q254" s="467"/>
      <c r="R254" s="467"/>
      <c r="S254" s="467"/>
      <c r="T254" s="467"/>
      <c r="U254" s="467"/>
      <c r="V254" s="467"/>
      <c r="W254" s="467"/>
      <c r="X254" s="467"/>
      <c r="Y254" s="467"/>
      <c r="Z254" s="467"/>
    </row>
    <row r="255" spans="1:26" ht="12.75" customHeight="1">
      <c r="A255" s="409"/>
      <c r="B255" s="409"/>
      <c r="C255" s="409"/>
      <c r="D255" s="409"/>
      <c r="E255" s="409"/>
      <c r="F255" s="409"/>
      <c r="G255" s="409"/>
      <c r="H255" s="409"/>
      <c r="I255" s="409"/>
      <c r="J255" s="409"/>
      <c r="K255" s="409"/>
      <c r="L255" s="409"/>
      <c r="M255" s="409"/>
      <c r="N255" s="409"/>
      <c r="O255" s="467"/>
      <c r="P255" s="467"/>
      <c r="Q255" s="467"/>
      <c r="R255" s="467"/>
      <c r="S255" s="467"/>
      <c r="T255" s="467"/>
      <c r="U255" s="467"/>
      <c r="V255" s="467"/>
      <c r="W255" s="467"/>
      <c r="X255" s="467"/>
      <c r="Y255" s="467"/>
      <c r="Z255" s="467"/>
    </row>
    <row r="256" spans="1:26" ht="12.75" customHeight="1">
      <c r="A256" s="409"/>
      <c r="B256" s="409"/>
      <c r="C256" s="409"/>
      <c r="D256" s="409"/>
      <c r="E256" s="409"/>
      <c r="F256" s="409"/>
      <c r="G256" s="409"/>
      <c r="H256" s="409"/>
      <c r="I256" s="409"/>
      <c r="J256" s="409"/>
      <c r="K256" s="409"/>
      <c r="L256" s="409"/>
      <c r="M256" s="409"/>
      <c r="N256" s="409"/>
      <c r="O256" s="467"/>
      <c r="P256" s="467"/>
      <c r="Q256" s="467"/>
      <c r="R256" s="467"/>
      <c r="S256" s="467"/>
      <c r="T256" s="467"/>
      <c r="U256" s="467"/>
      <c r="V256" s="467"/>
      <c r="W256" s="467"/>
      <c r="X256" s="467"/>
      <c r="Y256" s="467"/>
      <c r="Z256" s="467"/>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8">
    <mergeCell ref="D30:F30"/>
    <mergeCell ref="G30:H30"/>
    <mergeCell ref="I30:J30"/>
    <mergeCell ref="K30:L30"/>
    <mergeCell ref="I32:J32"/>
    <mergeCell ref="I33:J33"/>
    <mergeCell ref="K33:L33"/>
    <mergeCell ref="I37:J37"/>
    <mergeCell ref="I38:J38"/>
    <mergeCell ref="E48:G48"/>
    <mergeCell ref="E56:G56"/>
    <mergeCell ref="K38:L38"/>
    <mergeCell ref="J51:L55"/>
    <mergeCell ref="I34:J34"/>
    <mergeCell ref="K34:L34"/>
    <mergeCell ref="I35:J35"/>
    <mergeCell ref="K35:L35"/>
    <mergeCell ref="I36:J36"/>
    <mergeCell ref="K36:L36"/>
    <mergeCell ref="K37:L37"/>
    <mergeCell ref="K16:L16"/>
    <mergeCell ref="I11:J11"/>
    <mergeCell ref="K11:L11"/>
    <mergeCell ref="C2:C3"/>
    <mergeCell ref="E2:F2"/>
    <mergeCell ref="G2:H2"/>
    <mergeCell ref="I2:J2"/>
    <mergeCell ref="K2:L2"/>
    <mergeCell ref="E11:F11"/>
    <mergeCell ref="G11:H11"/>
    <mergeCell ref="E13:F13"/>
    <mergeCell ref="G13:H13"/>
    <mergeCell ref="I13:J13"/>
    <mergeCell ref="K13:L13"/>
    <mergeCell ref="I14:J14"/>
    <mergeCell ref="K14:L14"/>
    <mergeCell ref="C14:C15"/>
    <mergeCell ref="E14:F14"/>
    <mergeCell ref="G14:H14"/>
    <mergeCell ref="E18:F18"/>
    <mergeCell ref="E20:F20"/>
    <mergeCell ref="G20:H20"/>
    <mergeCell ref="I20:J20"/>
    <mergeCell ref="K20:L20"/>
    <mergeCell ref="E15:F15"/>
    <mergeCell ref="G15:H15"/>
    <mergeCell ref="E16:F16"/>
    <mergeCell ref="G16:H16"/>
    <mergeCell ref="E17:F17"/>
    <mergeCell ref="G17:H17"/>
    <mergeCell ref="G18:H18"/>
    <mergeCell ref="I17:J17"/>
    <mergeCell ref="K17:L17"/>
    <mergeCell ref="I18:J18"/>
    <mergeCell ref="K18:L18"/>
    <mergeCell ref="I15:J15"/>
    <mergeCell ref="K15:L15"/>
    <mergeCell ref="I16:J16"/>
  </mergeCells>
  <conditionalFormatting sqref="F23:F27">
    <cfRule type="cellIs" dxfId="18" priority="1" operator="notBetween">
      <formula>$I$38-($I$39*2)</formula>
      <formula>$I$38+($I$39*2)</formula>
    </cfRule>
  </conditionalFormatting>
  <conditionalFormatting sqref="E23:E27">
    <cfRule type="cellIs" dxfId="17" priority="2" operator="notBetween">
      <formula>$I$38-($I$39*2)</formula>
      <formula>$I$38+($I$39*2)</formula>
    </cfRule>
  </conditionalFormatting>
  <conditionalFormatting sqref="G23:H27">
    <cfRule type="cellIs" dxfId="16" priority="3" operator="notBetween">
      <formula>$K$38-($K$39*2)</formula>
      <formula>$K$38+($K$39*2)</formula>
    </cfRule>
  </conditionalFormatting>
  <conditionalFormatting sqref="I23:J27">
    <cfRule type="cellIs" dxfId="15" priority="4" operator="notBetween">
      <formula>$K$38-($K$39*2)</formula>
      <formula>$K$38+($K$39*2)</formula>
    </cfRule>
  </conditionalFormatting>
  <conditionalFormatting sqref="K23:L27">
    <cfRule type="cellIs" dxfId="14" priority="5" operator="notBetween">
      <formula>$K$38-($K$39*2)</formula>
      <formula>$K$38+($K$39*2)</formula>
    </cfRule>
  </conditionalFormatting>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defaultColWidth="14.453125" defaultRowHeight="15" customHeight="1"/>
  <cols>
    <col min="1" max="1" width="2.7265625" customWidth="1"/>
    <col min="2" max="2" width="12.08984375" customWidth="1"/>
    <col min="3" max="3" width="9.81640625" customWidth="1"/>
    <col min="4" max="4" width="8.08984375" customWidth="1"/>
    <col min="5" max="5" width="9.08984375" customWidth="1"/>
    <col min="6" max="11" width="11.7265625" customWidth="1"/>
    <col min="12" max="12" width="2.08984375" customWidth="1"/>
    <col min="13" max="13" width="6.08984375" hidden="1" customWidth="1"/>
    <col min="14" max="26" width="8.7265625" customWidth="1"/>
  </cols>
  <sheetData>
    <row r="1" spans="1:26" ht="13.2">
      <c r="A1" s="409"/>
      <c r="B1" s="409"/>
      <c r="C1" s="409"/>
      <c r="D1" s="409"/>
      <c r="E1" s="409"/>
      <c r="F1" s="409"/>
      <c r="G1" s="409"/>
      <c r="H1" s="409"/>
      <c r="I1" s="409"/>
      <c r="J1" s="409"/>
      <c r="K1" s="409"/>
      <c r="L1" s="409"/>
      <c r="M1" s="409"/>
      <c r="N1" s="467"/>
      <c r="O1" s="467"/>
      <c r="P1" s="467"/>
      <c r="Q1" s="467"/>
      <c r="R1" s="467"/>
      <c r="S1" s="467"/>
      <c r="T1" s="467"/>
      <c r="U1" s="467"/>
      <c r="V1" s="467"/>
      <c r="W1" s="467"/>
      <c r="X1" s="467"/>
      <c r="Y1" s="467"/>
      <c r="Z1" s="467"/>
    </row>
    <row r="2" spans="1:26" ht="13.2">
      <c r="A2" s="409"/>
      <c r="B2" s="730" t="s">
        <v>17</v>
      </c>
      <c r="C2" s="468"/>
      <c r="D2" s="729" t="str">
        <f>Ticker</f>
        <v>TSM</v>
      </c>
      <c r="E2" s="687"/>
      <c r="F2" s="729" t="str">
        <f>Comp1Ticker</f>
        <v>Texas Instruments</v>
      </c>
      <c r="G2" s="687"/>
      <c r="H2" s="729" t="str">
        <f>Comp2Ticker</f>
        <v>Intel Corporation</v>
      </c>
      <c r="I2" s="687"/>
      <c r="J2" s="729" t="str">
        <f>Comp3Ticker</f>
        <v>Broadcom</v>
      </c>
      <c r="K2" s="687"/>
      <c r="L2" s="412"/>
      <c r="M2" s="413"/>
      <c r="N2" s="467"/>
      <c r="O2" s="467"/>
      <c r="P2" s="467"/>
      <c r="Q2" s="467"/>
      <c r="R2" s="467"/>
      <c r="S2" s="467"/>
      <c r="T2" s="467"/>
      <c r="U2" s="467"/>
      <c r="V2" s="467"/>
      <c r="W2" s="467"/>
      <c r="X2" s="467"/>
      <c r="Y2" s="467"/>
      <c r="Z2" s="467"/>
    </row>
    <row r="3" spans="1:26" ht="13.2">
      <c r="A3" s="409"/>
      <c r="B3" s="713"/>
      <c r="C3" s="469" t="s">
        <v>121</v>
      </c>
      <c r="D3" s="414" t="s">
        <v>265</v>
      </c>
      <c r="E3" s="415" t="s">
        <v>266</v>
      </c>
      <c r="F3" s="413" t="s">
        <v>265</v>
      </c>
      <c r="G3" s="415" t="s">
        <v>266</v>
      </c>
      <c r="H3" s="413" t="s">
        <v>265</v>
      </c>
      <c r="I3" s="415" t="s">
        <v>266</v>
      </c>
      <c r="J3" s="413" t="s">
        <v>265</v>
      </c>
      <c r="K3" s="415" t="s">
        <v>266</v>
      </c>
      <c r="L3" s="413"/>
      <c r="M3" s="416"/>
      <c r="N3" s="467"/>
      <c r="O3" s="467"/>
      <c r="P3" s="467"/>
      <c r="Q3" s="467"/>
      <c r="R3" s="467"/>
      <c r="S3" s="467"/>
      <c r="T3" s="467"/>
      <c r="U3" s="467"/>
      <c r="V3" s="467"/>
      <c r="W3" s="467"/>
      <c r="X3" s="467"/>
      <c r="Y3" s="467"/>
      <c r="Z3" s="467"/>
    </row>
    <row r="4" spans="1:26" ht="13.2">
      <c r="A4" s="409"/>
      <c r="B4" s="417"/>
      <c r="C4" s="470"/>
      <c r="D4" s="419"/>
      <c r="E4" s="420"/>
      <c r="F4" s="419"/>
      <c r="G4" s="420"/>
      <c r="H4" s="419"/>
      <c r="I4" s="420"/>
      <c r="J4" s="419"/>
      <c r="K4" s="420"/>
      <c r="L4" s="421"/>
      <c r="M4" s="416"/>
      <c r="N4" s="467"/>
      <c r="O4" s="467"/>
      <c r="P4" s="467"/>
      <c r="Q4" s="467"/>
      <c r="R4" s="467"/>
      <c r="S4" s="467"/>
      <c r="T4" s="467"/>
      <c r="U4" s="467"/>
      <c r="V4" s="467"/>
      <c r="W4" s="467"/>
      <c r="X4" s="467"/>
      <c r="Y4" s="467"/>
      <c r="Z4" s="467"/>
    </row>
    <row r="5" spans="1:26" ht="13.2">
      <c r="A5" s="409"/>
      <c r="B5" s="414" t="s">
        <v>267</v>
      </c>
      <c r="C5" s="470">
        <f>Historical1</f>
        <v>2016</v>
      </c>
      <c r="D5" s="419">
        <f>HistPE!E5</f>
        <v>28.34</v>
      </c>
      <c r="E5" s="420">
        <f>HistPE!F5</f>
        <v>30.639999</v>
      </c>
      <c r="F5" s="419">
        <f>HistPE!G5</f>
        <v>69.92</v>
      </c>
      <c r="G5" s="420">
        <f>HistPE!H5</f>
        <v>75.150000000000006</v>
      </c>
      <c r="H5" s="419">
        <f>HistPE!I5</f>
        <v>33.56</v>
      </c>
      <c r="I5" s="420">
        <f>HistPE!J5</f>
        <v>37.35</v>
      </c>
      <c r="J5" s="419">
        <f>HistPE!K5</f>
        <v>160.62</v>
      </c>
      <c r="K5" s="420">
        <f>HistPE!L5</f>
        <v>183.99</v>
      </c>
      <c r="L5" s="409"/>
      <c r="M5" s="416"/>
      <c r="N5" s="467"/>
      <c r="O5" s="467"/>
      <c r="P5" s="467"/>
      <c r="Q5" s="467"/>
      <c r="R5" s="467"/>
      <c r="S5" s="467"/>
      <c r="T5" s="467"/>
      <c r="U5" s="467"/>
      <c r="V5" s="467"/>
      <c r="W5" s="467"/>
      <c r="X5" s="467"/>
      <c r="Y5" s="467"/>
      <c r="Z5" s="467"/>
    </row>
    <row r="6" spans="1:26" ht="13.2">
      <c r="A6" s="409"/>
      <c r="B6" s="417"/>
      <c r="C6" s="470">
        <f t="shared" ref="C6:C9" si="0">C5+1</f>
        <v>2017</v>
      </c>
      <c r="D6" s="419">
        <f>HistPE!E6</f>
        <v>28.98</v>
      </c>
      <c r="E6" s="420">
        <f>HistPE!F6</f>
        <v>43.02</v>
      </c>
      <c r="F6" s="419">
        <f>HistPE!G6</f>
        <v>72.47</v>
      </c>
      <c r="G6" s="420">
        <f>HistPE!H6</f>
        <v>105.33</v>
      </c>
      <c r="H6" s="419">
        <f>HistPE!I6</f>
        <v>33.229999999999997</v>
      </c>
      <c r="I6" s="420">
        <f>HistPE!J6</f>
        <v>47.34</v>
      </c>
      <c r="J6" s="419">
        <f>HistPE!K6</f>
        <v>173.31</v>
      </c>
      <c r="K6" s="420">
        <f>HistPE!L6</f>
        <v>285.68</v>
      </c>
      <c r="L6" s="412"/>
      <c r="M6" s="416"/>
      <c r="N6" s="467"/>
      <c r="O6" s="467"/>
      <c r="P6" s="467"/>
      <c r="Q6" s="467"/>
      <c r="R6" s="467"/>
      <c r="S6" s="467"/>
      <c r="T6" s="467"/>
      <c r="U6" s="467"/>
      <c r="V6" s="467"/>
      <c r="W6" s="467"/>
      <c r="X6" s="467"/>
      <c r="Y6" s="467"/>
      <c r="Z6" s="467"/>
    </row>
    <row r="7" spans="1:26" ht="13.2">
      <c r="A7" s="409"/>
      <c r="B7" s="417"/>
      <c r="C7" s="470">
        <f t="shared" si="0"/>
        <v>2018</v>
      </c>
      <c r="D7" s="419">
        <f>HistPE!E7</f>
        <v>35.22</v>
      </c>
      <c r="E7" s="420">
        <f>HistPE!F7</f>
        <v>46.57</v>
      </c>
      <c r="F7" s="419">
        <f>HistPE!G7</f>
        <v>87.7</v>
      </c>
      <c r="G7" s="420">
        <f>HistPE!H7</f>
        <v>120.75</v>
      </c>
      <c r="H7" s="419">
        <f>HistPE!I7</f>
        <v>42.04</v>
      </c>
      <c r="I7" s="420">
        <f>HistPE!J7</f>
        <v>57.6</v>
      </c>
      <c r="J7" s="419">
        <f>HistPE!K7</f>
        <v>197.46</v>
      </c>
      <c r="K7" s="420">
        <f>HistPE!L7</f>
        <v>274.26</v>
      </c>
      <c r="L7" s="413"/>
      <c r="M7" s="416"/>
      <c r="N7" s="467"/>
      <c r="O7" s="467"/>
      <c r="P7" s="467"/>
      <c r="Q7" s="467"/>
      <c r="R7" s="467"/>
      <c r="S7" s="467"/>
      <c r="T7" s="467"/>
      <c r="U7" s="467"/>
      <c r="V7" s="467"/>
      <c r="W7" s="467"/>
      <c r="X7" s="467"/>
      <c r="Y7" s="467"/>
      <c r="Z7" s="467"/>
    </row>
    <row r="8" spans="1:26" ht="13.2">
      <c r="A8" s="409"/>
      <c r="B8" s="417"/>
      <c r="C8" s="470">
        <f t="shared" si="0"/>
        <v>2019</v>
      </c>
      <c r="D8" s="419">
        <f>HistPE!E8</f>
        <v>34.21</v>
      </c>
      <c r="E8" s="420">
        <f>HistPE!F8</f>
        <v>59.71</v>
      </c>
      <c r="F8" s="419">
        <f>HistPE!G8</f>
        <v>88.68</v>
      </c>
      <c r="G8" s="420">
        <f>HistPE!H8</f>
        <v>132.19999999999999</v>
      </c>
      <c r="H8" s="419">
        <f>HistPE!I8</f>
        <v>42.86</v>
      </c>
      <c r="I8" s="420">
        <f>HistPE!J8</f>
        <v>60.48</v>
      </c>
      <c r="J8" s="419">
        <f>HistPE!K8</f>
        <v>230.33</v>
      </c>
      <c r="K8" s="420">
        <f>HistPE!L8</f>
        <v>331.2</v>
      </c>
      <c r="L8" s="409"/>
      <c r="M8" s="409"/>
      <c r="N8" s="467"/>
      <c r="O8" s="467"/>
      <c r="P8" s="467"/>
      <c r="Q8" s="467"/>
      <c r="R8" s="467"/>
      <c r="S8" s="467"/>
      <c r="T8" s="467"/>
      <c r="U8" s="467"/>
      <c r="V8" s="467"/>
      <c r="W8" s="467"/>
      <c r="X8" s="467"/>
      <c r="Y8" s="467"/>
      <c r="Z8" s="467"/>
    </row>
    <row r="9" spans="1:26" ht="13.2">
      <c r="A9" s="409"/>
      <c r="B9" s="417"/>
      <c r="C9" s="470">
        <f t="shared" si="0"/>
        <v>2020</v>
      </c>
      <c r="D9" s="471">
        <f>HistPE!E9</f>
        <v>42.7</v>
      </c>
      <c r="E9" s="472">
        <f>HistPE!F9</f>
        <v>109.699</v>
      </c>
      <c r="F9" s="471">
        <f>HistPE!G9</f>
        <v>93.09</v>
      </c>
      <c r="G9" s="472">
        <f>HistPE!H9</f>
        <v>167.24</v>
      </c>
      <c r="H9" s="471">
        <f>HistPE!I9</f>
        <v>43.61</v>
      </c>
      <c r="I9" s="472">
        <f>HistPE!J9</f>
        <v>69.290000000000006</v>
      </c>
      <c r="J9" s="471">
        <f>HistPE!K9</f>
        <v>155.66999999999999</v>
      </c>
      <c r="K9" s="472">
        <f>HistPE!L9</f>
        <v>438.5</v>
      </c>
      <c r="L9" s="409"/>
      <c r="M9" s="416"/>
      <c r="N9" s="467"/>
      <c r="O9" s="467"/>
      <c r="P9" s="467"/>
      <c r="Q9" s="467"/>
      <c r="R9" s="467"/>
      <c r="S9" s="467"/>
      <c r="T9" s="467"/>
      <c r="U9" s="467"/>
      <c r="V9" s="467"/>
      <c r="W9" s="467"/>
      <c r="X9" s="467"/>
      <c r="Y9" s="467"/>
      <c r="Z9" s="467"/>
    </row>
    <row r="10" spans="1:26" ht="13.2">
      <c r="A10" s="409"/>
      <c r="B10" s="417"/>
      <c r="C10" s="473"/>
      <c r="D10" s="409"/>
      <c r="E10" s="409"/>
      <c r="F10" s="409"/>
      <c r="G10" s="409"/>
      <c r="H10" s="409"/>
      <c r="I10" s="409"/>
      <c r="J10" s="409"/>
      <c r="K10" s="424"/>
      <c r="L10" s="412"/>
      <c r="M10" s="416"/>
      <c r="N10" s="467"/>
      <c r="O10" s="467"/>
      <c r="P10" s="467"/>
      <c r="Q10" s="467"/>
      <c r="R10" s="467"/>
      <c r="S10" s="467"/>
      <c r="T10" s="467"/>
      <c r="U10" s="467"/>
      <c r="V10" s="467"/>
      <c r="W10" s="467"/>
      <c r="X10" s="467"/>
      <c r="Y10" s="467"/>
      <c r="Z10" s="467"/>
    </row>
    <row r="11" spans="1:26" ht="13.2">
      <c r="A11" s="409"/>
      <c r="B11" s="410"/>
      <c r="C11" s="468"/>
      <c r="D11" s="729" t="str">
        <f>Ticker</f>
        <v>TSM</v>
      </c>
      <c r="E11" s="687"/>
      <c r="F11" s="729" t="str">
        <f>Comp1Ticker</f>
        <v>Texas Instruments</v>
      </c>
      <c r="G11" s="687"/>
      <c r="H11" s="729" t="str">
        <f>Comp2Ticker</f>
        <v>Intel Corporation</v>
      </c>
      <c r="I11" s="687"/>
      <c r="J11" s="729" t="str">
        <f>Comp3Ticker</f>
        <v>Broadcom</v>
      </c>
      <c r="K11" s="687"/>
      <c r="L11" s="413"/>
      <c r="M11" s="416"/>
      <c r="N11" s="467"/>
      <c r="O11" s="467"/>
      <c r="P11" s="467"/>
      <c r="Q11" s="467"/>
      <c r="R11" s="467"/>
      <c r="S11" s="467"/>
      <c r="T11" s="467"/>
      <c r="U11" s="467"/>
      <c r="V11" s="467"/>
      <c r="W11" s="467"/>
      <c r="X11" s="467"/>
      <c r="Y11" s="467"/>
      <c r="Z11" s="467"/>
    </row>
    <row r="12" spans="1:26" ht="13.2">
      <c r="A12" s="409"/>
      <c r="B12" s="417"/>
      <c r="C12" s="469" t="s">
        <v>121</v>
      </c>
      <c r="D12" s="745"/>
      <c r="E12" s="703"/>
      <c r="F12" s="745"/>
      <c r="G12" s="703"/>
      <c r="H12" s="745"/>
      <c r="I12" s="703"/>
      <c r="J12" s="745"/>
      <c r="K12" s="703"/>
      <c r="L12" s="425"/>
      <c r="M12" s="416"/>
      <c r="N12" s="467"/>
      <c r="O12" s="467"/>
      <c r="P12" s="467"/>
      <c r="Q12" s="467"/>
      <c r="R12" s="467"/>
      <c r="S12" s="467"/>
      <c r="T12" s="467"/>
      <c r="U12" s="467"/>
      <c r="V12" s="467"/>
      <c r="W12" s="467"/>
      <c r="X12" s="467"/>
      <c r="Y12" s="467"/>
      <c r="Z12" s="467"/>
    </row>
    <row r="13" spans="1:26" ht="13.2">
      <c r="A13" s="409"/>
      <c r="B13" s="417"/>
      <c r="C13" s="470"/>
      <c r="D13" s="743"/>
      <c r="E13" s="625"/>
      <c r="F13" s="731"/>
      <c r="G13" s="703"/>
      <c r="H13" s="731"/>
      <c r="I13" s="703"/>
      <c r="J13" s="731"/>
      <c r="K13" s="703"/>
      <c r="L13" s="409"/>
      <c r="M13" s="416"/>
      <c r="N13" s="467"/>
      <c r="O13" s="467"/>
      <c r="P13" s="467"/>
      <c r="Q13" s="467"/>
      <c r="R13" s="467"/>
      <c r="S13" s="467"/>
      <c r="T13" s="467"/>
      <c r="U13" s="467"/>
      <c r="V13" s="467"/>
      <c r="W13" s="467"/>
      <c r="X13" s="467"/>
      <c r="Y13" s="467"/>
      <c r="Z13" s="467"/>
    </row>
    <row r="14" spans="1:26" ht="12.75" customHeight="1">
      <c r="A14" s="409"/>
      <c r="B14" s="739" t="s">
        <v>303</v>
      </c>
      <c r="C14" s="470">
        <f t="shared" ref="C14:C18" si="1">C5</f>
        <v>2016</v>
      </c>
      <c r="D14" s="744">
        <v>12.15</v>
      </c>
      <c r="E14" s="625"/>
      <c r="F14" s="744">
        <v>2.71</v>
      </c>
      <c r="G14" s="625"/>
      <c r="H14" s="744">
        <v>21.05</v>
      </c>
      <c r="I14" s="625"/>
      <c r="J14" s="744">
        <v>20.190000000000001</v>
      </c>
      <c r="K14" s="703"/>
      <c r="L14" s="409"/>
      <c r="M14" s="409"/>
      <c r="N14" s="467"/>
      <c r="O14" s="467"/>
      <c r="P14" s="467"/>
      <c r="Q14" s="467"/>
      <c r="R14" s="467"/>
      <c r="S14" s="467"/>
      <c r="T14" s="467"/>
      <c r="U14" s="467"/>
      <c r="V14" s="467"/>
      <c r="W14" s="467"/>
      <c r="X14" s="467"/>
      <c r="Y14" s="467"/>
      <c r="Z14" s="467"/>
    </row>
    <row r="15" spans="1:26" ht="13.2">
      <c r="A15" s="409"/>
      <c r="B15" s="740"/>
      <c r="C15" s="470">
        <f t="shared" si="1"/>
        <v>2017</v>
      </c>
      <c r="D15" s="744">
        <v>13.71</v>
      </c>
      <c r="E15" s="703"/>
      <c r="F15" s="744">
        <v>0.21</v>
      </c>
      <c r="G15" s="703"/>
      <c r="H15" s="744">
        <v>19.23</v>
      </c>
      <c r="I15" s="703"/>
      <c r="J15" s="744">
        <v>19.93</v>
      </c>
      <c r="K15" s="703"/>
      <c r="L15" s="409"/>
      <c r="M15" s="409"/>
      <c r="N15" s="467"/>
      <c r="O15" s="467"/>
      <c r="P15" s="467"/>
      <c r="Q15" s="467"/>
      <c r="R15" s="467"/>
      <c r="S15" s="467"/>
      <c r="T15" s="467"/>
      <c r="U15" s="467"/>
      <c r="V15" s="467"/>
      <c r="W15" s="467"/>
      <c r="X15" s="467"/>
      <c r="Y15" s="467"/>
      <c r="Z15" s="467"/>
    </row>
    <row r="16" spans="1:26" ht="13.2">
      <c r="A16" s="409"/>
      <c r="B16" s="417"/>
      <c r="C16" s="470">
        <f t="shared" si="1"/>
        <v>2018</v>
      </c>
      <c r="D16" s="744">
        <v>11.2</v>
      </c>
      <c r="E16" s="703"/>
      <c r="F16" s="744">
        <v>7.62</v>
      </c>
      <c r="G16" s="703"/>
      <c r="H16" s="744">
        <v>20.2</v>
      </c>
      <c r="I16" s="703"/>
      <c r="J16" s="744">
        <v>20.2</v>
      </c>
      <c r="K16" s="703"/>
      <c r="L16" s="426"/>
      <c r="M16" s="426"/>
      <c r="N16" s="467"/>
      <c r="O16" s="467"/>
      <c r="P16" s="467"/>
      <c r="Q16" s="467"/>
      <c r="R16" s="467"/>
      <c r="S16" s="467"/>
      <c r="T16" s="467"/>
      <c r="U16" s="467"/>
      <c r="V16" s="467"/>
      <c r="W16" s="467"/>
      <c r="X16" s="467"/>
      <c r="Y16" s="467"/>
      <c r="Z16" s="467"/>
    </row>
    <row r="17" spans="1:26" ht="13.2">
      <c r="A17" s="409"/>
      <c r="B17" s="417"/>
      <c r="C17" s="470">
        <f t="shared" si="1"/>
        <v>2019</v>
      </c>
      <c r="D17" s="744">
        <v>8.93</v>
      </c>
      <c r="E17" s="703"/>
      <c r="F17" s="744">
        <v>9.1999999999999993</v>
      </c>
      <c r="G17" s="703"/>
      <c r="H17" s="744">
        <v>20.47</v>
      </c>
      <c r="I17" s="703"/>
      <c r="J17" s="744">
        <v>14.36</v>
      </c>
      <c r="K17" s="703"/>
      <c r="L17" s="427"/>
      <c r="M17" s="427"/>
      <c r="N17" s="467"/>
      <c r="O17" s="467"/>
      <c r="P17" s="467"/>
      <c r="Q17" s="467"/>
      <c r="R17" s="467"/>
      <c r="S17" s="467"/>
      <c r="T17" s="467"/>
      <c r="U17" s="467"/>
      <c r="V17" s="467"/>
      <c r="W17" s="467"/>
      <c r="X17" s="467"/>
      <c r="Y17" s="467"/>
      <c r="Z17" s="467"/>
    </row>
    <row r="18" spans="1:26" ht="13.2">
      <c r="A18" s="409"/>
      <c r="B18" s="422"/>
      <c r="C18" s="474">
        <f t="shared" si="1"/>
        <v>2020</v>
      </c>
      <c r="D18" s="746">
        <v>8.31</v>
      </c>
      <c r="E18" s="690"/>
      <c r="F18" s="746">
        <v>9.16</v>
      </c>
      <c r="G18" s="690"/>
      <c r="H18" s="746">
        <v>22.11</v>
      </c>
      <c r="I18" s="690"/>
      <c r="J18" s="746">
        <v>15.39</v>
      </c>
      <c r="K18" s="690"/>
      <c r="L18" s="427"/>
      <c r="M18" s="427"/>
      <c r="N18" s="467"/>
      <c r="O18" s="467"/>
      <c r="P18" s="467"/>
      <c r="Q18" s="467"/>
      <c r="R18" s="467"/>
      <c r="S18" s="467"/>
      <c r="T18" s="467"/>
      <c r="U18" s="467"/>
      <c r="V18" s="467"/>
      <c r="W18" s="467"/>
      <c r="X18" s="467"/>
      <c r="Y18" s="467"/>
      <c r="Z18" s="467"/>
    </row>
    <row r="19" spans="1:26" ht="13.2">
      <c r="A19" s="409"/>
      <c r="B19" s="417"/>
      <c r="C19" s="409"/>
      <c r="D19" s="409"/>
      <c r="E19" s="409"/>
      <c r="F19" s="409"/>
      <c r="G19" s="409"/>
      <c r="H19" s="409"/>
      <c r="I19" s="409"/>
      <c r="J19" s="409"/>
      <c r="K19" s="424"/>
      <c r="L19" s="427"/>
      <c r="M19" s="427"/>
      <c r="N19" s="467"/>
      <c r="O19" s="467"/>
      <c r="P19" s="467"/>
      <c r="Q19" s="467"/>
      <c r="R19" s="467"/>
      <c r="S19" s="467"/>
      <c r="T19" s="467"/>
      <c r="U19" s="467"/>
      <c r="V19" s="467"/>
      <c r="W19" s="467"/>
      <c r="X19" s="467"/>
      <c r="Y19" s="467"/>
      <c r="Z19" s="467"/>
    </row>
    <row r="20" spans="1:26" ht="13.2">
      <c r="A20" s="409"/>
      <c r="B20" s="410"/>
      <c r="C20" s="410"/>
      <c r="D20" s="729" t="str">
        <f>Ticker</f>
        <v>TSM</v>
      </c>
      <c r="E20" s="687"/>
      <c r="F20" s="729" t="str">
        <f>Comp1Ticker</f>
        <v>Texas Instruments</v>
      </c>
      <c r="G20" s="687"/>
      <c r="H20" s="729" t="str">
        <f>Comp2Ticker</f>
        <v>Intel Corporation</v>
      </c>
      <c r="I20" s="687"/>
      <c r="J20" s="729" t="str">
        <f>Comp3Ticker</f>
        <v>Broadcom</v>
      </c>
      <c r="K20" s="687"/>
      <c r="L20" s="409"/>
      <c r="M20" s="409"/>
      <c r="N20" s="467"/>
      <c r="O20" s="467"/>
      <c r="P20" s="467"/>
      <c r="Q20" s="467"/>
      <c r="R20" s="467"/>
      <c r="S20" s="467"/>
      <c r="T20" s="467"/>
      <c r="U20" s="467"/>
      <c r="V20" s="467"/>
      <c r="W20" s="467"/>
      <c r="X20" s="467"/>
      <c r="Y20" s="467"/>
      <c r="Z20" s="467"/>
    </row>
    <row r="21" spans="1:26" ht="15.75" customHeight="1">
      <c r="A21" s="409"/>
      <c r="B21" s="417"/>
      <c r="C21" s="418" t="s">
        <v>121</v>
      </c>
      <c r="D21" s="418" t="s">
        <v>265</v>
      </c>
      <c r="E21" s="432" t="s">
        <v>266</v>
      </c>
      <c r="F21" s="418" t="s">
        <v>265</v>
      </c>
      <c r="G21" s="426" t="s">
        <v>266</v>
      </c>
      <c r="H21" s="418" t="s">
        <v>265</v>
      </c>
      <c r="I21" s="426" t="s">
        <v>266</v>
      </c>
      <c r="J21" s="418" t="s">
        <v>265</v>
      </c>
      <c r="K21" s="432" t="s">
        <v>266</v>
      </c>
      <c r="L21" s="409"/>
      <c r="M21" s="409"/>
      <c r="N21" s="467"/>
      <c r="O21" s="467"/>
      <c r="P21" s="467"/>
      <c r="Q21" s="467"/>
      <c r="R21" s="467"/>
      <c r="S21" s="467"/>
      <c r="T21" s="467"/>
      <c r="U21" s="467"/>
      <c r="V21" s="467"/>
      <c r="W21" s="467"/>
      <c r="X21" s="467"/>
      <c r="Y21" s="467"/>
      <c r="Z21" s="467"/>
    </row>
    <row r="22" spans="1:26" ht="15.75" customHeight="1">
      <c r="A22" s="409"/>
      <c r="B22" s="417"/>
      <c r="C22" s="418"/>
      <c r="D22" s="433"/>
      <c r="E22" s="434"/>
      <c r="F22" s="427"/>
      <c r="G22" s="434"/>
      <c r="H22" s="427"/>
      <c r="I22" s="434"/>
      <c r="J22" s="427"/>
      <c r="K22" s="434"/>
      <c r="L22" s="409"/>
      <c r="M22" s="409"/>
      <c r="N22" s="467"/>
      <c r="O22" s="467"/>
      <c r="P22" s="467"/>
      <c r="Q22" s="467"/>
      <c r="R22" s="467"/>
      <c r="S22" s="467"/>
      <c r="T22" s="467"/>
      <c r="U22" s="467"/>
      <c r="V22" s="467"/>
      <c r="W22" s="467"/>
      <c r="X22" s="467"/>
      <c r="Y22" s="467"/>
      <c r="Z22" s="467"/>
    </row>
    <row r="23" spans="1:26" ht="15" customHeight="1">
      <c r="A23" s="409"/>
      <c r="B23" s="417"/>
      <c r="C23" s="418">
        <f t="shared" ref="C23:C27" si="2">C5</f>
        <v>2016</v>
      </c>
      <c r="D23" s="475">
        <f t="shared" ref="D23:D27" si="3">D5/D14</f>
        <v>2.3325102880658437</v>
      </c>
      <c r="E23" s="434">
        <f t="shared" ref="E23:E27" si="4">E5/D14</f>
        <v>2.5218106172839505</v>
      </c>
      <c r="F23" s="434">
        <f t="shared" ref="F23:F27" si="5">F5/F14</f>
        <v>25.800738007380076</v>
      </c>
      <c r="G23" s="434">
        <f t="shared" ref="G23:G27" si="6">G5/F14</f>
        <v>27.730627306273064</v>
      </c>
      <c r="H23" s="434">
        <f t="shared" ref="H23:H27" si="7">H5/H14</f>
        <v>1.5942992874109265</v>
      </c>
      <c r="I23" s="434">
        <f t="shared" ref="I23:I27" si="8">I5/H14</f>
        <v>1.7743467933491686</v>
      </c>
      <c r="J23" s="434">
        <f t="shared" ref="J23:J27" si="9">J5/J14</f>
        <v>7.9554234769687966</v>
      </c>
      <c r="K23" s="434">
        <f t="shared" ref="K23:K27" si="10">K5/J14</f>
        <v>9.1129271916790486</v>
      </c>
      <c r="L23" s="409"/>
      <c r="M23" s="409"/>
      <c r="N23" s="467"/>
      <c r="O23" s="467"/>
      <c r="P23" s="467"/>
      <c r="Q23" s="467"/>
      <c r="R23" s="467"/>
      <c r="S23" s="467"/>
      <c r="T23" s="467"/>
      <c r="U23" s="467"/>
      <c r="V23" s="467"/>
      <c r="W23" s="467"/>
      <c r="X23" s="467"/>
      <c r="Y23" s="467"/>
      <c r="Z23" s="467"/>
    </row>
    <row r="24" spans="1:26" ht="15.75" customHeight="1">
      <c r="A24" s="409"/>
      <c r="B24" s="414" t="s">
        <v>304</v>
      </c>
      <c r="C24" s="418">
        <f t="shared" si="2"/>
        <v>2017</v>
      </c>
      <c r="D24" s="476">
        <f t="shared" si="3"/>
        <v>2.113785557986871</v>
      </c>
      <c r="E24" s="436">
        <f t="shared" si="4"/>
        <v>3.1378555798687091</v>
      </c>
      <c r="F24" s="436">
        <f t="shared" si="5"/>
        <v>345.09523809523813</v>
      </c>
      <c r="G24" s="436">
        <f t="shared" si="6"/>
        <v>501.57142857142856</v>
      </c>
      <c r="H24" s="436">
        <f t="shared" si="7"/>
        <v>1.7280291211648464</v>
      </c>
      <c r="I24" s="436">
        <f t="shared" si="8"/>
        <v>2.4617784711388455</v>
      </c>
      <c r="J24" s="436">
        <f t="shared" si="9"/>
        <v>8.6959357752132469</v>
      </c>
      <c r="K24" s="436">
        <f t="shared" si="10"/>
        <v>14.334169593577522</v>
      </c>
      <c r="L24" s="409"/>
      <c r="M24" s="409"/>
      <c r="N24" s="467"/>
      <c r="O24" s="467"/>
      <c r="P24" s="467"/>
      <c r="Q24" s="467"/>
      <c r="R24" s="467"/>
      <c r="S24" s="467"/>
      <c r="T24" s="467"/>
      <c r="U24" s="467"/>
      <c r="V24" s="467"/>
      <c r="W24" s="467"/>
      <c r="X24" s="467"/>
      <c r="Y24" s="467"/>
      <c r="Z24" s="467"/>
    </row>
    <row r="25" spans="1:26" ht="15.75" customHeight="1">
      <c r="A25" s="409"/>
      <c r="B25" s="414"/>
      <c r="C25" s="418">
        <f t="shared" si="2"/>
        <v>2018</v>
      </c>
      <c r="D25" s="475">
        <f t="shared" si="3"/>
        <v>3.1446428571428573</v>
      </c>
      <c r="E25" s="434">
        <f t="shared" si="4"/>
        <v>4.1580357142857149</v>
      </c>
      <c r="F25" s="434">
        <f t="shared" si="5"/>
        <v>11.509186351706036</v>
      </c>
      <c r="G25" s="434">
        <f t="shared" si="6"/>
        <v>15.846456692913385</v>
      </c>
      <c r="H25" s="434">
        <f t="shared" si="7"/>
        <v>2.0811881188118813</v>
      </c>
      <c r="I25" s="434">
        <f t="shared" si="8"/>
        <v>2.8514851485148518</v>
      </c>
      <c r="J25" s="434">
        <f t="shared" si="9"/>
        <v>9.7752475247524764</v>
      </c>
      <c r="K25" s="434">
        <f t="shared" si="10"/>
        <v>13.577227722772276</v>
      </c>
      <c r="L25" s="409"/>
      <c r="M25" s="409"/>
      <c r="N25" s="467"/>
      <c r="O25" s="467"/>
      <c r="P25" s="467"/>
      <c r="Q25" s="467"/>
      <c r="R25" s="467"/>
      <c r="S25" s="467"/>
      <c r="T25" s="467"/>
      <c r="U25" s="467"/>
      <c r="V25" s="467"/>
      <c r="W25" s="467"/>
      <c r="X25" s="467"/>
      <c r="Y25" s="467"/>
      <c r="Z25" s="467"/>
    </row>
    <row r="26" spans="1:26" ht="15.75" customHeight="1">
      <c r="A26" s="409"/>
      <c r="B26" s="414"/>
      <c r="C26" s="418">
        <f t="shared" si="2"/>
        <v>2019</v>
      </c>
      <c r="D26" s="476">
        <f t="shared" si="3"/>
        <v>3.8309070548712207</v>
      </c>
      <c r="E26" s="436">
        <f t="shared" si="4"/>
        <v>6.686450167973125</v>
      </c>
      <c r="F26" s="436">
        <f t="shared" si="5"/>
        <v>9.6391304347826097</v>
      </c>
      <c r="G26" s="436">
        <f t="shared" si="6"/>
        <v>14.369565217391305</v>
      </c>
      <c r="H26" s="436">
        <f t="shared" si="7"/>
        <v>2.0937957987298486</v>
      </c>
      <c r="I26" s="436">
        <f t="shared" si="8"/>
        <v>2.9545676599902295</v>
      </c>
      <c r="J26" s="436">
        <f t="shared" si="9"/>
        <v>16.039693593314766</v>
      </c>
      <c r="K26" s="436">
        <f t="shared" si="10"/>
        <v>23.064066852367688</v>
      </c>
      <c r="L26" s="409"/>
      <c r="M26" s="409"/>
      <c r="N26" s="467"/>
      <c r="O26" s="467"/>
      <c r="P26" s="467"/>
      <c r="Q26" s="467"/>
      <c r="R26" s="467"/>
      <c r="S26" s="467"/>
      <c r="T26" s="467"/>
      <c r="U26" s="467"/>
      <c r="V26" s="467"/>
      <c r="W26" s="467"/>
      <c r="X26" s="467"/>
      <c r="Y26" s="467"/>
      <c r="Z26" s="467"/>
    </row>
    <row r="27" spans="1:26" ht="15.75" customHeight="1">
      <c r="A27" s="409"/>
      <c r="B27" s="417"/>
      <c r="C27" s="428">
        <f t="shared" si="2"/>
        <v>2020</v>
      </c>
      <c r="D27" s="477">
        <f t="shared" si="3"/>
        <v>5.1383874849578817</v>
      </c>
      <c r="E27" s="438">
        <f t="shared" si="4"/>
        <v>13.20084235860409</v>
      </c>
      <c r="F27" s="438">
        <f t="shared" si="5"/>
        <v>10.162663755458516</v>
      </c>
      <c r="G27" s="438">
        <f t="shared" si="6"/>
        <v>18.257641921397379</v>
      </c>
      <c r="H27" s="438">
        <f t="shared" si="7"/>
        <v>1.9724106739032112</v>
      </c>
      <c r="I27" s="438">
        <f t="shared" si="8"/>
        <v>3.1338760741745819</v>
      </c>
      <c r="J27" s="438">
        <f t="shared" si="9"/>
        <v>10.115009746588692</v>
      </c>
      <c r="K27" s="438">
        <f t="shared" si="10"/>
        <v>28.49252761533463</v>
      </c>
      <c r="L27" s="409"/>
      <c r="M27" s="409"/>
      <c r="N27" s="467"/>
      <c r="O27" s="467"/>
      <c r="P27" s="467"/>
      <c r="Q27" s="467"/>
      <c r="R27" s="467"/>
      <c r="S27" s="467"/>
      <c r="T27" s="467"/>
      <c r="U27" s="467"/>
      <c r="V27" s="467"/>
      <c r="W27" s="467"/>
      <c r="X27" s="467"/>
      <c r="Y27" s="467"/>
      <c r="Z27" s="467"/>
    </row>
    <row r="28" spans="1:26" ht="15.75" customHeight="1">
      <c r="A28" s="409"/>
      <c r="B28" s="422"/>
      <c r="C28" s="440" t="s">
        <v>47</v>
      </c>
      <c r="D28" s="441">
        <f t="shared" ref="D28:K28" si="11">AVERAGE(D22:D27)</f>
        <v>3.3120466486049351</v>
      </c>
      <c r="E28" s="442">
        <f t="shared" si="11"/>
        <v>5.9409988876031177</v>
      </c>
      <c r="F28" s="441">
        <f t="shared" si="11"/>
        <v>80.44139132891307</v>
      </c>
      <c r="G28" s="442">
        <f t="shared" si="11"/>
        <v>115.55514394188074</v>
      </c>
      <c r="H28" s="441">
        <f t="shared" si="11"/>
        <v>1.8939446000041429</v>
      </c>
      <c r="I28" s="442">
        <f t="shared" si="11"/>
        <v>2.6352108294335355</v>
      </c>
      <c r="J28" s="441">
        <f t="shared" si="11"/>
        <v>10.516262023367595</v>
      </c>
      <c r="K28" s="442">
        <f t="shared" si="11"/>
        <v>17.716183795146232</v>
      </c>
      <c r="L28" s="409"/>
      <c r="M28" s="409"/>
      <c r="N28" s="467"/>
      <c r="O28" s="467"/>
      <c r="P28" s="467"/>
      <c r="Q28" s="467"/>
      <c r="R28" s="467"/>
      <c r="S28" s="467"/>
      <c r="T28" s="467"/>
      <c r="U28" s="467"/>
      <c r="V28" s="467"/>
      <c r="W28" s="467"/>
      <c r="X28" s="467"/>
      <c r="Y28" s="467"/>
      <c r="Z28" s="467"/>
    </row>
    <row r="29" spans="1:26" ht="15.75" customHeight="1">
      <c r="A29" s="409"/>
      <c r="B29" s="417"/>
      <c r="C29" s="409"/>
      <c r="D29" s="409"/>
      <c r="E29" s="409"/>
      <c r="F29" s="409"/>
      <c r="G29" s="409"/>
      <c r="H29" s="409"/>
      <c r="I29" s="409"/>
      <c r="J29" s="409"/>
      <c r="K29" s="424"/>
      <c r="L29" s="427"/>
      <c r="M29" s="427"/>
      <c r="N29" s="467"/>
      <c r="O29" s="467"/>
      <c r="P29" s="467"/>
      <c r="Q29" s="467"/>
      <c r="R29" s="467"/>
      <c r="S29" s="467"/>
      <c r="T29" s="467"/>
      <c r="U29" s="467"/>
      <c r="V29" s="467"/>
      <c r="W29" s="467"/>
      <c r="X29" s="467"/>
      <c r="Y29" s="467"/>
      <c r="Z29" s="467"/>
    </row>
    <row r="30" spans="1:26" ht="15.75" customHeight="1">
      <c r="A30" s="409"/>
      <c r="B30" s="417"/>
      <c r="C30" s="725" t="s">
        <v>270</v>
      </c>
      <c r="D30" s="656"/>
      <c r="E30" s="608"/>
      <c r="F30" s="725" t="str">
        <f>Ticker&amp;" Relative P/TBV"</f>
        <v>TSM Relative P/TBV</v>
      </c>
      <c r="G30" s="608"/>
      <c r="H30" s="725" t="str">
        <f>Ticker&amp;" Average P/TBV"</f>
        <v>TSM Average P/TBV</v>
      </c>
      <c r="I30" s="608"/>
      <c r="J30" s="725" t="s">
        <v>305</v>
      </c>
      <c r="K30" s="608"/>
      <c r="L30" s="443"/>
      <c r="M30" s="443"/>
      <c r="N30" s="467"/>
      <c r="O30" s="467"/>
      <c r="P30" s="467"/>
      <c r="Q30" s="467"/>
      <c r="R30" s="467"/>
      <c r="S30" s="467"/>
      <c r="T30" s="467"/>
      <c r="U30" s="467"/>
      <c r="V30" s="467"/>
      <c r="W30" s="467"/>
      <c r="X30" s="467"/>
      <c r="Y30" s="467"/>
      <c r="Z30" s="467"/>
    </row>
    <row r="31" spans="1:26" ht="15.75" customHeight="1">
      <c r="A31" s="409"/>
      <c r="B31" s="417"/>
      <c r="C31" s="429" t="s">
        <v>121</v>
      </c>
      <c r="D31" s="429" t="s">
        <v>272</v>
      </c>
      <c r="E31" s="415" t="s">
        <v>266</v>
      </c>
      <c r="F31" s="413" t="s">
        <v>272</v>
      </c>
      <c r="G31" s="415" t="s">
        <v>266</v>
      </c>
      <c r="H31" s="409"/>
      <c r="I31" s="444"/>
      <c r="J31" s="409"/>
      <c r="K31" s="424"/>
      <c r="L31" s="409"/>
      <c r="M31" s="409"/>
      <c r="N31" s="467"/>
      <c r="O31" s="467"/>
      <c r="P31" s="467"/>
      <c r="Q31" s="467"/>
      <c r="R31" s="467"/>
      <c r="S31" s="467"/>
      <c r="T31" s="467"/>
      <c r="U31" s="467"/>
      <c r="V31" s="467"/>
      <c r="W31" s="467"/>
      <c r="X31" s="467"/>
      <c r="Y31" s="467"/>
      <c r="Z31" s="467"/>
    </row>
    <row r="32" spans="1:26" ht="15.75" customHeight="1">
      <c r="A32" s="409"/>
      <c r="B32" s="417"/>
      <c r="C32" s="418"/>
      <c r="D32" s="445"/>
      <c r="E32" s="446"/>
      <c r="F32" s="409"/>
      <c r="G32" s="424"/>
      <c r="H32" s="737"/>
      <c r="I32" s="703"/>
      <c r="J32" s="409"/>
      <c r="K32" s="424"/>
      <c r="L32" s="409"/>
      <c r="M32" s="409"/>
      <c r="N32" s="467"/>
      <c r="O32" s="467"/>
      <c r="P32" s="467"/>
      <c r="Q32" s="467"/>
      <c r="R32" s="467"/>
      <c r="S32" s="467"/>
      <c r="T32" s="467"/>
      <c r="U32" s="467"/>
      <c r="V32" s="467"/>
      <c r="W32" s="467"/>
      <c r="X32" s="467"/>
      <c r="Y32" s="467"/>
      <c r="Z32" s="467"/>
    </row>
    <row r="33" spans="1:26" ht="15.75" customHeight="1">
      <c r="A33" s="409"/>
      <c r="B33" s="417"/>
      <c r="C33" s="418">
        <f t="shared" ref="C33:C37" si="12">C5</f>
        <v>2016</v>
      </c>
      <c r="D33" s="445">
        <f t="shared" ref="D33:D37" si="13">AVERAGE(F23,H23,J23)</f>
        <v>11.783486923919932</v>
      </c>
      <c r="E33" s="446">
        <f t="shared" ref="E33:E34" si="14">AVERAGE(G23,K23)</f>
        <v>18.421777248976056</v>
      </c>
      <c r="F33" s="447">
        <f t="shared" ref="F33:G33" si="15">D23/D33</f>
        <v>0.19794737356825642</v>
      </c>
      <c r="G33" s="436">
        <f t="shared" si="15"/>
        <v>0.13689290578215635</v>
      </c>
      <c r="H33" s="737">
        <f t="shared" ref="H33:H37" si="16">AVERAGE(D23:E23)</f>
        <v>2.4271604526748973</v>
      </c>
      <c r="I33" s="703"/>
      <c r="J33" s="737">
        <f t="shared" ref="J33:J37" si="17">AVERAGE(D33:E33)</f>
        <v>15.102632086447993</v>
      </c>
      <c r="K33" s="703"/>
      <c r="L33" s="409"/>
      <c r="M33" s="409"/>
      <c r="N33" s="467"/>
      <c r="O33" s="467"/>
      <c r="P33" s="467"/>
      <c r="Q33" s="467"/>
      <c r="R33" s="467"/>
      <c r="S33" s="467"/>
      <c r="T33" s="467"/>
      <c r="U33" s="467"/>
      <c r="V33" s="467"/>
      <c r="W33" s="467"/>
      <c r="X33" s="467"/>
      <c r="Y33" s="467"/>
      <c r="Z33" s="467"/>
    </row>
    <row r="34" spans="1:26" ht="15.75" customHeight="1">
      <c r="A34" s="409"/>
      <c r="B34" s="417"/>
      <c r="C34" s="418">
        <f t="shared" si="12"/>
        <v>2017</v>
      </c>
      <c r="D34" s="445">
        <f t="shared" si="13"/>
        <v>118.5064009972054</v>
      </c>
      <c r="E34" s="446">
        <f t="shared" si="14"/>
        <v>257.95279908250302</v>
      </c>
      <c r="F34" s="447">
        <f t="shared" ref="F34:G34" si="18">D24/D34</f>
        <v>1.7836889317368754E-2</v>
      </c>
      <c r="G34" s="436">
        <f t="shared" si="18"/>
        <v>1.2164456408418754E-2</v>
      </c>
      <c r="H34" s="737">
        <f t="shared" si="16"/>
        <v>2.6258205689277903</v>
      </c>
      <c r="I34" s="703"/>
      <c r="J34" s="737">
        <f t="shared" si="17"/>
        <v>188.2296000398542</v>
      </c>
      <c r="K34" s="703"/>
      <c r="L34" s="409"/>
      <c r="M34" s="409"/>
      <c r="N34" s="467"/>
      <c r="O34" s="467"/>
      <c r="P34" s="467"/>
      <c r="Q34" s="467"/>
      <c r="R34" s="467"/>
      <c r="S34" s="467"/>
      <c r="T34" s="467"/>
      <c r="U34" s="467"/>
      <c r="V34" s="467"/>
      <c r="W34" s="467"/>
      <c r="X34" s="467"/>
      <c r="Y34" s="467"/>
      <c r="Z34" s="467"/>
    </row>
    <row r="35" spans="1:26" ht="15.75" customHeight="1">
      <c r="A35" s="409"/>
      <c r="B35" s="417"/>
      <c r="C35" s="418">
        <f t="shared" si="12"/>
        <v>2018</v>
      </c>
      <c r="D35" s="445">
        <f t="shared" si="13"/>
        <v>7.7885406650901317</v>
      </c>
      <c r="E35" s="446">
        <f t="shared" ref="E35:E37" si="19">AVERAGE(G25,I25,K25)</f>
        <v>10.758389854733503</v>
      </c>
      <c r="F35" s="447">
        <f t="shared" ref="F35:G35" si="20">D25/D35</f>
        <v>0.40375251184574334</v>
      </c>
      <c r="G35" s="436">
        <f t="shared" si="20"/>
        <v>0.38649238133494968</v>
      </c>
      <c r="H35" s="737">
        <f t="shared" si="16"/>
        <v>3.6513392857142861</v>
      </c>
      <c r="I35" s="703"/>
      <c r="J35" s="737">
        <f t="shared" si="17"/>
        <v>9.2734652599118164</v>
      </c>
      <c r="K35" s="703"/>
      <c r="L35" s="409"/>
      <c r="M35" s="409"/>
      <c r="N35" s="467"/>
      <c r="O35" s="467"/>
      <c r="P35" s="467"/>
      <c r="Q35" s="467"/>
      <c r="R35" s="467"/>
      <c r="S35" s="467"/>
      <c r="T35" s="467"/>
      <c r="U35" s="467"/>
      <c r="V35" s="467"/>
      <c r="W35" s="467"/>
      <c r="X35" s="467"/>
      <c r="Y35" s="467"/>
      <c r="Z35" s="467"/>
    </row>
    <row r="36" spans="1:26" ht="15.75" customHeight="1">
      <c r="A36" s="409"/>
      <c r="B36" s="417"/>
      <c r="C36" s="418">
        <f t="shared" si="12"/>
        <v>2019</v>
      </c>
      <c r="D36" s="445">
        <f t="shared" si="13"/>
        <v>9.2575399422757414</v>
      </c>
      <c r="E36" s="446">
        <f t="shared" si="19"/>
        <v>13.462733243249739</v>
      </c>
      <c r="F36" s="447">
        <f t="shared" ref="F36:G36" si="21">D26/D36</f>
        <v>0.4138148016382725</v>
      </c>
      <c r="G36" s="436">
        <f t="shared" si="21"/>
        <v>0.49666364527617263</v>
      </c>
      <c r="H36" s="737">
        <f t="shared" si="16"/>
        <v>5.2586786114221731</v>
      </c>
      <c r="I36" s="703"/>
      <c r="J36" s="737">
        <f t="shared" si="17"/>
        <v>11.360136592762739</v>
      </c>
      <c r="K36" s="703"/>
      <c r="L36" s="409"/>
      <c r="M36" s="409"/>
      <c r="N36" s="467"/>
      <c r="O36" s="467"/>
      <c r="P36" s="467"/>
      <c r="Q36" s="467"/>
      <c r="R36" s="467"/>
      <c r="S36" s="467"/>
      <c r="T36" s="467"/>
      <c r="U36" s="467"/>
      <c r="V36" s="467"/>
      <c r="W36" s="467"/>
      <c r="X36" s="467"/>
      <c r="Y36" s="467"/>
      <c r="Z36" s="467"/>
    </row>
    <row r="37" spans="1:26" ht="15.75" customHeight="1">
      <c r="A37" s="409"/>
      <c r="B37" s="417"/>
      <c r="C37" s="418">
        <f t="shared" si="12"/>
        <v>2020</v>
      </c>
      <c r="D37" s="448">
        <f t="shared" si="13"/>
        <v>7.4166947253168063</v>
      </c>
      <c r="E37" s="446">
        <f t="shared" si="19"/>
        <v>16.628015203635531</v>
      </c>
      <c r="F37" s="447">
        <f t="shared" ref="F37:G37" si="22">D27/D37</f>
        <v>0.69281366906177921</v>
      </c>
      <c r="G37" s="436">
        <f t="shared" si="22"/>
        <v>0.79389164593245454</v>
      </c>
      <c r="H37" s="737">
        <f t="shared" si="16"/>
        <v>9.1696149217809868</v>
      </c>
      <c r="I37" s="703"/>
      <c r="J37" s="737">
        <f t="shared" si="17"/>
        <v>12.022354964476168</v>
      </c>
      <c r="K37" s="703"/>
      <c r="L37" s="409"/>
      <c r="M37" s="409"/>
      <c r="N37" s="467"/>
      <c r="O37" s="467"/>
      <c r="P37" s="467"/>
      <c r="Q37" s="467"/>
      <c r="R37" s="467"/>
      <c r="S37" s="467"/>
      <c r="T37" s="467"/>
      <c r="U37" s="467"/>
      <c r="V37" s="467"/>
      <c r="W37" s="467"/>
      <c r="X37" s="467"/>
      <c r="Y37" s="467"/>
      <c r="Z37" s="467"/>
    </row>
    <row r="38" spans="1:26" ht="15.75" customHeight="1">
      <c r="A38" s="409"/>
      <c r="B38" s="417"/>
      <c r="C38" s="411" t="s">
        <v>47</v>
      </c>
      <c r="D38" s="449">
        <f t="shared" ref="D38:G38" si="23">AVERAGE(D32:D37)</f>
        <v>30.950532650761602</v>
      </c>
      <c r="E38" s="449">
        <f t="shared" si="23"/>
        <v>63.444742926619561</v>
      </c>
      <c r="F38" s="450">
        <f t="shared" si="23"/>
        <v>0.34523304908628405</v>
      </c>
      <c r="G38" s="451">
        <f t="shared" si="23"/>
        <v>0.36522100694683035</v>
      </c>
      <c r="H38" s="733">
        <f>AVERAGE(H33:I37)</f>
        <v>4.6265227681040262</v>
      </c>
      <c r="I38" s="608"/>
      <c r="J38" s="733">
        <f>AVERAGE(J33:K37)</f>
        <v>47.197637788690578</v>
      </c>
      <c r="K38" s="608"/>
      <c r="L38" s="409"/>
      <c r="M38" s="409"/>
      <c r="N38" s="467"/>
      <c r="O38" s="467"/>
      <c r="P38" s="467"/>
      <c r="Q38" s="467"/>
      <c r="R38" s="467"/>
      <c r="S38" s="467"/>
      <c r="T38" s="467"/>
      <c r="U38" s="467"/>
      <c r="V38" s="467"/>
      <c r="W38" s="467"/>
      <c r="X38" s="467"/>
      <c r="Y38" s="467"/>
      <c r="Z38" s="467"/>
    </row>
    <row r="39" spans="1:26" ht="15.75" customHeight="1">
      <c r="A39" s="409"/>
      <c r="B39" s="417"/>
      <c r="C39" s="409"/>
      <c r="D39" s="409"/>
      <c r="E39" s="409"/>
      <c r="F39" s="409"/>
      <c r="G39" s="409" t="s">
        <v>273</v>
      </c>
      <c r="H39" s="409">
        <f>_xlfn.STDEV.S(H33:I37)</f>
        <v>2.7762517012910881</v>
      </c>
      <c r="I39" s="409"/>
      <c r="J39" s="409">
        <f>_xlfn.STDEV.S(J33:K37)</f>
        <v>78.866934838316141</v>
      </c>
      <c r="K39" s="424"/>
      <c r="L39" s="409"/>
      <c r="M39" s="409"/>
      <c r="N39" s="467"/>
      <c r="O39" s="467"/>
      <c r="P39" s="467"/>
      <c r="Q39" s="467"/>
      <c r="R39" s="467"/>
      <c r="S39" s="467"/>
      <c r="T39" s="467"/>
      <c r="U39" s="467"/>
      <c r="V39" s="467"/>
      <c r="W39" s="467"/>
      <c r="X39" s="467"/>
      <c r="Y39" s="467"/>
      <c r="Z39" s="467"/>
    </row>
    <row r="40" spans="1:26" ht="15.75" customHeight="1">
      <c r="A40" s="409"/>
      <c r="B40" s="417"/>
      <c r="C40" s="409"/>
      <c r="D40" s="409"/>
      <c r="E40" s="409"/>
      <c r="F40" s="409"/>
      <c r="G40" s="409"/>
      <c r="H40" s="409"/>
      <c r="I40" s="409"/>
      <c r="J40" s="409"/>
      <c r="K40" s="424"/>
      <c r="L40" s="409"/>
      <c r="M40" s="409"/>
      <c r="N40" s="467"/>
      <c r="O40" s="467"/>
      <c r="P40" s="467"/>
      <c r="Q40" s="467"/>
      <c r="R40" s="467"/>
      <c r="S40" s="467"/>
      <c r="T40" s="467"/>
      <c r="U40" s="467"/>
      <c r="V40" s="467"/>
      <c r="W40" s="467"/>
      <c r="X40" s="467"/>
      <c r="Y40" s="467"/>
      <c r="Z40" s="467"/>
    </row>
    <row r="41" spans="1:26" ht="15.75" customHeight="1">
      <c r="A41" s="409"/>
      <c r="B41" s="417"/>
      <c r="C41" s="409"/>
      <c r="D41" s="409"/>
      <c r="E41" s="409"/>
      <c r="F41" s="452" t="s">
        <v>275</v>
      </c>
      <c r="G41" s="453"/>
      <c r="H41" s="409"/>
      <c r="I41" s="409"/>
      <c r="J41" s="409"/>
      <c r="K41" s="424"/>
      <c r="L41" s="409"/>
      <c r="M41" s="409"/>
      <c r="N41" s="467"/>
      <c r="O41" s="467"/>
      <c r="P41" s="467"/>
      <c r="Q41" s="467"/>
      <c r="R41" s="467"/>
      <c r="S41" s="467"/>
      <c r="T41" s="467"/>
      <c r="U41" s="467"/>
      <c r="V41" s="467"/>
      <c r="W41" s="467"/>
      <c r="X41" s="467"/>
      <c r="Y41" s="467"/>
      <c r="Z41" s="467"/>
    </row>
    <row r="42" spans="1:26" ht="15.75" customHeight="1">
      <c r="A42" s="409"/>
      <c r="B42" s="417"/>
      <c r="C42" s="409"/>
      <c r="D42" s="409"/>
      <c r="E42" s="409"/>
      <c r="F42" s="454" t="s">
        <v>276</v>
      </c>
      <c r="G42" s="455">
        <f>AVERAGE(D38:E38)</f>
        <v>47.197637788690585</v>
      </c>
      <c r="H42" s="409"/>
      <c r="I42" s="409"/>
      <c r="J42" s="409"/>
      <c r="K42" s="424"/>
      <c r="L42" s="409"/>
      <c r="M42" s="409"/>
      <c r="N42" s="467"/>
      <c r="O42" s="467"/>
      <c r="P42" s="467"/>
      <c r="Q42" s="467"/>
      <c r="R42" s="467"/>
      <c r="S42" s="467"/>
      <c r="T42" s="467"/>
      <c r="U42" s="467"/>
      <c r="V42" s="467"/>
      <c r="W42" s="467"/>
      <c r="X42" s="467"/>
      <c r="Y42" s="467"/>
      <c r="Z42" s="467"/>
    </row>
    <row r="43" spans="1:26" ht="15.75" customHeight="1">
      <c r="A43" s="409"/>
      <c r="B43" s="417"/>
      <c r="C43" s="409"/>
      <c r="D43" s="409"/>
      <c r="E43" s="409"/>
      <c r="F43" s="454" t="s">
        <v>277</v>
      </c>
      <c r="G43" s="456">
        <f>AVERAGE(D28:E28)</f>
        <v>4.6265227681040262</v>
      </c>
      <c r="H43" s="409"/>
      <c r="I43" s="412"/>
      <c r="J43" s="409"/>
      <c r="K43" s="424"/>
      <c r="L43" s="409"/>
      <c r="M43" s="409"/>
      <c r="N43" s="467"/>
      <c r="O43" s="467"/>
      <c r="P43" s="467"/>
      <c r="Q43" s="467"/>
      <c r="R43" s="467"/>
      <c r="S43" s="467"/>
      <c r="T43" s="467"/>
      <c r="U43" s="467"/>
      <c r="V43" s="467"/>
      <c r="W43" s="467"/>
      <c r="X43" s="467"/>
      <c r="Y43" s="467"/>
      <c r="Z43" s="467"/>
    </row>
    <row r="44" spans="1:26" ht="15.75" customHeight="1">
      <c r="A44" s="409"/>
      <c r="B44" s="417"/>
      <c r="C44" s="409"/>
      <c r="D44" s="409"/>
      <c r="E44" s="409"/>
      <c r="F44" s="454"/>
      <c r="G44" s="456"/>
      <c r="H44" s="409"/>
      <c r="I44" s="409"/>
      <c r="J44" s="409"/>
      <c r="K44" s="424"/>
      <c r="L44" s="409"/>
      <c r="M44" s="409"/>
      <c r="N44" s="467"/>
      <c r="O44" s="467"/>
      <c r="P44" s="467"/>
      <c r="Q44" s="467"/>
      <c r="R44" s="467"/>
      <c r="S44" s="467"/>
      <c r="T44" s="467"/>
      <c r="U44" s="467"/>
      <c r="V44" s="467"/>
      <c r="W44" s="467"/>
      <c r="X44" s="467"/>
      <c r="Y44" s="467"/>
      <c r="Z44" s="467"/>
    </row>
    <row r="45" spans="1:26" ht="15.75" customHeight="1">
      <c r="A45" s="409"/>
      <c r="B45" s="417"/>
      <c r="C45" s="409"/>
      <c r="D45" s="409"/>
      <c r="E45" s="409"/>
      <c r="F45" s="454" t="s">
        <v>306</v>
      </c>
      <c r="G45" s="456">
        <f>AVERAGE(G43,G42)</f>
        <v>25.912080278397305</v>
      </c>
      <c r="H45" s="409"/>
      <c r="I45" s="409"/>
      <c r="J45" s="409"/>
      <c r="K45" s="424"/>
      <c r="L45" s="409"/>
      <c r="M45" s="409"/>
      <c r="N45" s="467"/>
      <c r="O45" s="467"/>
      <c r="P45" s="467"/>
      <c r="Q45" s="467"/>
      <c r="R45" s="467"/>
      <c r="S45" s="467"/>
      <c r="T45" s="467"/>
      <c r="U45" s="467"/>
      <c r="V45" s="467"/>
      <c r="W45" s="467"/>
      <c r="X45" s="467"/>
      <c r="Y45" s="467"/>
      <c r="Z45" s="467"/>
    </row>
    <row r="46" spans="1:26" ht="15.75" customHeight="1">
      <c r="A46" s="409"/>
      <c r="B46" s="417"/>
      <c r="C46" s="409"/>
      <c r="D46" s="409"/>
      <c r="E46" s="409"/>
      <c r="F46" s="409"/>
      <c r="G46" s="409"/>
      <c r="H46" s="409"/>
      <c r="I46" s="409"/>
      <c r="J46" s="409"/>
      <c r="K46" s="424"/>
      <c r="L46" s="409"/>
      <c r="M46" s="409"/>
      <c r="N46" s="467"/>
      <c r="O46" s="467"/>
      <c r="P46" s="467"/>
      <c r="Q46" s="467"/>
      <c r="R46" s="467"/>
      <c r="S46" s="467"/>
      <c r="T46" s="467"/>
      <c r="U46" s="467"/>
      <c r="V46" s="467"/>
      <c r="W46" s="467"/>
      <c r="X46" s="467"/>
      <c r="Y46" s="467"/>
      <c r="Z46" s="467"/>
    </row>
    <row r="47" spans="1:26" ht="15.75" customHeight="1">
      <c r="A47" s="409"/>
      <c r="B47" s="417"/>
      <c r="C47" s="409"/>
      <c r="D47" s="409"/>
      <c r="E47" s="409"/>
      <c r="F47" s="458" t="s">
        <v>307</v>
      </c>
      <c r="G47" s="459">
        <f>Summary!F18/Summary!K9</f>
        <v>1.7210678196186586</v>
      </c>
      <c r="H47" s="409"/>
      <c r="I47" s="409"/>
      <c r="J47" s="409"/>
      <c r="K47" s="424"/>
      <c r="L47" s="409"/>
      <c r="M47" s="409"/>
      <c r="N47" s="467"/>
      <c r="O47" s="467"/>
      <c r="P47" s="467"/>
      <c r="Q47" s="467"/>
      <c r="R47" s="467"/>
      <c r="S47" s="467"/>
      <c r="T47" s="467"/>
      <c r="U47" s="467"/>
      <c r="V47" s="467"/>
      <c r="W47" s="467"/>
      <c r="X47" s="467"/>
      <c r="Y47" s="467"/>
      <c r="Z47" s="467"/>
    </row>
    <row r="48" spans="1:26" ht="15.75" customHeight="1">
      <c r="A48" s="409"/>
      <c r="B48" s="417"/>
      <c r="C48" s="409"/>
      <c r="D48" s="738" t="s">
        <v>308</v>
      </c>
      <c r="E48" s="625"/>
      <c r="F48" s="625"/>
      <c r="G48" s="460" t="e">
        <f>BS!J74</f>
        <v>#REF!</v>
      </c>
      <c r="H48" s="409"/>
      <c r="I48" s="734" t="s">
        <v>309</v>
      </c>
      <c r="J48" s="673"/>
      <c r="K48" s="735"/>
      <c r="L48" s="409"/>
      <c r="M48" s="409"/>
      <c r="N48" s="467"/>
      <c r="O48" s="467"/>
      <c r="P48" s="467"/>
      <c r="Q48" s="467"/>
      <c r="R48" s="467"/>
      <c r="S48" s="467"/>
      <c r="T48" s="467"/>
      <c r="U48" s="467"/>
      <c r="V48" s="467"/>
      <c r="W48" s="467"/>
      <c r="X48" s="467"/>
      <c r="Y48" s="467"/>
      <c r="Z48" s="467"/>
    </row>
    <row r="49" spans="1:26" ht="15.75" customHeight="1">
      <c r="A49" s="409"/>
      <c r="B49" s="417"/>
      <c r="C49" s="409"/>
      <c r="D49" s="409"/>
      <c r="E49" s="409"/>
      <c r="F49" s="409"/>
      <c r="G49" s="416"/>
      <c r="H49" s="409"/>
      <c r="I49" s="675"/>
      <c r="J49" s="625"/>
      <c r="K49" s="703"/>
      <c r="L49" s="409"/>
      <c r="M49" s="409"/>
      <c r="N49" s="467"/>
      <c r="O49" s="467"/>
      <c r="P49" s="467"/>
      <c r="Q49" s="467"/>
      <c r="R49" s="467"/>
      <c r="S49" s="467"/>
      <c r="T49" s="467"/>
      <c r="U49" s="467"/>
      <c r="V49" s="467"/>
      <c r="W49" s="467"/>
      <c r="X49" s="467"/>
      <c r="Y49" s="467"/>
      <c r="Z49" s="467"/>
    </row>
    <row r="50" spans="1:26" ht="15.75" customHeight="1">
      <c r="A50" s="409"/>
      <c r="B50" s="417"/>
      <c r="C50" s="409"/>
      <c r="D50" s="453"/>
      <c r="E50" s="453"/>
      <c r="F50" s="458" t="s">
        <v>310</v>
      </c>
      <c r="G50" s="460" t="e">
        <f>G47*G48</f>
        <v>#REF!</v>
      </c>
      <c r="H50" s="409"/>
      <c r="I50" s="675"/>
      <c r="J50" s="625"/>
      <c r="K50" s="703"/>
      <c r="L50" s="409"/>
      <c r="M50" s="409"/>
      <c r="N50" s="467"/>
      <c r="O50" s="467"/>
      <c r="P50" s="467"/>
      <c r="Q50" s="467"/>
      <c r="R50" s="467"/>
      <c r="S50" s="467"/>
      <c r="T50" s="467"/>
      <c r="U50" s="467"/>
      <c r="V50" s="467"/>
      <c r="W50" s="467"/>
      <c r="X50" s="467"/>
      <c r="Y50" s="467"/>
      <c r="Z50" s="467"/>
    </row>
    <row r="51" spans="1:26" ht="12.75" customHeight="1">
      <c r="A51" s="409"/>
      <c r="B51" s="417"/>
      <c r="C51" s="409"/>
      <c r="D51" s="462"/>
      <c r="E51" s="409"/>
      <c r="F51" s="463" t="s">
        <v>282</v>
      </c>
      <c r="G51" s="460" t="e">
        <f>G42*G48</f>
        <v>#REF!</v>
      </c>
      <c r="H51" s="409"/>
      <c r="I51" s="675"/>
      <c r="J51" s="625"/>
      <c r="K51" s="703"/>
      <c r="L51" s="409"/>
      <c r="M51" s="409"/>
      <c r="N51" s="467"/>
      <c r="O51" s="467"/>
      <c r="P51" s="467"/>
      <c r="Q51" s="467"/>
      <c r="R51" s="467"/>
      <c r="S51" s="467"/>
      <c r="T51" s="467"/>
      <c r="U51" s="467"/>
      <c r="V51" s="467"/>
      <c r="W51" s="467"/>
      <c r="X51" s="467"/>
      <c r="Y51" s="467"/>
      <c r="Z51" s="467"/>
    </row>
    <row r="52" spans="1:26" ht="15.75" customHeight="1">
      <c r="A52" s="409"/>
      <c r="B52" s="417"/>
      <c r="C52" s="409"/>
      <c r="D52" s="462"/>
      <c r="E52" s="409"/>
      <c r="F52" s="409"/>
      <c r="G52" s="464"/>
      <c r="H52" s="409"/>
      <c r="I52" s="675"/>
      <c r="J52" s="625"/>
      <c r="K52" s="703"/>
      <c r="L52" s="409"/>
      <c r="M52" s="409"/>
      <c r="N52" s="467"/>
      <c r="O52" s="467"/>
      <c r="P52" s="467"/>
      <c r="Q52" s="467"/>
      <c r="R52" s="467"/>
      <c r="S52" s="467"/>
      <c r="T52" s="467"/>
      <c r="U52" s="467"/>
      <c r="V52" s="467"/>
      <c r="W52" s="467"/>
      <c r="X52" s="467"/>
      <c r="Y52" s="467"/>
      <c r="Z52" s="467"/>
    </row>
    <row r="53" spans="1:26" ht="15.75" customHeight="1">
      <c r="A53" s="409"/>
      <c r="B53" s="417"/>
      <c r="C53" s="409"/>
      <c r="D53" s="462"/>
      <c r="E53" s="409"/>
      <c r="F53" s="458" t="s">
        <v>283</v>
      </c>
      <c r="G53" s="460" t="e">
        <f>G43*G48</f>
        <v>#REF!</v>
      </c>
      <c r="H53" s="409"/>
      <c r="I53" s="675"/>
      <c r="J53" s="625"/>
      <c r="K53" s="703"/>
      <c r="L53" s="409"/>
      <c r="M53" s="409"/>
      <c r="N53" s="467"/>
      <c r="O53" s="467"/>
      <c r="P53" s="467"/>
      <c r="Q53" s="467"/>
      <c r="R53" s="467"/>
      <c r="S53" s="467"/>
      <c r="T53" s="467"/>
      <c r="U53" s="467"/>
      <c r="V53" s="467"/>
      <c r="W53" s="467"/>
      <c r="X53" s="467"/>
      <c r="Y53" s="467"/>
      <c r="Z53" s="467"/>
    </row>
    <row r="54" spans="1:26" ht="15.75" customHeight="1">
      <c r="A54" s="409"/>
      <c r="B54" s="417"/>
      <c r="C54" s="409"/>
      <c r="D54" s="409"/>
      <c r="E54" s="409"/>
      <c r="F54" s="458" t="s">
        <v>284</v>
      </c>
      <c r="G54" s="460" t="e">
        <f>G44*G48</f>
        <v>#REF!</v>
      </c>
      <c r="H54" s="409"/>
      <c r="I54" s="675"/>
      <c r="J54" s="625"/>
      <c r="K54" s="703"/>
      <c r="L54" s="409"/>
      <c r="M54" s="409"/>
      <c r="N54" s="467"/>
      <c r="O54" s="467"/>
      <c r="P54" s="467"/>
      <c r="Q54" s="467"/>
      <c r="R54" s="467"/>
      <c r="S54" s="467"/>
      <c r="T54" s="467"/>
      <c r="U54" s="467"/>
      <c r="V54" s="467"/>
      <c r="W54" s="467"/>
      <c r="X54" s="467"/>
      <c r="Y54" s="467"/>
      <c r="Z54" s="467"/>
    </row>
    <row r="55" spans="1:26" ht="15.75" customHeight="1">
      <c r="A55" s="409"/>
      <c r="B55" s="417"/>
      <c r="C55" s="409"/>
      <c r="D55" s="462"/>
      <c r="E55" s="462"/>
      <c r="F55" s="462"/>
      <c r="G55" s="409"/>
      <c r="H55" s="409"/>
      <c r="I55" s="675"/>
      <c r="J55" s="625"/>
      <c r="K55" s="703"/>
      <c r="L55" s="409"/>
      <c r="M55" s="409"/>
      <c r="N55" s="467"/>
      <c r="O55" s="467"/>
      <c r="P55" s="467"/>
      <c r="Q55" s="467"/>
      <c r="R55" s="467"/>
      <c r="S55" s="467"/>
      <c r="T55" s="467"/>
      <c r="U55" s="467"/>
      <c r="V55" s="467"/>
      <c r="W55" s="467"/>
      <c r="X55" s="467"/>
      <c r="Y55" s="467"/>
      <c r="Z55" s="467"/>
    </row>
    <row r="56" spans="1:26" ht="15.75" customHeight="1">
      <c r="A56" s="409"/>
      <c r="B56" s="417"/>
      <c r="C56" s="409"/>
      <c r="D56" s="732" t="s">
        <v>311</v>
      </c>
      <c r="E56" s="625"/>
      <c r="F56" s="625"/>
      <c r="G56" s="465" t="e">
        <f>G45*G48</f>
        <v>#REF!</v>
      </c>
      <c r="H56" s="409"/>
      <c r="I56" s="677"/>
      <c r="J56" s="678"/>
      <c r="K56" s="736"/>
      <c r="L56" s="409"/>
      <c r="M56" s="409"/>
      <c r="N56" s="467"/>
      <c r="O56" s="467"/>
      <c r="P56" s="467"/>
      <c r="Q56" s="467"/>
      <c r="R56" s="467"/>
      <c r="S56" s="467"/>
      <c r="T56" s="467"/>
      <c r="U56" s="467"/>
      <c r="V56" s="467"/>
      <c r="W56" s="467"/>
      <c r="X56" s="467"/>
      <c r="Y56" s="467"/>
      <c r="Z56" s="467"/>
    </row>
    <row r="57" spans="1:26" ht="15.75" customHeight="1">
      <c r="A57" s="409"/>
      <c r="B57" s="422"/>
      <c r="C57" s="466"/>
      <c r="D57" s="466"/>
      <c r="E57" s="466"/>
      <c r="F57" s="466"/>
      <c r="G57" s="466"/>
      <c r="H57" s="466"/>
      <c r="I57" s="466"/>
      <c r="J57" s="466"/>
      <c r="K57" s="423"/>
      <c r="L57" s="409"/>
      <c r="M57" s="409"/>
      <c r="N57" s="467"/>
      <c r="O57" s="467"/>
      <c r="P57" s="467"/>
      <c r="Q57" s="467"/>
      <c r="R57" s="467"/>
      <c r="S57" s="467"/>
      <c r="T57" s="467"/>
      <c r="U57" s="467"/>
      <c r="V57" s="467"/>
      <c r="W57" s="467"/>
      <c r="X57" s="467"/>
      <c r="Y57" s="467"/>
      <c r="Z57" s="467"/>
    </row>
    <row r="58" spans="1:26" ht="15.75" customHeight="1">
      <c r="A58" s="409"/>
      <c r="B58" s="409"/>
      <c r="C58" s="409"/>
      <c r="D58" s="409"/>
      <c r="E58" s="409"/>
      <c r="F58" s="409"/>
      <c r="G58" s="409"/>
      <c r="H58" s="409"/>
      <c r="I58" s="409"/>
      <c r="J58" s="409"/>
      <c r="K58" s="409"/>
      <c r="L58" s="409"/>
      <c r="M58" s="409"/>
      <c r="N58" s="467"/>
      <c r="O58" s="467"/>
      <c r="P58" s="467"/>
      <c r="Q58" s="467"/>
      <c r="R58" s="467"/>
      <c r="S58" s="467"/>
      <c r="T58" s="467"/>
      <c r="U58" s="467"/>
      <c r="V58" s="467"/>
      <c r="W58" s="467"/>
      <c r="X58" s="467"/>
      <c r="Y58" s="467"/>
      <c r="Z58" s="467"/>
    </row>
    <row r="59" spans="1:26" ht="15.75" customHeight="1">
      <c r="A59" s="409"/>
      <c r="B59" s="409"/>
      <c r="C59" s="409"/>
      <c r="D59" s="409"/>
      <c r="E59" s="409"/>
      <c r="F59" s="409"/>
      <c r="G59" s="409"/>
      <c r="H59" s="409"/>
      <c r="I59" s="409"/>
      <c r="J59" s="409"/>
      <c r="K59" s="409"/>
      <c r="L59" s="409"/>
      <c r="M59" s="409"/>
      <c r="N59" s="467"/>
      <c r="O59" s="467"/>
      <c r="P59" s="467"/>
      <c r="Q59" s="467"/>
      <c r="R59" s="467"/>
      <c r="S59" s="467"/>
      <c r="T59" s="467"/>
      <c r="U59" s="467"/>
      <c r="V59" s="467"/>
      <c r="W59" s="467"/>
      <c r="X59" s="467"/>
      <c r="Y59" s="467"/>
      <c r="Z59" s="467"/>
    </row>
    <row r="60" spans="1:26" ht="15.75" customHeight="1">
      <c r="A60" s="409"/>
      <c r="B60" s="409"/>
      <c r="C60" s="409"/>
      <c r="D60" s="409"/>
      <c r="E60" s="409"/>
      <c r="F60" s="409"/>
      <c r="G60" s="409"/>
      <c r="H60" s="409"/>
      <c r="I60" s="409"/>
      <c r="J60" s="409"/>
      <c r="K60" s="409"/>
      <c r="L60" s="409"/>
      <c r="M60" s="409"/>
      <c r="N60" s="467"/>
      <c r="O60" s="467"/>
      <c r="P60" s="467"/>
      <c r="Q60" s="467"/>
      <c r="R60" s="467"/>
      <c r="S60" s="467"/>
      <c r="T60" s="467"/>
      <c r="U60" s="467"/>
      <c r="V60" s="467"/>
      <c r="W60" s="467"/>
      <c r="X60" s="467"/>
      <c r="Y60" s="467"/>
      <c r="Z60" s="467"/>
    </row>
    <row r="61" spans="1:26" ht="15.75" customHeight="1">
      <c r="A61" s="409"/>
      <c r="B61" s="409"/>
      <c r="C61" s="409"/>
      <c r="D61" s="409"/>
      <c r="E61" s="409"/>
      <c r="F61" s="409"/>
      <c r="G61" s="409"/>
      <c r="H61" s="409"/>
      <c r="I61" s="409"/>
      <c r="J61" s="409"/>
      <c r="K61" s="409"/>
      <c r="L61" s="409"/>
      <c r="M61" s="409"/>
      <c r="N61" s="467"/>
      <c r="O61" s="467"/>
      <c r="P61" s="467"/>
      <c r="Q61" s="467"/>
      <c r="R61" s="467"/>
      <c r="S61" s="467"/>
      <c r="T61" s="467"/>
      <c r="U61" s="467"/>
      <c r="V61" s="467"/>
      <c r="W61" s="467"/>
      <c r="X61" s="467"/>
      <c r="Y61" s="467"/>
      <c r="Z61" s="467"/>
    </row>
    <row r="62" spans="1:26" ht="15.75" customHeight="1">
      <c r="A62" s="409"/>
      <c r="B62" s="409"/>
      <c r="C62" s="409"/>
      <c r="D62" s="409"/>
      <c r="E62" s="409"/>
      <c r="F62" s="409"/>
      <c r="G62" s="409"/>
      <c r="H62" s="409"/>
      <c r="I62" s="409"/>
      <c r="J62" s="409"/>
      <c r="K62" s="409"/>
      <c r="L62" s="409"/>
      <c r="M62" s="409"/>
      <c r="N62" s="467"/>
      <c r="O62" s="467"/>
      <c r="P62" s="467"/>
      <c r="Q62" s="467"/>
      <c r="R62" s="467"/>
      <c r="S62" s="467"/>
      <c r="T62" s="467"/>
      <c r="U62" s="467"/>
      <c r="V62" s="467"/>
      <c r="W62" s="467"/>
      <c r="X62" s="467"/>
      <c r="Y62" s="467"/>
      <c r="Z62" s="467"/>
    </row>
    <row r="63" spans="1:26" ht="15.75" customHeight="1">
      <c r="A63" s="409"/>
      <c r="B63" s="409"/>
      <c r="C63" s="409"/>
      <c r="D63" s="409"/>
      <c r="E63" s="409"/>
      <c r="F63" s="409"/>
      <c r="G63" s="409"/>
      <c r="H63" s="409"/>
      <c r="I63" s="409"/>
      <c r="J63" s="409"/>
      <c r="K63" s="409"/>
      <c r="L63" s="409"/>
      <c r="M63" s="409"/>
      <c r="N63" s="467"/>
      <c r="O63" s="467"/>
      <c r="P63" s="467"/>
      <c r="Q63" s="467"/>
      <c r="R63" s="467"/>
      <c r="S63" s="467"/>
      <c r="T63" s="467"/>
      <c r="U63" s="467"/>
      <c r="V63" s="467"/>
      <c r="W63" s="467"/>
      <c r="X63" s="467"/>
      <c r="Y63" s="467"/>
      <c r="Z63" s="467"/>
    </row>
    <row r="64" spans="1:26" ht="15.75" customHeight="1">
      <c r="A64" s="409"/>
      <c r="B64" s="409"/>
      <c r="C64" s="409"/>
      <c r="D64" s="409"/>
      <c r="E64" s="409"/>
      <c r="F64" s="409"/>
      <c r="G64" s="409"/>
      <c r="H64" s="409"/>
      <c r="I64" s="409"/>
      <c r="J64" s="409"/>
      <c r="K64" s="409"/>
      <c r="L64" s="409"/>
      <c r="M64" s="409"/>
      <c r="N64" s="467"/>
      <c r="O64" s="467"/>
      <c r="P64" s="467"/>
      <c r="Q64" s="467"/>
      <c r="R64" s="467"/>
      <c r="S64" s="467"/>
      <c r="T64" s="467"/>
      <c r="U64" s="467"/>
      <c r="V64" s="467"/>
      <c r="W64" s="467"/>
      <c r="X64" s="467"/>
      <c r="Y64" s="467"/>
      <c r="Z64" s="467"/>
    </row>
    <row r="65" spans="1:26" ht="15.75" customHeight="1">
      <c r="A65" s="409"/>
      <c r="B65" s="409"/>
      <c r="C65" s="409"/>
      <c r="D65" s="409"/>
      <c r="E65" s="409"/>
      <c r="F65" s="409"/>
      <c r="G65" s="409"/>
      <c r="H65" s="409"/>
      <c r="I65" s="409"/>
      <c r="J65" s="409"/>
      <c r="K65" s="409"/>
      <c r="L65" s="409"/>
      <c r="M65" s="409"/>
      <c r="N65" s="467"/>
      <c r="O65" s="467"/>
      <c r="P65" s="467"/>
      <c r="Q65" s="467"/>
      <c r="R65" s="467"/>
      <c r="S65" s="467"/>
      <c r="T65" s="467"/>
      <c r="U65" s="467"/>
      <c r="V65" s="467"/>
      <c r="W65" s="467"/>
      <c r="X65" s="467"/>
      <c r="Y65" s="467"/>
      <c r="Z65" s="467"/>
    </row>
    <row r="66" spans="1:26" ht="15.75" customHeight="1">
      <c r="A66" s="409"/>
      <c r="B66" s="409"/>
      <c r="C66" s="409"/>
      <c r="D66" s="409"/>
      <c r="E66" s="409"/>
      <c r="F66" s="409"/>
      <c r="G66" s="409"/>
      <c r="H66" s="409"/>
      <c r="I66" s="409"/>
      <c r="J66" s="409"/>
      <c r="K66" s="409"/>
      <c r="L66" s="409"/>
      <c r="M66" s="409"/>
      <c r="N66" s="467"/>
      <c r="O66" s="467"/>
      <c r="P66" s="467"/>
      <c r="Q66" s="467"/>
      <c r="R66" s="467"/>
      <c r="S66" s="467"/>
      <c r="T66" s="467"/>
      <c r="U66" s="467"/>
      <c r="V66" s="467"/>
      <c r="W66" s="467"/>
      <c r="X66" s="467"/>
      <c r="Y66" s="467"/>
      <c r="Z66" s="467"/>
    </row>
    <row r="67" spans="1:26" ht="15.75" customHeight="1">
      <c r="A67" s="409"/>
      <c r="B67" s="409"/>
      <c r="C67" s="409"/>
      <c r="D67" s="409"/>
      <c r="E67" s="409"/>
      <c r="F67" s="409"/>
      <c r="G67" s="409"/>
      <c r="H67" s="409"/>
      <c r="I67" s="409"/>
      <c r="J67" s="409"/>
      <c r="K67" s="409"/>
      <c r="L67" s="409"/>
      <c r="M67" s="409"/>
      <c r="N67" s="467"/>
      <c r="O67" s="467"/>
      <c r="P67" s="467"/>
      <c r="Q67" s="467"/>
      <c r="R67" s="467"/>
      <c r="S67" s="467"/>
      <c r="T67" s="467"/>
      <c r="U67" s="467"/>
      <c r="V67" s="467"/>
      <c r="W67" s="467"/>
      <c r="X67" s="467"/>
      <c r="Y67" s="467"/>
      <c r="Z67" s="467"/>
    </row>
    <row r="68" spans="1:26" ht="15.75" customHeight="1">
      <c r="A68" s="409"/>
      <c r="B68" s="409"/>
      <c r="C68" s="409"/>
      <c r="D68" s="409"/>
      <c r="E68" s="409"/>
      <c r="F68" s="409"/>
      <c r="G68" s="409"/>
      <c r="H68" s="409"/>
      <c r="I68" s="409"/>
      <c r="J68" s="409"/>
      <c r="K68" s="409"/>
      <c r="L68" s="409"/>
      <c r="M68" s="409"/>
      <c r="N68" s="467"/>
      <c r="O68" s="467"/>
      <c r="P68" s="467"/>
      <c r="Q68" s="467"/>
      <c r="R68" s="467"/>
      <c r="S68" s="467"/>
      <c r="T68" s="467"/>
      <c r="U68" s="467"/>
      <c r="V68" s="467"/>
      <c r="W68" s="467"/>
      <c r="X68" s="467"/>
      <c r="Y68" s="467"/>
      <c r="Z68" s="467"/>
    </row>
    <row r="69" spans="1:26" ht="15.75" customHeight="1">
      <c r="A69" s="409"/>
      <c r="B69" s="409"/>
      <c r="C69" s="409"/>
      <c r="D69" s="409"/>
      <c r="E69" s="409"/>
      <c r="F69" s="409"/>
      <c r="G69" s="409"/>
      <c r="H69" s="409"/>
      <c r="I69" s="409"/>
      <c r="J69" s="409"/>
      <c r="K69" s="409"/>
      <c r="L69" s="409"/>
      <c r="M69" s="409"/>
      <c r="N69" s="467"/>
      <c r="O69" s="467"/>
      <c r="P69" s="467"/>
      <c r="Q69" s="467"/>
      <c r="R69" s="467"/>
      <c r="S69" s="467"/>
      <c r="T69" s="467"/>
      <c r="U69" s="467"/>
      <c r="V69" s="467"/>
      <c r="W69" s="467"/>
      <c r="X69" s="467"/>
      <c r="Y69" s="467"/>
      <c r="Z69" s="467"/>
    </row>
    <row r="70" spans="1:26" ht="15.75" customHeight="1">
      <c r="A70" s="409"/>
      <c r="B70" s="409"/>
      <c r="C70" s="409"/>
      <c r="D70" s="409"/>
      <c r="E70" s="409"/>
      <c r="F70" s="409"/>
      <c r="G70" s="409"/>
      <c r="H70" s="409"/>
      <c r="I70" s="409"/>
      <c r="J70" s="409"/>
      <c r="K70" s="409"/>
      <c r="L70" s="409"/>
      <c r="M70" s="409"/>
      <c r="N70" s="467"/>
      <c r="O70" s="467"/>
      <c r="P70" s="467"/>
      <c r="Q70" s="467"/>
      <c r="R70" s="467"/>
      <c r="S70" s="467"/>
      <c r="T70" s="467"/>
      <c r="U70" s="467"/>
      <c r="V70" s="467"/>
      <c r="W70" s="467"/>
      <c r="X70" s="467"/>
      <c r="Y70" s="467"/>
      <c r="Z70" s="467"/>
    </row>
    <row r="71" spans="1:26" ht="15.75" customHeight="1">
      <c r="A71" s="409"/>
      <c r="B71" s="409"/>
      <c r="C71" s="409"/>
      <c r="D71" s="409"/>
      <c r="E71" s="409"/>
      <c r="F71" s="409"/>
      <c r="G71" s="409"/>
      <c r="H71" s="409"/>
      <c r="I71" s="409"/>
      <c r="J71" s="409"/>
      <c r="K71" s="409"/>
      <c r="L71" s="409"/>
      <c r="M71" s="409"/>
      <c r="N71" s="467"/>
      <c r="O71" s="467"/>
      <c r="P71" s="467"/>
      <c r="Q71" s="467"/>
      <c r="R71" s="467"/>
      <c r="S71" s="467"/>
      <c r="T71" s="467"/>
      <c r="U71" s="467"/>
      <c r="V71" s="467"/>
      <c r="W71" s="467"/>
      <c r="X71" s="467"/>
      <c r="Y71" s="467"/>
      <c r="Z71" s="467"/>
    </row>
    <row r="72" spans="1:26" ht="15.75" customHeight="1">
      <c r="A72" s="409"/>
      <c r="B72" s="409"/>
      <c r="C72" s="409"/>
      <c r="D72" s="409"/>
      <c r="E72" s="409"/>
      <c r="F72" s="409"/>
      <c r="G72" s="409"/>
      <c r="H72" s="409"/>
      <c r="I72" s="409"/>
      <c r="J72" s="409"/>
      <c r="K72" s="409"/>
      <c r="L72" s="409"/>
      <c r="M72" s="409"/>
      <c r="N72" s="467"/>
      <c r="O72" s="467"/>
      <c r="P72" s="467"/>
      <c r="Q72" s="467"/>
      <c r="R72" s="467"/>
      <c r="S72" s="467"/>
      <c r="T72" s="467"/>
      <c r="U72" s="467"/>
      <c r="V72" s="467"/>
      <c r="W72" s="467"/>
      <c r="X72" s="467"/>
      <c r="Y72" s="467"/>
      <c r="Z72" s="467"/>
    </row>
    <row r="73" spans="1:26" ht="15.75" customHeight="1">
      <c r="A73" s="409"/>
      <c r="B73" s="409"/>
      <c r="C73" s="409"/>
      <c r="D73" s="409"/>
      <c r="E73" s="409"/>
      <c r="F73" s="409"/>
      <c r="G73" s="409"/>
      <c r="H73" s="409"/>
      <c r="I73" s="409"/>
      <c r="J73" s="409"/>
      <c r="K73" s="409"/>
      <c r="L73" s="409"/>
      <c r="M73" s="409"/>
      <c r="N73" s="467"/>
      <c r="O73" s="467"/>
      <c r="P73" s="467"/>
      <c r="Q73" s="467"/>
      <c r="R73" s="467"/>
      <c r="S73" s="467"/>
      <c r="T73" s="467"/>
      <c r="U73" s="467"/>
      <c r="V73" s="467"/>
      <c r="W73" s="467"/>
      <c r="X73" s="467"/>
      <c r="Y73" s="467"/>
      <c r="Z73" s="467"/>
    </row>
    <row r="74" spans="1:26" ht="15.75" customHeight="1">
      <c r="A74" s="409"/>
      <c r="B74" s="409"/>
      <c r="C74" s="409"/>
      <c r="D74" s="409"/>
      <c r="E74" s="409"/>
      <c r="F74" s="409"/>
      <c r="G74" s="409"/>
      <c r="H74" s="409"/>
      <c r="I74" s="409"/>
      <c r="J74" s="409"/>
      <c r="K74" s="409"/>
      <c r="L74" s="409"/>
      <c r="M74" s="409"/>
      <c r="N74" s="467"/>
      <c r="O74" s="467"/>
      <c r="P74" s="467"/>
      <c r="Q74" s="467"/>
      <c r="R74" s="467"/>
      <c r="S74" s="467"/>
      <c r="T74" s="467"/>
      <c r="U74" s="467"/>
      <c r="V74" s="467"/>
      <c r="W74" s="467"/>
      <c r="X74" s="467"/>
      <c r="Y74" s="467"/>
      <c r="Z74" s="467"/>
    </row>
    <row r="75" spans="1:26" ht="15.75" customHeight="1">
      <c r="A75" s="409"/>
      <c r="B75" s="409"/>
      <c r="C75" s="409"/>
      <c r="D75" s="409"/>
      <c r="E75" s="409"/>
      <c r="F75" s="409"/>
      <c r="G75" s="409"/>
      <c r="H75" s="409"/>
      <c r="I75" s="409"/>
      <c r="J75" s="409"/>
      <c r="K75" s="409"/>
      <c r="L75" s="409"/>
      <c r="M75" s="409"/>
      <c r="N75" s="467"/>
      <c r="O75" s="467"/>
      <c r="P75" s="467"/>
      <c r="Q75" s="467"/>
      <c r="R75" s="467"/>
      <c r="S75" s="467"/>
      <c r="T75" s="467"/>
      <c r="U75" s="467"/>
      <c r="V75" s="467"/>
      <c r="W75" s="467"/>
      <c r="X75" s="467"/>
      <c r="Y75" s="467"/>
      <c r="Z75" s="467"/>
    </row>
    <row r="76" spans="1:26" ht="15.75" customHeight="1">
      <c r="A76" s="409"/>
      <c r="B76" s="409"/>
      <c r="C76" s="409"/>
      <c r="D76" s="409"/>
      <c r="E76" s="409"/>
      <c r="F76" s="409"/>
      <c r="G76" s="409"/>
      <c r="H76" s="409"/>
      <c r="I76" s="409"/>
      <c r="J76" s="409"/>
      <c r="K76" s="409"/>
      <c r="L76" s="409"/>
      <c r="M76" s="409"/>
      <c r="N76" s="467"/>
      <c r="O76" s="467"/>
      <c r="P76" s="467"/>
      <c r="Q76" s="467"/>
      <c r="R76" s="467"/>
      <c r="S76" s="467"/>
      <c r="T76" s="467"/>
      <c r="U76" s="467"/>
      <c r="V76" s="467"/>
      <c r="W76" s="467"/>
      <c r="X76" s="467"/>
      <c r="Y76" s="467"/>
      <c r="Z76" s="467"/>
    </row>
    <row r="77" spans="1:26" ht="15.75" customHeight="1">
      <c r="A77" s="409"/>
      <c r="B77" s="409"/>
      <c r="C77" s="409"/>
      <c r="D77" s="409"/>
      <c r="E77" s="409"/>
      <c r="F77" s="409"/>
      <c r="G77" s="409"/>
      <c r="H77" s="409"/>
      <c r="I77" s="409"/>
      <c r="J77" s="409"/>
      <c r="K77" s="409"/>
      <c r="L77" s="409"/>
      <c r="M77" s="409"/>
      <c r="N77" s="467"/>
      <c r="O77" s="467"/>
      <c r="P77" s="467"/>
      <c r="Q77" s="467"/>
      <c r="R77" s="467"/>
      <c r="S77" s="467"/>
      <c r="T77" s="467"/>
      <c r="U77" s="467"/>
      <c r="V77" s="467"/>
      <c r="W77" s="467"/>
      <c r="X77" s="467"/>
      <c r="Y77" s="467"/>
      <c r="Z77" s="467"/>
    </row>
    <row r="78" spans="1:26" ht="15.75" customHeight="1">
      <c r="A78" s="409"/>
      <c r="B78" s="409"/>
      <c r="C78" s="409"/>
      <c r="D78" s="409"/>
      <c r="E78" s="409"/>
      <c r="F78" s="409"/>
      <c r="G78" s="409"/>
      <c r="H78" s="409"/>
      <c r="I78" s="409"/>
      <c r="J78" s="409"/>
      <c r="K78" s="409"/>
      <c r="L78" s="409"/>
      <c r="M78" s="409"/>
      <c r="N78" s="467"/>
      <c r="O78" s="467"/>
      <c r="P78" s="467"/>
      <c r="Q78" s="467"/>
      <c r="R78" s="467"/>
      <c r="S78" s="467"/>
      <c r="T78" s="467"/>
      <c r="U78" s="467"/>
      <c r="V78" s="467"/>
      <c r="W78" s="467"/>
      <c r="X78" s="467"/>
      <c r="Y78" s="467"/>
      <c r="Z78" s="467"/>
    </row>
    <row r="79" spans="1:26" ht="15.75" customHeight="1">
      <c r="A79" s="409"/>
      <c r="B79" s="409"/>
      <c r="C79" s="409"/>
      <c r="D79" s="409"/>
      <c r="E79" s="409"/>
      <c r="F79" s="409"/>
      <c r="G79" s="409"/>
      <c r="H79" s="409"/>
      <c r="I79" s="409"/>
      <c r="J79" s="409"/>
      <c r="K79" s="409"/>
      <c r="L79" s="409"/>
      <c r="M79" s="409"/>
      <c r="N79" s="467"/>
      <c r="O79" s="467"/>
      <c r="P79" s="467"/>
      <c r="Q79" s="467"/>
      <c r="R79" s="467"/>
      <c r="S79" s="467"/>
      <c r="T79" s="467"/>
      <c r="U79" s="467"/>
      <c r="V79" s="467"/>
      <c r="W79" s="467"/>
      <c r="X79" s="467"/>
      <c r="Y79" s="467"/>
      <c r="Z79" s="467"/>
    </row>
    <row r="80" spans="1:26" ht="15.75" customHeight="1">
      <c r="A80" s="409"/>
      <c r="B80" s="409"/>
      <c r="C80" s="409"/>
      <c r="D80" s="409"/>
      <c r="E80" s="409"/>
      <c r="F80" s="409"/>
      <c r="G80" s="409"/>
      <c r="H80" s="409"/>
      <c r="I80" s="409"/>
      <c r="J80" s="409"/>
      <c r="K80" s="409"/>
      <c r="L80" s="409"/>
      <c r="M80" s="409"/>
      <c r="N80" s="467"/>
      <c r="O80" s="467"/>
      <c r="P80" s="467"/>
      <c r="Q80" s="467"/>
      <c r="R80" s="467"/>
      <c r="S80" s="467"/>
      <c r="T80" s="467"/>
      <c r="U80" s="467"/>
      <c r="V80" s="467"/>
      <c r="W80" s="467"/>
      <c r="X80" s="467"/>
      <c r="Y80" s="467"/>
      <c r="Z80" s="467"/>
    </row>
    <row r="81" spans="1:26" ht="15.75" customHeight="1">
      <c r="A81" s="409"/>
      <c r="B81" s="409"/>
      <c r="C81" s="409"/>
      <c r="D81" s="409"/>
      <c r="E81" s="409"/>
      <c r="F81" s="409"/>
      <c r="G81" s="409"/>
      <c r="H81" s="409"/>
      <c r="I81" s="409"/>
      <c r="J81" s="409"/>
      <c r="K81" s="409"/>
      <c r="L81" s="409"/>
      <c r="M81" s="409"/>
      <c r="N81" s="467"/>
      <c r="O81" s="467"/>
      <c r="P81" s="467"/>
      <c r="Q81" s="467"/>
      <c r="R81" s="467"/>
      <c r="S81" s="467"/>
      <c r="T81" s="467"/>
      <c r="U81" s="467"/>
      <c r="V81" s="467"/>
      <c r="W81" s="467"/>
      <c r="X81" s="467"/>
      <c r="Y81" s="467"/>
      <c r="Z81" s="467"/>
    </row>
    <row r="82" spans="1:26" ht="15.75" customHeight="1">
      <c r="A82" s="409"/>
      <c r="B82" s="409"/>
      <c r="C82" s="409"/>
      <c r="D82" s="409"/>
      <c r="E82" s="409"/>
      <c r="F82" s="409"/>
      <c r="G82" s="409"/>
      <c r="H82" s="409"/>
      <c r="I82" s="409"/>
      <c r="J82" s="409"/>
      <c r="K82" s="409"/>
      <c r="L82" s="409"/>
      <c r="M82" s="409"/>
      <c r="N82" s="467"/>
      <c r="O82" s="467"/>
      <c r="P82" s="467"/>
      <c r="Q82" s="467"/>
      <c r="R82" s="467"/>
      <c r="S82" s="467"/>
      <c r="T82" s="467"/>
      <c r="U82" s="467"/>
      <c r="V82" s="467"/>
      <c r="W82" s="467"/>
      <c r="X82" s="467"/>
      <c r="Y82" s="467"/>
      <c r="Z82" s="467"/>
    </row>
    <row r="83" spans="1:26" ht="15.75" customHeight="1">
      <c r="A83" s="409"/>
      <c r="B83" s="409"/>
      <c r="C83" s="409"/>
      <c r="D83" s="409"/>
      <c r="E83" s="409"/>
      <c r="F83" s="409"/>
      <c r="G83" s="409"/>
      <c r="H83" s="409"/>
      <c r="I83" s="409"/>
      <c r="J83" s="409"/>
      <c r="K83" s="409"/>
      <c r="L83" s="409"/>
      <c r="M83" s="409"/>
      <c r="N83" s="467"/>
      <c r="O83" s="467"/>
      <c r="P83" s="467"/>
      <c r="Q83" s="467"/>
      <c r="R83" s="467"/>
      <c r="S83" s="467"/>
      <c r="T83" s="467"/>
      <c r="U83" s="467"/>
      <c r="V83" s="467"/>
      <c r="W83" s="467"/>
      <c r="X83" s="467"/>
      <c r="Y83" s="467"/>
      <c r="Z83" s="467"/>
    </row>
    <row r="84" spans="1:26" ht="15.75" customHeight="1">
      <c r="A84" s="409"/>
      <c r="B84" s="409"/>
      <c r="C84" s="409"/>
      <c r="D84" s="409"/>
      <c r="E84" s="409"/>
      <c r="F84" s="409"/>
      <c r="G84" s="409"/>
      <c r="H84" s="409"/>
      <c r="I84" s="409"/>
      <c r="J84" s="409"/>
      <c r="K84" s="409"/>
      <c r="L84" s="409"/>
      <c r="M84" s="409"/>
      <c r="N84" s="467"/>
      <c r="O84" s="467"/>
      <c r="P84" s="467"/>
      <c r="Q84" s="467"/>
      <c r="R84" s="467"/>
      <c r="S84" s="467"/>
      <c r="T84" s="467"/>
      <c r="U84" s="467"/>
      <c r="V84" s="467"/>
      <c r="W84" s="467"/>
      <c r="X84" s="467"/>
      <c r="Y84" s="467"/>
      <c r="Z84" s="467"/>
    </row>
    <row r="85" spans="1:26" ht="15.75" customHeight="1">
      <c r="A85" s="409"/>
      <c r="B85" s="409"/>
      <c r="C85" s="409"/>
      <c r="D85" s="409"/>
      <c r="E85" s="409"/>
      <c r="F85" s="409"/>
      <c r="G85" s="409"/>
      <c r="H85" s="409"/>
      <c r="I85" s="409"/>
      <c r="J85" s="409"/>
      <c r="K85" s="409"/>
      <c r="L85" s="409"/>
      <c r="M85" s="409"/>
      <c r="N85" s="467"/>
      <c r="O85" s="467"/>
      <c r="P85" s="467"/>
      <c r="Q85" s="467"/>
      <c r="R85" s="467"/>
      <c r="S85" s="467"/>
      <c r="T85" s="467"/>
      <c r="U85" s="467"/>
      <c r="V85" s="467"/>
      <c r="W85" s="467"/>
      <c r="X85" s="467"/>
      <c r="Y85" s="467"/>
      <c r="Z85" s="467"/>
    </row>
    <row r="86" spans="1:26" ht="15.75" customHeight="1">
      <c r="A86" s="409"/>
      <c r="B86" s="409"/>
      <c r="C86" s="409"/>
      <c r="D86" s="409"/>
      <c r="E86" s="409"/>
      <c r="F86" s="409"/>
      <c r="G86" s="409"/>
      <c r="H86" s="409"/>
      <c r="I86" s="409"/>
      <c r="J86" s="409"/>
      <c r="K86" s="409"/>
      <c r="L86" s="409"/>
      <c r="M86" s="409"/>
      <c r="N86" s="467"/>
      <c r="O86" s="467"/>
      <c r="P86" s="467"/>
      <c r="Q86" s="467"/>
      <c r="R86" s="467"/>
      <c r="S86" s="467"/>
      <c r="T86" s="467"/>
      <c r="U86" s="467"/>
      <c r="V86" s="467"/>
      <c r="W86" s="467"/>
      <c r="X86" s="467"/>
      <c r="Y86" s="467"/>
      <c r="Z86" s="467"/>
    </row>
    <row r="87" spans="1:26" ht="15.75" customHeight="1">
      <c r="A87" s="409"/>
      <c r="B87" s="409"/>
      <c r="C87" s="409"/>
      <c r="D87" s="409"/>
      <c r="E87" s="409"/>
      <c r="F87" s="409"/>
      <c r="G87" s="409"/>
      <c r="H87" s="409"/>
      <c r="I87" s="409"/>
      <c r="J87" s="409"/>
      <c r="K87" s="409"/>
      <c r="L87" s="409"/>
      <c r="M87" s="409"/>
      <c r="N87" s="467"/>
      <c r="O87" s="467"/>
      <c r="P87" s="467"/>
      <c r="Q87" s="467"/>
      <c r="R87" s="467"/>
      <c r="S87" s="467"/>
      <c r="T87" s="467"/>
      <c r="U87" s="467"/>
      <c r="V87" s="467"/>
      <c r="W87" s="467"/>
      <c r="X87" s="467"/>
      <c r="Y87" s="467"/>
      <c r="Z87" s="467"/>
    </row>
    <row r="88" spans="1:26" ht="15.75" customHeight="1">
      <c r="A88" s="409"/>
      <c r="B88" s="409"/>
      <c r="C88" s="409"/>
      <c r="D88" s="409"/>
      <c r="E88" s="409"/>
      <c r="F88" s="409"/>
      <c r="G88" s="409"/>
      <c r="H88" s="409"/>
      <c r="I88" s="409"/>
      <c r="J88" s="409"/>
      <c r="K88" s="409"/>
      <c r="L88" s="409"/>
      <c r="M88" s="409"/>
      <c r="N88" s="467"/>
      <c r="O88" s="467"/>
      <c r="P88" s="467"/>
      <c r="Q88" s="467"/>
      <c r="R88" s="467"/>
      <c r="S88" s="467"/>
      <c r="T88" s="467"/>
      <c r="U88" s="467"/>
      <c r="V88" s="467"/>
      <c r="W88" s="467"/>
      <c r="X88" s="467"/>
      <c r="Y88" s="467"/>
      <c r="Z88" s="467"/>
    </row>
    <row r="89" spans="1:26" ht="15.75" customHeight="1">
      <c r="A89" s="409"/>
      <c r="B89" s="409"/>
      <c r="C89" s="409"/>
      <c r="D89" s="409"/>
      <c r="E89" s="409"/>
      <c r="F89" s="409"/>
      <c r="G89" s="409"/>
      <c r="H89" s="409"/>
      <c r="I89" s="409"/>
      <c r="J89" s="409"/>
      <c r="K89" s="409"/>
      <c r="L89" s="409"/>
      <c r="M89" s="409"/>
      <c r="N89" s="467"/>
      <c r="O89" s="467"/>
      <c r="P89" s="467"/>
      <c r="Q89" s="467"/>
      <c r="R89" s="467"/>
      <c r="S89" s="467"/>
      <c r="T89" s="467"/>
      <c r="U89" s="467"/>
      <c r="V89" s="467"/>
      <c r="W89" s="467"/>
      <c r="X89" s="467"/>
      <c r="Y89" s="467"/>
      <c r="Z89" s="467"/>
    </row>
    <row r="90" spans="1:26" ht="15.75" customHeight="1">
      <c r="A90" s="409"/>
      <c r="B90" s="409"/>
      <c r="C90" s="409"/>
      <c r="D90" s="409"/>
      <c r="E90" s="409"/>
      <c r="F90" s="409"/>
      <c r="G90" s="409"/>
      <c r="H90" s="409"/>
      <c r="I90" s="409"/>
      <c r="J90" s="409"/>
      <c r="K90" s="409"/>
      <c r="L90" s="409"/>
      <c r="M90" s="409"/>
      <c r="N90" s="467"/>
      <c r="O90" s="467"/>
      <c r="P90" s="467"/>
      <c r="Q90" s="467"/>
      <c r="R90" s="467"/>
      <c r="S90" s="467"/>
      <c r="T90" s="467"/>
      <c r="U90" s="467"/>
      <c r="V90" s="467"/>
      <c r="W90" s="467"/>
      <c r="X90" s="467"/>
      <c r="Y90" s="467"/>
      <c r="Z90" s="467"/>
    </row>
    <row r="91" spans="1:26" ht="15.75" customHeight="1">
      <c r="A91" s="409"/>
      <c r="B91" s="409"/>
      <c r="C91" s="409"/>
      <c r="D91" s="409"/>
      <c r="E91" s="409"/>
      <c r="F91" s="409"/>
      <c r="G91" s="409"/>
      <c r="H91" s="409"/>
      <c r="I91" s="409"/>
      <c r="J91" s="409"/>
      <c r="K91" s="409"/>
      <c r="L91" s="409"/>
      <c r="M91" s="409"/>
      <c r="N91" s="467"/>
      <c r="O91" s="467"/>
      <c r="P91" s="467"/>
      <c r="Q91" s="467"/>
      <c r="R91" s="467"/>
      <c r="S91" s="467"/>
      <c r="T91" s="467"/>
      <c r="U91" s="467"/>
      <c r="V91" s="467"/>
      <c r="W91" s="467"/>
      <c r="X91" s="467"/>
      <c r="Y91" s="467"/>
      <c r="Z91" s="467"/>
    </row>
    <row r="92" spans="1:26" ht="15.75" customHeight="1">
      <c r="A92" s="409"/>
      <c r="B92" s="409"/>
      <c r="C92" s="409"/>
      <c r="D92" s="409"/>
      <c r="E92" s="409"/>
      <c r="F92" s="409"/>
      <c r="G92" s="409"/>
      <c r="H92" s="409"/>
      <c r="I92" s="409"/>
      <c r="J92" s="409"/>
      <c r="K92" s="409"/>
      <c r="L92" s="409"/>
      <c r="M92" s="409"/>
      <c r="N92" s="467"/>
      <c r="O92" s="467"/>
      <c r="P92" s="467"/>
      <c r="Q92" s="467"/>
      <c r="R92" s="467"/>
      <c r="S92" s="467"/>
      <c r="T92" s="467"/>
      <c r="U92" s="467"/>
      <c r="V92" s="467"/>
      <c r="W92" s="467"/>
      <c r="X92" s="467"/>
      <c r="Y92" s="467"/>
      <c r="Z92" s="467"/>
    </row>
    <row r="93" spans="1:26" ht="15.75" customHeight="1">
      <c r="A93" s="409"/>
      <c r="B93" s="409"/>
      <c r="C93" s="409"/>
      <c r="D93" s="409"/>
      <c r="E93" s="409"/>
      <c r="F93" s="409"/>
      <c r="G93" s="409"/>
      <c r="H93" s="409"/>
      <c r="I93" s="409"/>
      <c r="J93" s="409"/>
      <c r="K93" s="409"/>
      <c r="L93" s="409"/>
      <c r="M93" s="409"/>
      <c r="N93" s="467"/>
      <c r="O93" s="467"/>
      <c r="P93" s="467"/>
      <c r="Q93" s="467"/>
      <c r="R93" s="467"/>
      <c r="S93" s="467"/>
      <c r="T93" s="467"/>
      <c r="U93" s="467"/>
      <c r="V93" s="467"/>
      <c r="W93" s="467"/>
      <c r="X93" s="467"/>
      <c r="Y93" s="467"/>
      <c r="Z93" s="467"/>
    </row>
    <row r="94" spans="1:26" ht="15.75" customHeight="1">
      <c r="A94" s="409"/>
      <c r="B94" s="409"/>
      <c r="C94" s="409"/>
      <c r="D94" s="409"/>
      <c r="E94" s="409"/>
      <c r="F94" s="409"/>
      <c r="G94" s="409"/>
      <c r="H94" s="409"/>
      <c r="I94" s="409"/>
      <c r="J94" s="409"/>
      <c r="K94" s="409"/>
      <c r="L94" s="409"/>
      <c r="M94" s="409"/>
      <c r="N94" s="467"/>
      <c r="O94" s="467"/>
      <c r="P94" s="467"/>
      <c r="Q94" s="467"/>
      <c r="R94" s="467"/>
      <c r="S94" s="467"/>
      <c r="T94" s="467"/>
      <c r="U94" s="467"/>
      <c r="V94" s="467"/>
      <c r="W94" s="467"/>
      <c r="X94" s="467"/>
      <c r="Y94" s="467"/>
      <c r="Z94" s="467"/>
    </row>
    <row r="95" spans="1:26" ht="15.75" customHeight="1">
      <c r="A95" s="409"/>
      <c r="B95" s="409"/>
      <c r="C95" s="409"/>
      <c r="D95" s="409"/>
      <c r="E95" s="409"/>
      <c r="F95" s="409"/>
      <c r="G95" s="409"/>
      <c r="H95" s="409"/>
      <c r="I95" s="409"/>
      <c r="J95" s="409"/>
      <c r="K95" s="409"/>
      <c r="L95" s="409"/>
      <c r="M95" s="409"/>
      <c r="N95" s="467"/>
      <c r="O95" s="467"/>
      <c r="P95" s="467"/>
      <c r="Q95" s="467"/>
      <c r="R95" s="467"/>
      <c r="S95" s="467"/>
      <c r="T95" s="467"/>
      <c r="U95" s="467"/>
      <c r="V95" s="467"/>
      <c r="W95" s="467"/>
      <c r="X95" s="467"/>
      <c r="Y95" s="467"/>
      <c r="Z95" s="467"/>
    </row>
    <row r="96" spans="1:26" ht="15.75" customHeight="1">
      <c r="A96" s="409"/>
      <c r="B96" s="409"/>
      <c r="C96" s="409"/>
      <c r="D96" s="409"/>
      <c r="E96" s="409"/>
      <c r="F96" s="409"/>
      <c r="G96" s="409"/>
      <c r="H96" s="409"/>
      <c r="I96" s="409"/>
      <c r="J96" s="409"/>
      <c r="K96" s="409"/>
      <c r="L96" s="409"/>
      <c r="M96" s="409"/>
      <c r="N96" s="467"/>
      <c r="O96" s="467"/>
      <c r="P96" s="467"/>
      <c r="Q96" s="467"/>
      <c r="R96" s="467"/>
      <c r="S96" s="467"/>
      <c r="T96" s="467"/>
      <c r="U96" s="467"/>
      <c r="V96" s="467"/>
      <c r="W96" s="467"/>
      <c r="X96" s="467"/>
      <c r="Y96" s="467"/>
      <c r="Z96" s="467"/>
    </row>
    <row r="97" spans="1:26" ht="15.75" customHeight="1">
      <c r="A97" s="409"/>
      <c r="B97" s="409"/>
      <c r="C97" s="409"/>
      <c r="D97" s="409"/>
      <c r="E97" s="409"/>
      <c r="F97" s="409"/>
      <c r="G97" s="409"/>
      <c r="H97" s="409"/>
      <c r="I97" s="409"/>
      <c r="J97" s="409"/>
      <c r="K97" s="409"/>
      <c r="L97" s="409"/>
      <c r="M97" s="409"/>
      <c r="N97" s="467"/>
      <c r="O97" s="467"/>
      <c r="P97" s="467"/>
      <c r="Q97" s="467"/>
      <c r="R97" s="467"/>
      <c r="S97" s="467"/>
      <c r="T97" s="467"/>
      <c r="U97" s="467"/>
      <c r="V97" s="467"/>
      <c r="W97" s="467"/>
      <c r="X97" s="467"/>
      <c r="Y97" s="467"/>
      <c r="Z97" s="467"/>
    </row>
    <row r="98" spans="1:26" ht="15.75" customHeight="1">
      <c r="A98" s="409"/>
      <c r="B98" s="409"/>
      <c r="C98" s="409"/>
      <c r="D98" s="409"/>
      <c r="E98" s="409"/>
      <c r="F98" s="409"/>
      <c r="G98" s="409"/>
      <c r="H98" s="409"/>
      <c r="I98" s="409"/>
      <c r="J98" s="409"/>
      <c r="K98" s="409"/>
      <c r="L98" s="409"/>
      <c r="M98" s="409"/>
      <c r="N98" s="467"/>
      <c r="O98" s="467"/>
      <c r="P98" s="467"/>
      <c r="Q98" s="467"/>
      <c r="R98" s="467"/>
      <c r="S98" s="467"/>
      <c r="T98" s="467"/>
      <c r="U98" s="467"/>
      <c r="V98" s="467"/>
      <c r="W98" s="467"/>
      <c r="X98" s="467"/>
      <c r="Y98" s="467"/>
      <c r="Z98" s="467"/>
    </row>
    <row r="99" spans="1:26" ht="15.75" customHeight="1">
      <c r="A99" s="409"/>
      <c r="B99" s="409"/>
      <c r="C99" s="409"/>
      <c r="D99" s="409"/>
      <c r="E99" s="409"/>
      <c r="F99" s="409"/>
      <c r="G99" s="409"/>
      <c r="H99" s="409"/>
      <c r="I99" s="409"/>
      <c r="J99" s="409"/>
      <c r="K99" s="409"/>
      <c r="L99" s="409"/>
      <c r="M99" s="409"/>
      <c r="N99" s="467"/>
      <c r="O99" s="467"/>
      <c r="P99" s="467"/>
      <c r="Q99" s="467"/>
      <c r="R99" s="467"/>
      <c r="S99" s="467"/>
      <c r="T99" s="467"/>
      <c r="U99" s="467"/>
      <c r="V99" s="467"/>
      <c r="W99" s="467"/>
      <c r="X99" s="467"/>
      <c r="Y99" s="467"/>
      <c r="Z99" s="467"/>
    </row>
    <row r="100" spans="1:26" ht="15.75" customHeight="1">
      <c r="A100" s="409"/>
      <c r="B100" s="409"/>
      <c r="C100" s="409"/>
      <c r="D100" s="409"/>
      <c r="E100" s="409"/>
      <c r="F100" s="409"/>
      <c r="G100" s="409"/>
      <c r="H100" s="409"/>
      <c r="I100" s="409"/>
      <c r="J100" s="409"/>
      <c r="K100" s="409"/>
      <c r="L100" s="409"/>
      <c r="M100" s="409"/>
      <c r="N100" s="467"/>
      <c r="O100" s="467"/>
      <c r="P100" s="467"/>
      <c r="Q100" s="467"/>
      <c r="R100" s="467"/>
      <c r="S100" s="467"/>
      <c r="T100" s="467"/>
      <c r="U100" s="467"/>
      <c r="V100" s="467"/>
      <c r="W100" s="467"/>
      <c r="X100" s="467"/>
      <c r="Y100" s="467"/>
      <c r="Z100" s="467"/>
    </row>
    <row r="101" spans="1:26" ht="15.75" customHeight="1">
      <c r="A101" s="409"/>
      <c r="B101" s="409"/>
      <c r="C101" s="409"/>
      <c r="D101" s="409"/>
      <c r="E101" s="409"/>
      <c r="F101" s="409"/>
      <c r="G101" s="409"/>
      <c r="H101" s="409"/>
      <c r="I101" s="409"/>
      <c r="J101" s="409"/>
      <c r="K101" s="409"/>
      <c r="L101" s="409"/>
      <c r="M101" s="409"/>
      <c r="N101" s="467"/>
      <c r="O101" s="467"/>
      <c r="P101" s="467"/>
      <c r="Q101" s="467"/>
      <c r="R101" s="467"/>
      <c r="S101" s="467"/>
      <c r="T101" s="467"/>
      <c r="U101" s="467"/>
      <c r="V101" s="467"/>
      <c r="W101" s="467"/>
      <c r="X101" s="467"/>
      <c r="Y101" s="467"/>
      <c r="Z101" s="467"/>
    </row>
    <row r="102" spans="1:26" ht="15.75" customHeight="1">
      <c r="A102" s="409"/>
      <c r="B102" s="409"/>
      <c r="C102" s="409"/>
      <c r="D102" s="409"/>
      <c r="E102" s="409"/>
      <c r="F102" s="409"/>
      <c r="G102" s="409"/>
      <c r="H102" s="409"/>
      <c r="I102" s="409"/>
      <c r="J102" s="409"/>
      <c r="K102" s="409"/>
      <c r="L102" s="409"/>
      <c r="M102" s="409"/>
      <c r="N102" s="467"/>
      <c r="O102" s="467"/>
      <c r="P102" s="467"/>
      <c r="Q102" s="467"/>
      <c r="R102" s="467"/>
      <c r="S102" s="467"/>
      <c r="T102" s="467"/>
      <c r="U102" s="467"/>
      <c r="V102" s="467"/>
      <c r="W102" s="467"/>
      <c r="X102" s="467"/>
      <c r="Y102" s="467"/>
      <c r="Z102" s="467"/>
    </row>
    <row r="103" spans="1:26" ht="15.75" customHeight="1">
      <c r="A103" s="409"/>
      <c r="B103" s="409"/>
      <c r="C103" s="409"/>
      <c r="D103" s="409"/>
      <c r="E103" s="409"/>
      <c r="F103" s="409"/>
      <c r="G103" s="409"/>
      <c r="H103" s="409"/>
      <c r="I103" s="409"/>
      <c r="J103" s="409"/>
      <c r="K103" s="409"/>
      <c r="L103" s="409"/>
      <c r="M103" s="409"/>
      <c r="N103" s="467"/>
      <c r="O103" s="467"/>
      <c r="P103" s="467"/>
      <c r="Q103" s="467"/>
      <c r="R103" s="467"/>
      <c r="S103" s="467"/>
      <c r="T103" s="467"/>
      <c r="U103" s="467"/>
      <c r="V103" s="467"/>
      <c r="W103" s="467"/>
      <c r="X103" s="467"/>
      <c r="Y103" s="467"/>
      <c r="Z103" s="467"/>
    </row>
    <row r="104" spans="1:26" ht="15.75" customHeight="1">
      <c r="A104" s="409"/>
      <c r="B104" s="409"/>
      <c r="C104" s="409"/>
      <c r="D104" s="409"/>
      <c r="E104" s="409"/>
      <c r="F104" s="409"/>
      <c r="G104" s="409"/>
      <c r="H104" s="409"/>
      <c r="I104" s="409"/>
      <c r="J104" s="409"/>
      <c r="K104" s="409"/>
      <c r="L104" s="409"/>
      <c r="M104" s="409"/>
      <c r="N104" s="467"/>
      <c r="O104" s="467"/>
      <c r="P104" s="467"/>
      <c r="Q104" s="467"/>
      <c r="R104" s="467"/>
      <c r="S104" s="467"/>
      <c r="T104" s="467"/>
      <c r="U104" s="467"/>
      <c r="V104" s="467"/>
      <c r="W104" s="467"/>
      <c r="X104" s="467"/>
      <c r="Y104" s="467"/>
      <c r="Z104" s="467"/>
    </row>
    <row r="105" spans="1:26" ht="15.75" customHeight="1">
      <c r="A105" s="409"/>
      <c r="B105" s="409"/>
      <c r="C105" s="409"/>
      <c r="D105" s="409"/>
      <c r="E105" s="409"/>
      <c r="F105" s="409"/>
      <c r="G105" s="409"/>
      <c r="H105" s="409"/>
      <c r="I105" s="409"/>
      <c r="J105" s="409"/>
      <c r="K105" s="409"/>
      <c r="L105" s="409"/>
      <c r="M105" s="409"/>
      <c r="N105" s="467"/>
      <c r="O105" s="467"/>
      <c r="P105" s="467"/>
      <c r="Q105" s="467"/>
      <c r="R105" s="467"/>
      <c r="S105" s="467"/>
      <c r="T105" s="467"/>
      <c r="U105" s="467"/>
      <c r="V105" s="467"/>
      <c r="W105" s="467"/>
      <c r="X105" s="467"/>
      <c r="Y105" s="467"/>
      <c r="Z105" s="467"/>
    </row>
    <row r="106" spans="1:26" ht="15.75" customHeight="1">
      <c r="A106" s="409"/>
      <c r="B106" s="409"/>
      <c r="C106" s="409"/>
      <c r="D106" s="409"/>
      <c r="E106" s="409"/>
      <c r="F106" s="409"/>
      <c r="G106" s="409"/>
      <c r="H106" s="409"/>
      <c r="I106" s="409"/>
      <c r="J106" s="409"/>
      <c r="K106" s="409"/>
      <c r="L106" s="409"/>
      <c r="M106" s="409"/>
      <c r="N106" s="467"/>
      <c r="O106" s="467"/>
      <c r="P106" s="467"/>
      <c r="Q106" s="467"/>
      <c r="R106" s="467"/>
      <c r="S106" s="467"/>
      <c r="T106" s="467"/>
      <c r="U106" s="467"/>
      <c r="V106" s="467"/>
      <c r="W106" s="467"/>
      <c r="X106" s="467"/>
      <c r="Y106" s="467"/>
      <c r="Z106" s="467"/>
    </row>
    <row r="107" spans="1:26" ht="15.75" customHeight="1">
      <c r="A107" s="409"/>
      <c r="B107" s="409"/>
      <c r="C107" s="409"/>
      <c r="D107" s="409"/>
      <c r="E107" s="409"/>
      <c r="F107" s="409"/>
      <c r="G107" s="409"/>
      <c r="H107" s="409"/>
      <c r="I107" s="409"/>
      <c r="J107" s="409"/>
      <c r="K107" s="409"/>
      <c r="L107" s="409"/>
      <c r="M107" s="409"/>
      <c r="N107" s="467"/>
      <c r="O107" s="467"/>
      <c r="P107" s="467"/>
      <c r="Q107" s="467"/>
      <c r="R107" s="467"/>
      <c r="S107" s="467"/>
      <c r="T107" s="467"/>
      <c r="U107" s="467"/>
      <c r="V107" s="467"/>
      <c r="W107" s="467"/>
      <c r="X107" s="467"/>
      <c r="Y107" s="467"/>
      <c r="Z107" s="467"/>
    </row>
    <row r="108" spans="1:26" ht="15.75" customHeight="1">
      <c r="A108" s="409"/>
      <c r="B108" s="409"/>
      <c r="C108" s="409"/>
      <c r="D108" s="409"/>
      <c r="E108" s="409"/>
      <c r="F108" s="409"/>
      <c r="G108" s="409"/>
      <c r="H108" s="409"/>
      <c r="I108" s="409"/>
      <c r="J108" s="409"/>
      <c r="K108" s="409"/>
      <c r="L108" s="409"/>
      <c r="M108" s="409"/>
      <c r="N108" s="467"/>
      <c r="O108" s="467"/>
      <c r="P108" s="467"/>
      <c r="Q108" s="467"/>
      <c r="R108" s="467"/>
      <c r="S108" s="467"/>
      <c r="T108" s="467"/>
      <c r="U108" s="467"/>
      <c r="V108" s="467"/>
      <c r="W108" s="467"/>
      <c r="X108" s="467"/>
      <c r="Y108" s="467"/>
      <c r="Z108" s="467"/>
    </row>
    <row r="109" spans="1:26" ht="15.75" customHeight="1">
      <c r="A109" s="409"/>
      <c r="B109" s="409"/>
      <c r="C109" s="409"/>
      <c r="D109" s="409"/>
      <c r="E109" s="409"/>
      <c r="F109" s="409"/>
      <c r="G109" s="409"/>
      <c r="H109" s="409"/>
      <c r="I109" s="409"/>
      <c r="J109" s="409"/>
      <c r="K109" s="409"/>
      <c r="L109" s="409"/>
      <c r="M109" s="409"/>
      <c r="N109" s="467"/>
      <c r="O109" s="467"/>
      <c r="P109" s="467"/>
      <c r="Q109" s="467"/>
      <c r="R109" s="467"/>
      <c r="S109" s="467"/>
      <c r="T109" s="467"/>
      <c r="U109" s="467"/>
      <c r="V109" s="467"/>
      <c r="W109" s="467"/>
      <c r="X109" s="467"/>
      <c r="Y109" s="467"/>
      <c r="Z109" s="467"/>
    </row>
    <row r="110" spans="1:26" ht="15.75" customHeight="1">
      <c r="A110" s="409"/>
      <c r="B110" s="409"/>
      <c r="C110" s="409"/>
      <c r="D110" s="409"/>
      <c r="E110" s="409"/>
      <c r="F110" s="409"/>
      <c r="G110" s="409"/>
      <c r="H110" s="409"/>
      <c r="I110" s="409"/>
      <c r="J110" s="409"/>
      <c r="K110" s="409"/>
      <c r="L110" s="409"/>
      <c r="M110" s="409"/>
      <c r="N110" s="467"/>
      <c r="O110" s="467"/>
      <c r="P110" s="467"/>
      <c r="Q110" s="467"/>
      <c r="R110" s="467"/>
      <c r="S110" s="467"/>
      <c r="T110" s="467"/>
      <c r="U110" s="467"/>
      <c r="V110" s="467"/>
      <c r="W110" s="467"/>
      <c r="X110" s="467"/>
      <c r="Y110" s="467"/>
      <c r="Z110" s="467"/>
    </row>
    <row r="111" spans="1:26" ht="15.75" customHeight="1">
      <c r="A111" s="409"/>
      <c r="B111" s="409"/>
      <c r="C111" s="409"/>
      <c r="D111" s="409"/>
      <c r="E111" s="409"/>
      <c r="F111" s="409"/>
      <c r="G111" s="409"/>
      <c r="H111" s="409"/>
      <c r="I111" s="409"/>
      <c r="J111" s="409"/>
      <c r="K111" s="409"/>
      <c r="L111" s="409"/>
      <c r="M111" s="409"/>
      <c r="N111" s="467"/>
      <c r="O111" s="467"/>
      <c r="P111" s="467"/>
      <c r="Q111" s="467"/>
      <c r="R111" s="467"/>
      <c r="S111" s="467"/>
      <c r="T111" s="467"/>
      <c r="U111" s="467"/>
      <c r="V111" s="467"/>
      <c r="W111" s="467"/>
      <c r="X111" s="467"/>
      <c r="Y111" s="467"/>
      <c r="Z111" s="467"/>
    </row>
    <row r="112" spans="1:26" ht="15.75" customHeight="1">
      <c r="A112" s="409"/>
      <c r="B112" s="409"/>
      <c r="C112" s="409"/>
      <c r="D112" s="409"/>
      <c r="E112" s="409"/>
      <c r="F112" s="409"/>
      <c r="G112" s="409"/>
      <c r="H112" s="409"/>
      <c r="I112" s="409"/>
      <c r="J112" s="409"/>
      <c r="K112" s="409"/>
      <c r="L112" s="409"/>
      <c r="M112" s="409"/>
      <c r="N112" s="467"/>
      <c r="O112" s="467"/>
      <c r="P112" s="467"/>
      <c r="Q112" s="467"/>
      <c r="R112" s="467"/>
      <c r="S112" s="467"/>
      <c r="T112" s="467"/>
      <c r="U112" s="467"/>
      <c r="V112" s="467"/>
      <c r="W112" s="467"/>
      <c r="X112" s="467"/>
      <c r="Y112" s="467"/>
      <c r="Z112" s="467"/>
    </row>
    <row r="113" spans="1:26" ht="15.75" customHeight="1">
      <c r="A113" s="409"/>
      <c r="B113" s="409"/>
      <c r="C113" s="409"/>
      <c r="D113" s="409"/>
      <c r="E113" s="409"/>
      <c r="F113" s="409"/>
      <c r="G113" s="409"/>
      <c r="H113" s="409"/>
      <c r="I113" s="409"/>
      <c r="J113" s="409"/>
      <c r="K113" s="409"/>
      <c r="L113" s="409"/>
      <c r="M113" s="409"/>
      <c r="N113" s="467"/>
      <c r="O113" s="467"/>
      <c r="P113" s="467"/>
      <c r="Q113" s="467"/>
      <c r="R113" s="467"/>
      <c r="S113" s="467"/>
      <c r="T113" s="467"/>
      <c r="U113" s="467"/>
      <c r="V113" s="467"/>
      <c r="W113" s="467"/>
      <c r="X113" s="467"/>
      <c r="Y113" s="467"/>
      <c r="Z113" s="467"/>
    </row>
    <row r="114" spans="1:26" ht="15.75" customHeight="1">
      <c r="A114" s="409"/>
      <c r="B114" s="409"/>
      <c r="C114" s="409"/>
      <c r="D114" s="409"/>
      <c r="E114" s="409"/>
      <c r="F114" s="409"/>
      <c r="G114" s="409"/>
      <c r="H114" s="409"/>
      <c r="I114" s="409"/>
      <c r="J114" s="409"/>
      <c r="K114" s="409"/>
      <c r="L114" s="409"/>
      <c r="M114" s="409"/>
      <c r="N114" s="467"/>
      <c r="O114" s="467"/>
      <c r="P114" s="467"/>
      <c r="Q114" s="467"/>
      <c r="R114" s="467"/>
      <c r="S114" s="467"/>
      <c r="T114" s="467"/>
      <c r="U114" s="467"/>
      <c r="V114" s="467"/>
      <c r="W114" s="467"/>
      <c r="X114" s="467"/>
      <c r="Y114" s="467"/>
      <c r="Z114" s="467"/>
    </row>
    <row r="115" spans="1:26" ht="15.75" customHeight="1">
      <c r="A115" s="409"/>
      <c r="B115" s="409"/>
      <c r="C115" s="409"/>
      <c r="D115" s="409"/>
      <c r="E115" s="409"/>
      <c r="F115" s="409"/>
      <c r="G115" s="409"/>
      <c r="H115" s="409"/>
      <c r="I115" s="409"/>
      <c r="J115" s="409"/>
      <c r="K115" s="409"/>
      <c r="L115" s="409"/>
      <c r="M115" s="409"/>
      <c r="N115" s="467"/>
      <c r="O115" s="467"/>
      <c r="P115" s="467"/>
      <c r="Q115" s="467"/>
      <c r="R115" s="467"/>
      <c r="S115" s="467"/>
      <c r="T115" s="467"/>
      <c r="U115" s="467"/>
      <c r="V115" s="467"/>
      <c r="W115" s="467"/>
      <c r="X115" s="467"/>
      <c r="Y115" s="467"/>
      <c r="Z115" s="467"/>
    </row>
    <row r="116" spans="1:26" ht="15.75" customHeight="1">
      <c r="A116" s="409"/>
      <c r="B116" s="409"/>
      <c r="C116" s="409"/>
      <c r="D116" s="409"/>
      <c r="E116" s="409"/>
      <c r="F116" s="409"/>
      <c r="G116" s="409"/>
      <c r="H116" s="409"/>
      <c r="I116" s="409"/>
      <c r="J116" s="409"/>
      <c r="K116" s="409"/>
      <c r="L116" s="409"/>
      <c r="M116" s="409"/>
      <c r="N116" s="467"/>
      <c r="O116" s="467"/>
      <c r="P116" s="467"/>
      <c r="Q116" s="467"/>
      <c r="R116" s="467"/>
      <c r="S116" s="467"/>
      <c r="T116" s="467"/>
      <c r="U116" s="467"/>
      <c r="V116" s="467"/>
      <c r="W116" s="467"/>
      <c r="X116" s="467"/>
      <c r="Y116" s="467"/>
      <c r="Z116" s="467"/>
    </row>
    <row r="117" spans="1:26" ht="15.75" customHeight="1">
      <c r="A117" s="409"/>
      <c r="B117" s="409"/>
      <c r="C117" s="409"/>
      <c r="D117" s="409"/>
      <c r="E117" s="409"/>
      <c r="F117" s="409"/>
      <c r="G117" s="409"/>
      <c r="H117" s="409"/>
      <c r="I117" s="409"/>
      <c r="J117" s="409"/>
      <c r="K117" s="409"/>
      <c r="L117" s="409"/>
      <c r="M117" s="409"/>
      <c r="N117" s="467"/>
      <c r="O117" s="467"/>
      <c r="P117" s="467"/>
      <c r="Q117" s="467"/>
      <c r="R117" s="467"/>
      <c r="S117" s="467"/>
      <c r="T117" s="467"/>
      <c r="U117" s="467"/>
      <c r="V117" s="467"/>
      <c r="W117" s="467"/>
      <c r="X117" s="467"/>
      <c r="Y117" s="467"/>
      <c r="Z117" s="467"/>
    </row>
    <row r="118" spans="1:26" ht="15.75" customHeight="1">
      <c r="A118" s="409"/>
      <c r="B118" s="409"/>
      <c r="C118" s="409"/>
      <c r="D118" s="409"/>
      <c r="E118" s="409"/>
      <c r="F118" s="409"/>
      <c r="G118" s="409"/>
      <c r="H118" s="409"/>
      <c r="I118" s="409"/>
      <c r="J118" s="409"/>
      <c r="K118" s="409"/>
      <c r="L118" s="409"/>
      <c r="M118" s="409"/>
      <c r="N118" s="467"/>
      <c r="O118" s="467"/>
      <c r="P118" s="467"/>
      <c r="Q118" s="467"/>
      <c r="R118" s="467"/>
      <c r="S118" s="467"/>
      <c r="T118" s="467"/>
      <c r="U118" s="467"/>
      <c r="V118" s="467"/>
      <c r="W118" s="467"/>
      <c r="X118" s="467"/>
      <c r="Y118" s="467"/>
      <c r="Z118" s="467"/>
    </row>
    <row r="119" spans="1:26" ht="15.75" customHeight="1">
      <c r="A119" s="409"/>
      <c r="B119" s="409"/>
      <c r="C119" s="409"/>
      <c r="D119" s="409"/>
      <c r="E119" s="409"/>
      <c r="F119" s="409"/>
      <c r="G119" s="409"/>
      <c r="H119" s="409"/>
      <c r="I119" s="409"/>
      <c r="J119" s="409"/>
      <c r="K119" s="409"/>
      <c r="L119" s="409"/>
      <c r="M119" s="409"/>
      <c r="N119" s="467"/>
      <c r="O119" s="467"/>
      <c r="P119" s="467"/>
      <c r="Q119" s="467"/>
      <c r="R119" s="467"/>
      <c r="S119" s="467"/>
      <c r="T119" s="467"/>
      <c r="U119" s="467"/>
      <c r="V119" s="467"/>
      <c r="W119" s="467"/>
      <c r="X119" s="467"/>
      <c r="Y119" s="467"/>
      <c r="Z119" s="467"/>
    </row>
    <row r="120" spans="1:26" ht="15.75" customHeight="1">
      <c r="A120" s="409"/>
      <c r="B120" s="409"/>
      <c r="C120" s="409"/>
      <c r="D120" s="409"/>
      <c r="E120" s="409"/>
      <c r="F120" s="409"/>
      <c r="G120" s="409"/>
      <c r="H120" s="409"/>
      <c r="I120" s="409"/>
      <c r="J120" s="409"/>
      <c r="K120" s="409"/>
      <c r="L120" s="409"/>
      <c r="M120" s="409"/>
      <c r="N120" s="467"/>
      <c r="O120" s="467"/>
      <c r="P120" s="467"/>
      <c r="Q120" s="467"/>
      <c r="R120" s="467"/>
      <c r="S120" s="467"/>
      <c r="T120" s="467"/>
      <c r="U120" s="467"/>
      <c r="V120" s="467"/>
      <c r="W120" s="467"/>
      <c r="X120" s="467"/>
      <c r="Y120" s="467"/>
      <c r="Z120" s="467"/>
    </row>
    <row r="121" spans="1:26" ht="15.75" customHeight="1">
      <c r="A121" s="409"/>
      <c r="B121" s="409"/>
      <c r="C121" s="409"/>
      <c r="D121" s="409"/>
      <c r="E121" s="409"/>
      <c r="F121" s="409"/>
      <c r="G121" s="409"/>
      <c r="H121" s="409"/>
      <c r="I121" s="409"/>
      <c r="J121" s="409"/>
      <c r="K121" s="409"/>
      <c r="L121" s="409"/>
      <c r="M121" s="409"/>
      <c r="N121" s="467"/>
      <c r="O121" s="467"/>
      <c r="P121" s="467"/>
      <c r="Q121" s="467"/>
      <c r="R121" s="467"/>
      <c r="S121" s="467"/>
      <c r="T121" s="467"/>
      <c r="U121" s="467"/>
      <c r="V121" s="467"/>
      <c r="W121" s="467"/>
      <c r="X121" s="467"/>
      <c r="Y121" s="467"/>
      <c r="Z121" s="467"/>
    </row>
    <row r="122" spans="1:26" ht="15.75" customHeight="1">
      <c r="A122" s="409"/>
      <c r="B122" s="409"/>
      <c r="C122" s="409"/>
      <c r="D122" s="409"/>
      <c r="E122" s="409"/>
      <c r="F122" s="409"/>
      <c r="G122" s="409"/>
      <c r="H122" s="409"/>
      <c r="I122" s="409"/>
      <c r="J122" s="409"/>
      <c r="K122" s="409"/>
      <c r="L122" s="409"/>
      <c r="M122" s="409"/>
      <c r="N122" s="467"/>
      <c r="O122" s="467"/>
      <c r="P122" s="467"/>
      <c r="Q122" s="467"/>
      <c r="R122" s="467"/>
      <c r="S122" s="467"/>
      <c r="T122" s="467"/>
      <c r="U122" s="467"/>
      <c r="V122" s="467"/>
      <c r="W122" s="467"/>
      <c r="X122" s="467"/>
      <c r="Y122" s="467"/>
      <c r="Z122" s="467"/>
    </row>
    <row r="123" spans="1:26" ht="15.75" customHeight="1">
      <c r="A123" s="409"/>
      <c r="B123" s="409"/>
      <c r="C123" s="409"/>
      <c r="D123" s="409"/>
      <c r="E123" s="409"/>
      <c r="F123" s="409"/>
      <c r="G123" s="409"/>
      <c r="H123" s="409"/>
      <c r="I123" s="409"/>
      <c r="J123" s="409"/>
      <c r="K123" s="409"/>
      <c r="L123" s="409"/>
      <c r="M123" s="409"/>
      <c r="N123" s="467"/>
      <c r="O123" s="467"/>
      <c r="P123" s="467"/>
      <c r="Q123" s="467"/>
      <c r="R123" s="467"/>
      <c r="S123" s="467"/>
      <c r="T123" s="467"/>
      <c r="U123" s="467"/>
      <c r="V123" s="467"/>
      <c r="W123" s="467"/>
      <c r="X123" s="467"/>
      <c r="Y123" s="467"/>
      <c r="Z123" s="467"/>
    </row>
    <row r="124" spans="1:26" ht="15.75" customHeight="1">
      <c r="A124" s="409"/>
      <c r="B124" s="409"/>
      <c r="C124" s="409"/>
      <c r="D124" s="409"/>
      <c r="E124" s="409"/>
      <c r="F124" s="409"/>
      <c r="G124" s="409"/>
      <c r="H124" s="409"/>
      <c r="I124" s="409"/>
      <c r="J124" s="409"/>
      <c r="K124" s="409"/>
      <c r="L124" s="409"/>
      <c r="M124" s="409"/>
      <c r="N124" s="467"/>
      <c r="O124" s="467"/>
      <c r="P124" s="467"/>
      <c r="Q124" s="467"/>
      <c r="R124" s="467"/>
      <c r="S124" s="467"/>
      <c r="T124" s="467"/>
      <c r="U124" s="467"/>
      <c r="V124" s="467"/>
      <c r="W124" s="467"/>
      <c r="X124" s="467"/>
      <c r="Y124" s="467"/>
      <c r="Z124" s="467"/>
    </row>
    <row r="125" spans="1:26" ht="15.75" customHeight="1">
      <c r="A125" s="409"/>
      <c r="B125" s="409"/>
      <c r="C125" s="409"/>
      <c r="D125" s="409"/>
      <c r="E125" s="409"/>
      <c r="F125" s="409"/>
      <c r="G125" s="409"/>
      <c r="H125" s="409"/>
      <c r="I125" s="409"/>
      <c r="J125" s="409"/>
      <c r="K125" s="409"/>
      <c r="L125" s="409"/>
      <c r="M125" s="409"/>
      <c r="N125" s="467"/>
      <c r="O125" s="467"/>
      <c r="P125" s="467"/>
      <c r="Q125" s="467"/>
      <c r="R125" s="467"/>
      <c r="S125" s="467"/>
      <c r="T125" s="467"/>
      <c r="U125" s="467"/>
      <c r="V125" s="467"/>
      <c r="W125" s="467"/>
      <c r="X125" s="467"/>
      <c r="Y125" s="467"/>
      <c r="Z125" s="467"/>
    </row>
    <row r="126" spans="1:26" ht="15.75" customHeight="1">
      <c r="A126" s="409"/>
      <c r="B126" s="409"/>
      <c r="C126" s="409"/>
      <c r="D126" s="409"/>
      <c r="E126" s="409"/>
      <c r="F126" s="409"/>
      <c r="G126" s="409"/>
      <c r="H126" s="409"/>
      <c r="I126" s="409"/>
      <c r="J126" s="409"/>
      <c r="K126" s="409"/>
      <c r="L126" s="409"/>
      <c r="M126" s="409"/>
      <c r="N126" s="467"/>
      <c r="O126" s="467"/>
      <c r="P126" s="467"/>
      <c r="Q126" s="467"/>
      <c r="R126" s="467"/>
      <c r="S126" s="467"/>
      <c r="T126" s="467"/>
      <c r="U126" s="467"/>
      <c r="V126" s="467"/>
      <c r="W126" s="467"/>
      <c r="X126" s="467"/>
      <c r="Y126" s="467"/>
      <c r="Z126" s="467"/>
    </row>
    <row r="127" spans="1:26" ht="15.75" customHeight="1">
      <c r="A127" s="409"/>
      <c r="B127" s="409"/>
      <c r="C127" s="409"/>
      <c r="D127" s="409"/>
      <c r="E127" s="409"/>
      <c r="F127" s="409"/>
      <c r="G127" s="409"/>
      <c r="H127" s="409"/>
      <c r="I127" s="409"/>
      <c r="J127" s="409"/>
      <c r="K127" s="409"/>
      <c r="L127" s="409"/>
      <c r="M127" s="409"/>
      <c r="N127" s="467"/>
      <c r="O127" s="467"/>
      <c r="P127" s="467"/>
      <c r="Q127" s="467"/>
      <c r="R127" s="467"/>
      <c r="S127" s="467"/>
      <c r="T127" s="467"/>
      <c r="U127" s="467"/>
      <c r="V127" s="467"/>
      <c r="W127" s="467"/>
      <c r="X127" s="467"/>
      <c r="Y127" s="467"/>
      <c r="Z127" s="467"/>
    </row>
    <row r="128" spans="1:26" ht="15.75" customHeight="1">
      <c r="A128" s="409"/>
      <c r="B128" s="409"/>
      <c r="C128" s="409"/>
      <c r="D128" s="409"/>
      <c r="E128" s="409"/>
      <c r="F128" s="409"/>
      <c r="G128" s="409"/>
      <c r="H128" s="409"/>
      <c r="I128" s="409"/>
      <c r="J128" s="409"/>
      <c r="K128" s="409"/>
      <c r="L128" s="409"/>
      <c r="M128" s="409"/>
      <c r="N128" s="467"/>
      <c r="O128" s="467"/>
      <c r="P128" s="467"/>
      <c r="Q128" s="467"/>
      <c r="R128" s="467"/>
      <c r="S128" s="467"/>
      <c r="T128" s="467"/>
      <c r="U128" s="467"/>
      <c r="V128" s="467"/>
      <c r="W128" s="467"/>
      <c r="X128" s="467"/>
      <c r="Y128" s="467"/>
      <c r="Z128" s="467"/>
    </row>
    <row r="129" spans="1:26" ht="15.75" customHeight="1">
      <c r="A129" s="409"/>
      <c r="B129" s="409"/>
      <c r="C129" s="409"/>
      <c r="D129" s="409"/>
      <c r="E129" s="409"/>
      <c r="F129" s="409"/>
      <c r="G129" s="409"/>
      <c r="H129" s="409"/>
      <c r="I129" s="409"/>
      <c r="J129" s="409"/>
      <c r="K129" s="409"/>
      <c r="L129" s="409"/>
      <c r="M129" s="409"/>
      <c r="N129" s="467"/>
      <c r="O129" s="467"/>
      <c r="P129" s="467"/>
      <c r="Q129" s="467"/>
      <c r="R129" s="467"/>
      <c r="S129" s="467"/>
      <c r="T129" s="467"/>
      <c r="U129" s="467"/>
      <c r="V129" s="467"/>
      <c r="W129" s="467"/>
      <c r="X129" s="467"/>
      <c r="Y129" s="467"/>
      <c r="Z129" s="467"/>
    </row>
    <row r="130" spans="1:26" ht="15.75" customHeight="1">
      <c r="A130" s="409"/>
      <c r="B130" s="409"/>
      <c r="C130" s="409"/>
      <c r="D130" s="409"/>
      <c r="E130" s="409"/>
      <c r="F130" s="409"/>
      <c r="G130" s="409"/>
      <c r="H130" s="409"/>
      <c r="I130" s="409"/>
      <c r="J130" s="409"/>
      <c r="K130" s="409"/>
      <c r="L130" s="409"/>
      <c r="M130" s="409"/>
      <c r="N130" s="467"/>
      <c r="O130" s="467"/>
      <c r="P130" s="467"/>
      <c r="Q130" s="467"/>
      <c r="R130" s="467"/>
      <c r="S130" s="467"/>
      <c r="T130" s="467"/>
      <c r="U130" s="467"/>
      <c r="V130" s="467"/>
      <c r="W130" s="467"/>
      <c r="X130" s="467"/>
      <c r="Y130" s="467"/>
      <c r="Z130" s="467"/>
    </row>
    <row r="131" spans="1:26" ht="15.75" customHeight="1">
      <c r="A131" s="409"/>
      <c r="B131" s="409"/>
      <c r="C131" s="409"/>
      <c r="D131" s="409"/>
      <c r="E131" s="409"/>
      <c r="F131" s="409"/>
      <c r="G131" s="409"/>
      <c r="H131" s="409"/>
      <c r="I131" s="409"/>
      <c r="J131" s="409"/>
      <c r="K131" s="409"/>
      <c r="L131" s="409"/>
      <c r="M131" s="409"/>
      <c r="N131" s="467"/>
      <c r="O131" s="467"/>
      <c r="P131" s="467"/>
      <c r="Q131" s="467"/>
      <c r="R131" s="467"/>
      <c r="S131" s="467"/>
      <c r="T131" s="467"/>
      <c r="U131" s="467"/>
      <c r="V131" s="467"/>
      <c r="W131" s="467"/>
      <c r="X131" s="467"/>
      <c r="Y131" s="467"/>
      <c r="Z131" s="467"/>
    </row>
    <row r="132" spans="1:26" ht="15.75" customHeight="1">
      <c r="A132" s="409"/>
      <c r="B132" s="409"/>
      <c r="C132" s="409"/>
      <c r="D132" s="409"/>
      <c r="E132" s="409"/>
      <c r="F132" s="409"/>
      <c r="G132" s="409"/>
      <c r="H132" s="409"/>
      <c r="I132" s="409"/>
      <c r="J132" s="409"/>
      <c r="K132" s="409"/>
      <c r="L132" s="409"/>
      <c r="M132" s="409"/>
      <c r="N132" s="467"/>
      <c r="O132" s="467"/>
      <c r="P132" s="467"/>
      <c r="Q132" s="467"/>
      <c r="R132" s="467"/>
      <c r="S132" s="467"/>
      <c r="T132" s="467"/>
      <c r="U132" s="467"/>
      <c r="V132" s="467"/>
      <c r="W132" s="467"/>
      <c r="X132" s="467"/>
      <c r="Y132" s="467"/>
      <c r="Z132" s="467"/>
    </row>
    <row r="133" spans="1:26" ht="15.75" customHeight="1">
      <c r="A133" s="409"/>
      <c r="B133" s="409"/>
      <c r="C133" s="409"/>
      <c r="D133" s="409"/>
      <c r="E133" s="409"/>
      <c r="F133" s="409"/>
      <c r="G133" s="409"/>
      <c r="H133" s="409"/>
      <c r="I133" s="409"/>
      <c r="J133" s="409"/>
      <c r="K133" s="409"/>
      <c r="L133" s="409"/>
      <c r="M133" s="409"/>
      <c r="N133" s="467"/>
      <c r="O133" s="467"/>
      <c r="P133" s="467"/>
      <c r="Q133" s="467"/>
      <c r="R133" s="467"/>
      <c r="S133" s="467"/>
      <c r="T133" s="467"/>
      <c r="U133" s="467"/>
      <c r="V133" s="467"/>
      <c r="W133" s="467"/>
      <c r="X133" s="467"/>
      <c r="Y133" s="467"/>
      <c r="Z133" s="467"/>
    </row>
    <row r="134" spans="1:26" ht="15.75" customHeight="1">
      <c r="A134" s="409"/>
      <c r="B134" s="409"/>
      <c r="C134" s="409"/>
      <c r="D134" s="409"/>
      <c r="E134" s="409"/>
      <c r="F134" s="409"/>
      <c r="G134" s="409"/>
      <c r="H134" s="409"/>
      <c r="I134" s="409"/>
      <c r="J134" s="409"/>
      <c r="K134" s="409"/>
      <c r="L134" s="409"/>
      <c r="M134" s="409"/>
      <c r="N134" s="467"/>
      <c r="O134" s="467"/>
      <c r="P134" s="467"/>
      <c r="Q134" s="467"/>
      <c r="R134" s="467"/>
      <c r="S134" s="467"/>
      <c r="T134" s="467"/>
      <c r="U134" s="467"/>
      <c r="V134" s="467"/>
      <c r="W134" s="467"/>
      <c r="X134" s="467"/>
      <c r="Y134" s="467"/>
      <c r="Z134" s="467"/>
    </row>
    <row r="135" spans="1:26" ht="15.75" customHeight="1">
      <c r="A135" s="409"/>
      <c r="B135" s="409"/>
      <c r="C135" s="409"/>
      <c r="D135" s="409"/>
      <c r="E135" s="409"/>
      <c r="F135" s="409"/>
      <c r="G135" s="409"/>
      <c r="H135" s="409"/>
      <c r="I135" s="409"/>
      <c r="J135" s="409"/>
      <c r="K135" s="409"/>
      <c r="L135" s="409"/>
      <c r="M135" s="409"/>
      <c r="N135" s="467"/>
      <c r="O135" s="467"/>
      <c r="P135" s="467"/>
      <c r="Q135" s="467"/>
      <c r="R135" s="467"/>
      <c r="S135" s="467"/>
      <c r="T135" s="467"/>
      <c r="U135" s="467"/>
      <c r="V135" s="467"/>
      <c r="W135" s="467"/>
      <c r="X135" s="467"/>
      <c r="Y135" s="467"/>
      <c r="Z135" s="467"/>
    </row>
    <row r="136" spans="1:26" ht="15.75" customHeight="1">
      <c r="A136" s="409"/>
      <c r="B136" s="409"/>
      <c r="C136" s="409"/>
      <c r="D136" s="409"/>
      <c r="E136" s="409"/>
      <c r="F136" s="409"/>
      <c r="G136" s="409"/>
      <c r="H136" s="409"/>
      <c r="I136" s="409"/>
      <c r="J136" s="409"/>
      <c r="K136" s="409"/>
      <c r="L136" s="409"/>
      <c r="M136" s="409"/>
      <c r="N136" s="467"/>
      <c r="O136" s="467"/>
      <c r="P136" s="467"/>
      <c r="Q136" s="467"/>
      <c r="R136" s="467"/>
      <c r="S136" s="467"/>
      <c r="T136" s="467"/>
      <c r="U136" s="467"/>
      <c r="V136" s="467"/>
      <c r="W136" s="467"/>
      <c r="X136" s="467"/>
      <c r="Y136" s="467"/>
      <c r="Z136" s="467"/>
    </row>
    <row r="137" spans="1:26" ht="15.75" customHeight="1">
      <c r="A137" s="409"/>
      <c r="B137" s="409"/>
      <c r="C137" s="409"/>
      <c r="D137" s="409"/>
      <c r="E137" s="409"/>
      <c r="F137" s="409"/>
      <c r="G137" s="409"/>
      <c r="H137" s="409"/>
      <c r="I137" s="409"/>
      <c r="J137" s="409"/>
      <c r="K137" s="409"/>
      <c r="L137" s="409"/>
      <c r="M137" s="409"/>
      <c r="N137" s="467"/>
      <c r="O137" s="467"/>
      <c r="P137" s="467"/>
      <c r="Q137" s="467"/>
      <c r="R137" s="467"/>
      <c r="S137" s="467"/>
      <c r="T137" s="467"/>
      <c r="U137" s="467"/>
      <c r="V137" s="467"/>
      <c r="W137" s="467"/>
      <c r="X137" s="467"/>
      <c r="Y137" s="467"/>
      <c r="Z137" s="467"/>
    </row>
    <row r="138" spans="1:26" ht="15.75" customHeight="1">
      <c r="A138" s="409"/>
      <c r="B138" s="409"/>
      <c r="C138" s="409"/>
      <c r="D138" s="409"/>
      <c r="E138" s="409"/>
      <c r="F138" s="409"/>
      <c r="G138" s="409"/>
      <c r="H138" s="409"/>
      <c r="I138" s="409"/>
      <c r="J138" s="409"/>
      <c r="K138" s="409"/>
      <c r="L138" s="409"/>
      <c r="M138" s="409"/>
      <c r="N138" s="467"/>
      <c r="O138" s="467"/>
      <c r="P138" s="467"/>
      <c r="Q138" s="467"/>
      <c r="R138" s="467"/>
      <c r="S138" s="467"/>
      <c r="T138" s="467"/>
      <c r="U138" s="467"/>
      <c r="V138" s="467"/>
      <c r="W138" s="467"/>
      <c r="X138" s="467"/>
      <c r="Y138" s="467"/>
      <c r="Z138" s="467"/>
    </row>
    <row r="139" spans="1:26" ht="15.75" customHeight="1">
      <c r="A139" s="409"/>
      <c r="B139" s="409"/>
      <c r="C139" s="409"/>
      <c r="D139" s="409"/>
      <c r="E139" s="409"/>
      <c r="F139" s="409"/>
      <c r="G139" s="409"/>
      <c r="H139" s="409"/>
      <c r="I139" s="409"/>
      <c r="J139" s="409"/>
      <c r="K139" s="409"/>
      <c r="L139" s="409"/>
      <c r="M139" s="409"/>
      <c r="N139" s="467"/>
      <c r="O139" s="467"/>
      <c r="P139" s="467"/>
      <c r="Q139" s="467"/>
      <c r="R139" s="467"/>
      <c r="S139" s="467"/>
      <c r="T139" s="467"/>
      <c r="U139" s="467"/>
      <c r="V139" s="467"/>
      <c r="W139" s="467"/>
      <c r="X139" s="467"/>
      <c r="Y139" s="467"/>
      <c r="Z139" s="467"/>
    </row>
    <row r="140" spans="1:26" ht="15.75" customHeight="1">
      <c r="A140" s="409"/>
      <c r="B140" s="409"/>
      <c r="C140" s="409"/>
      <c r="D140" s="409"/>
      <c r="E140" s="409"/>
      <c r="F140" s="409"/>
      <c r="G140" s="409"/>
      <c r="H140" s="409"/>
      <c r="I140" s="409"/>
      <c r="J140" s="409"/>
      <c r="K140" s="409"/>
      <c r="L140" s="409"/>
      <c r="M140" s="409"/>
      <c r="N140" s="467"/>
      <c r="O140" s="467"/>
      <c r="P140" s="467"/>
      <c r="Q140" s="467"/>
      <c r="R140" s="467"/>
      <c r="S140" s="467"/>
      <c r="T140" s="467"/>
      <c r="U140" s="467"/>
      <c r="V140" s="467"/>
      <c r="W140" s="467"/>
      <c r="X140" s="467"/>
      <c r="Y140" s="467"/>
      <c r="Z140" s="467"/>
    </row>
    <row r="141" spans="1:26" ht="15.75" customHeight="1">
      <c r="A141" s="409"/>
      <c r="B141" s="409"/>
      <c r="C141" s="409"/>
      <c r="D141" s="409"/>
      <c r="E141" s="409"/>
      <c r="F141" s="409"/>
      <c r="G141" s="409"/>
      <c r="H141" s="409"/>
      <c r="I141" s="409"/>
      <c r="J141" s="409"/>
      <c r="K141" s="409"/>
      <c r="L141" s="409"/>
      <c r="M141" s="409"/>
      <c r="N141" s="467"/>
      <c r="O141" s="467"/>
      <c r="P141" s="467"/>
      <c r="Q141" s="467"/>
      <c r="R141" s="467"/>
      <c r="S141" s="467"/>
      <c r="T141" s="467"/>
      <c r="U141" s="467"/>
      <c r="V141" s="467"/>
      <c r="W141" s="467"/>
      <c r="X141" s="467"/>
      <c r="Y141" s="467"/>
      <c r="Z141" s="467"/>
    </row>
    <row r="142" spans="1:26" ht="15.75" customHeight="1">
      <c r="A142" s="409"/>
      <c r="B142" s="409"/>
      <c r="C142" s="409"/>
      <c r="D142" s="409"/>
      <c r="E142" s="409"/>
      <c r="F142" s="409"/>
      <c r="G142" s="409"/>
      <c r="H142" s="409"/>
      <c r="I142" s="409"/>
      <c r="J142" s="409"/>
      <c r="K142" s="409"/>
      <c r="L142" s="409"/>
      <c r="M142" s="409"/>
      <c r="N142" s="467"/>
      <c r="O142" s="467"/>
      <c r="P142" s="467"/>
      <c r="Q142" s="467"/>
      <c r="R142" s="467"/>
      <c r="S142" s="467"/>
      <c r="T142" s="467"/>
      <c r="U142" s="467"/>
      <c r="V142" s="467"/>
      <c r="W142" s="467"/>
      <c r="X142" s="467"/>
      <c r="Y142" s="467"/>
      <c r="Z142" s="467"/>
    </row>
    <row r="143" spans="1:26" ht="15.75" customHeight="1">
      <c r="A143" s="409"/>
      <c r="B143" s="409"/>
      <c r="C143" s="409"/>
      <c r="D143" s="409"/>
      <c r="E143" s="409"/>
      <c r="F143" s="409"/>
      <c r="G143" s="409"/>
      <c r="H143" s="409"/>
      <c r="I143" s="409"/>
      <c r="J143" s="409"/>
      <c r="K143" s="409"/>
      <c r="L143" s="409"/>
      <c r="M143" s="409"/>
      <c r="N143" s="467"/>
      <c r="O143" s="467"/>
      <c r="P143" s="467"/>
      <c r="Q143" s="467"/>
      <c r="R143" s="467"/>
      <c r="S143" s="467"/>
      <c r="T143" s="467"/>
      <c r="U143" s="467"/>
      <c r="V143" s="467"/>
      <c r="W143" s="467"/>
      <c r="X143" s="467"/>
      <c r="Y143" s="467"/>
      <c r="Z143" s="467"/>
    </row>
    <row r="144" spans="1:26" ht="15.75" customHeight="1">
      <c r="A144" s="409"/>
      <c r="B144" s="409"/>
      <c r="C144" s="409"/>
      <c r="D144" s="409"/>
      <c r="E144" s="409"/>
      <c r="F144" s="409"/>
      <c r="G144" s="409"/>
      <c r="H144" s="409"/>
      <c r="I144" s="409"/>
      <c r="J144" s="409"/>
      <c r="K144" s="409"/>
      <c r="L144" s="409"/>
      <c r="M144" s="409"/>
      <c r="N144" s="467"/>
      <c r="O144" s="467"/>
      <c r="P144" s="467"/>
      <c r="Q144" s="467"/>
      <c r="R144" s="467"/>
      <c r="S144" s="467"/>
      <c r="T144" s="467"/>
      <c r="U144" s="467"/>
      <c r="V144" s="467"/>
      <c r="W144" s="467"/>
      <c r="X144" s="467"/>
      <c r="Y144" s="467"/>
      <c r="Z144" s="467"/>
    </row>
    <row r="145" spans="1:26" ht="15.75" customHeight="1">
      <c r="A145" s="409"/>
      <c r="B145" s="409"/>
      <c r="C145" s="409"/>
      <c r="D145" s="409"/>
      <c r="E145" s="409"/>
      <c r="F145" s="409"/>
      <c r="G145" s="409"/>
      <c r="H145" s="409"/>
      <c r="I145" s="409"/>
      <c r="J145" s="409"/>
      <c r="K145" s="409"/>
      <c r="L145" s="409"/>
      <c r="M145" s="409"/>
      <c r="N145" s="467"/>
      <c r="O145" s="467"/>
      <c r="P145" s="467"/>
      <c r="Q145" s="467"/>
      <c r="R145" s="467"/>
      <c r="S145" s="467"/>
      <c r="T145" s="467"/>
      <c r="U145" s="467"/>
      <c r="V145" s="467"/>
      <c r="W145" s="467"/>
      <c r="X145" s="467"/>
      <c r="Y145" s="467"/>
      <c r="Z145" s="467"/>
    </row>
    <row r="146" spans="1:26" ht="15.75" customHeight="1">
      <c r="A146" s="409"/>
      <c r="B146" s="409"/>
      <c r="C146" s="409"/>
      <c r="D146" s="409"/>
      <c r="E146" s="409"/>
      <c r="F146" s="409"/>
      <c r="G146" s="409"/>
      <c r="H146" s="409"/>
      <c r="I146" s="409"/>
      <c r="J146" s="409"/>
      <c r="K146" s="409"/>
      <c r="L146" s="409"/>
      <c r="M146" s="409"/>
      <c r="N146" s="467"/>
      <c r="O146" s="467"/>
      <c r="P146" s="467"/>
      <c r="Q146" s="467"/>
      <c r="R146" s="467"/>
      <c r="S146" s="467"/>
      <c r="T146" s="467"/>
      <c r="U146" s="467"/>
      <c r="V146" s="467"/>
      <c r="W146" s="467"/>
      <c r="X146" s="467"/>
      <c r="Y146" s="467"/>
      <c r="Z146" s="467"/>
    </row>
    <row r="147" spans="1:26" ht="15.75" customHeight="1">
      <c r="A147" s="409"/>
      <c r="B147" s="409"/>
      <c r="C147" s="409"/>
      <c r="D147" s="409"/>
      <c r="E147" s="409"/>
      <c r="F147" s="409"/>
      <c r="G147" s="409"/>
      <c r="H147" s="409"/>
      <c r="I147" s="409"/>
      <c r="J147" s="409"/>
      <c r="K147" s="409"/>
      <c r="L147" s="409"/>
      <c r="M147" s="409"/>
      <c r="N147" s="467"/>
      <c r="O147" s="467"/>
      <c r="P147" s="467"/>
      <c r="Q147" s="467"/>
      <c r="R147" s="467"/>
      <c r="S147" s="467"/>
      <c r="T147" s="467"/>
      <c r="U147" s="467"/>
      <c r="V147" s="467"/>
      <c r="W147" s="467"/>
      <c r="X147" s="467"/>
      <c r="Y147" s="467"/>
      <c r="Z147" s="467"/>
    </row>
    <row r="148" spans="1:26" ht="15.75" customHeight="1">
      <c r="A148" s="409"/>
      <c r="B148" s="409"/>
      <c r="C148" s="409"/>
      <c r="D148" s="409"/>
      <c r="E148" s="409"/>
      <c r="F148" s="409"/>
      <c r="G148" s="409"/>
      <c r="H148" s="409"/>
      <c r="I148" s="409"/>
      <c r="J148" s="409"/>
      <c r="K148" s="409"/>
      <c r="L148" s="409"/>
      <c r="M148" s="409"/>
      <c r="N148" s="467"/>
      <c r="O148" s="467"/>
      <c r="P148" s="467"/>
      <c r="Q148" s="467"/>
      <c r="R148" s="467"/>
      <c r="S148" s="467"/>
      <c r="T148" s="467"/>
      <c r="U148" s="467"/>
      <c r="V148" s="467"/>
      <c r="W148" s="467"/>
      <c r="X148" s="467"/>
      <c r="Y148" s="467"/>
      <c r="Z148" s="467"/>
    </row>
    <row r="149" spans="1:26" ht="15.75" customHeight="1">
      <c r="A149" s="409"/>
      <c r="B149" s="409"/>
      <c r="C149" s="409"/>
      <c r="D149" s="409"/>
      <c r="E149" s="409"/>
      <c r="F149" s="409"/>
      <c r="G149" s="409"/>
      <c r="H149" s="409"/>
      <c r="I149" s="409"/>
      <c r="J149" s="409"/>
      <c r="K149" s="409"/>
      <c r="L149" s="409"/>
      <c r="M149" s="409"/>
      <c r="N149" s="467"/>
      <c r="O149" s="467"/>
      <c r="P149" s="467"/>
      <c r="Q149" s="467"/>
      <c r="R149" s="467"/>
      <c r="S149" s="467"/>
      <c r="T149" s="467"/>
      <c r="U149" s="467"/>
      <c r="V149" s="467"/>
      <c r="W149" s="467"/>
      <c r="X149" s="467"/>
      <c r="Y149" s="467"/>
      <c r="Z149" s="467"/>
    </row>
    <row r="150" spans="1:26" ht="15.75" customHeight="1">
      <c r="A150" s="409"/>
      <c r="B150" s="409"/>
      <c r="C150" s="409"/>
      <c r="D150" s="409"/>
      <c r="E150" s="409"/>
      <c r="F150" s="409"/>
      <c r="G150" s="409"/>
      <c r="H150" s="409"/>
      <c r="I150" s="409"/>
      <c r="J150" s="409"/>
      <c r="K150" s="409"/>
      <c r="L150" s="409"/>
      <c r="M150" s="409"/>
      <c r="N150" s="467"/>
      <c r="O150" s="467"/>
      <c r="P150" s="467"/>
      <c r="Q150" s="467"/>
      <c r="R150" s="467"/>
      <c r="S150" s="467"/>
      <c r="T150" s="467"/>
      <c r="U150" s="467"/>
      <c r="V150" s="467"/>
      <c r="W150" s="467"/>
      <c r="X150" s="467"/>
      <c r="Y150" s="467"/>
      <c r="Z150" s="467"/>
    </row>
    <row r="151" spans="1:26" ht="15.75" customHeight="1">
      <c r="A151" s="409"/>
      <c r="B151" s="409"/>
      <c r="C151" s="409"/>
      <c r="D151" s="409"/>
      <c r="E151" s="409"/>
      <c r="F151" s="409"/>
      <c r="G151" s="409"/>
      <c r="H151" s="409"/>
      <c r="I151" s="409"/>
      <c r="J151" s="409"/>
      <c r="K151" s="409"/>
      <c r="L151" s="409"/>
      <c r="M151" s="409"/>
      <c r="N151" s="467"/>
      <c r="O151" s="467"/>
      <c r="P151" s="467"/>
      <c r="Q151" s="467"/>
      <c r="R151" s="467"/>
      <c r="S151" s="467"/>
      <c r="T151" s="467"/>
      <c r="U151" s="467"/>
      <c r="V151" s="467"/>
      <c r="W151" s="467"/>
      <c r="X151" s="467"/>
      <c r="Y151" s="467"/>
      <c r="Z151" s="467"/>
    </row>
    <row r="152" spans="1:26" ht="15.75" customHeight="1">
      <c r="A152" s="409"/>
      <c r="B152" s="409"/>
      <c r="C152" s="409"/>
      <c r="D152" s="409"/>
      <c r="E152" s="409"/>
      <c r="F152" s="409"/>
      <c r="G152" s="409"/>
      <c r="H152" s="409"/>
      <c r="I152" s="409"/>
      <c r="J152" s="409"/>
      <c r="K152" s="409"/>
      <c r="L152" s="409"/>
      <c r="M152" s="409"/>
      <c r="N152" s="467"/>
      <c r="O152" s="467"/>
      <c r="P152" s="467"/>
      <c r="Q152" s="467"/>
      <c r="R152" s="467"/>
      <c r="S152" s="467"/>
      <c r="T152" s="467"/>
      <c r="U152" s="467"/>
      <c r="V152" s="467"/>
      <c r="W152" s="467"/>
      <c r="X152" s="467"/>
      <c r="Y152" s="467"/>
      <c r="Z152" s="467"/>
    </row>
    <row r="153" spans="1:26" ht="15.75" customHeight="1">
      <c r="A153" s="409"/>
      <c r="B153" s="409"/>
      <c r="C153" s="409"/>
      <c r="D153" s="409"/>
      <c r="E153" s="409"/>
      <c r="F153" s="409"/>
      <c r="G153" s="409"/>
      <c r="H153" s="409"/>
      <c r="I153" s="409"/>
      <c r="J153" s="409"/>
      <c r="K153" s="409"/>
      <c r="L153" s="409"/>
      <c r="M153" s="409"/>
      <c r="N153" s="467"/>
      <c r="O153" s="467"/>
      <c r="P153" s="467"/>
      <c r="Q153" s="467"/>
      <c r="R153" s="467"/>
      <c r="S153" s="467"/>
      <c r="T153" s="467"/>
      <c r="U153" s="467"/>
      <c r="V153" s="467"/>
      <c r="W153" s="467"/>
      <c r="X153" s="467"/>
      <c r="Y153" s="467"/>
      <c r="Z153" s="467"/>
    </row>
    <row r="154" spans="1:26" ht="15.75" customHeight="1">
      <c r="A154" s="409"/>
      <c r="B154" s="409"/>
      <c r="C154" s="409"/>
      <c r="D154" s="409"/>
      <c r="E154" s="409"/>
      <c r="F154" s="409"/>
      <c r="G154" s="409"/>
      <c r="H154" s="409"/>
      <c r="I154" s="409"/>
      <c r="J154" s="409"/>
      <c r="K154" s="409"/>
      <c r="L154" s="409"/>
      <c r="M154" s="409"/>
      <c r="N154" s="467"/>
      <c r="O154" s="467"/>
      <c r="P154" s="467"/>
      <c r="Q154" s="467"/>
      <c r="R154" s="467"/>
      <c r="S154" s="467"/>
      <c r="T154" s="467"/>
      <c r="U154" s="467"/>
      <c r="V154" s="467"/>
      <c r="W154" s="467"/>
      <c r="X154" s="467"/>
      <c r="Y154" s="467"/>
      <c r="Z154" s="467"/>
    </row>
    <row r="155" spans="1:26" ht="15.75" customHeight="1">
      <c r="A155" s="409"/>
      <c r="B155" s="409"/>
      <c r="C155" s="409"/>
      <c r="D155" s="409"/>
      <c r="E155" s="409"/>
      <c r="F155" s="409"/>
      <c r="G155" s="409"/>
      <c r="H155" s="409"/>
      <c r="I155" s="409"/>
      <c r="J155" s="409"/>
      <c r="K155" s="409"/>
      <c r="L155" s="409"/>
      <c r="M155" s="409"/>
      <c r="N155" s="467"/>
      <c r="O155" s="467"/>
      <c r="P155" s="467"/>
      <c r="Q155" s="467"/>
      <c r="R155" s="467"/>
      <c r="S155" s="467"/>
      <c r="T155" s="467"/>
      <c r="U155" s="467"/>
      <c r="V155" s="467"/>
      <c r="W155" s="467"/>
      <c r="X155" s="467"/>
      <c r="Y155" s="467"/>
      <c r="Z155" s="467"/>
    </row>
    <row r="156" spans="1:26" ht="15.75" customHeight="1">
      <c r="A156" s="409"/>
      <c r="B156" s="409"/>
      <c r="C156" s="409"/>
      <c r="D156" s="409"/>
      <c r="E156" s="409"/>
      <c r="F156" s="409"/>
      <c r="G156" s="409"/>
      <c r="H156" s="409"/>
      <c r="I156" s="409"/>
      <c r="J156" s="409"/>
      <c r="K156" s="409"/>
      <c r="L156" s="409"/>
      <c r="M156" s="409"/>
      <c r="N156" s="467"/>
      <c r="O156" s="467"/>
      <c r="P156" s="467"/>
      <c r="Q156" s="467"/>
      <c r="R156" s="467"/>
      <c r="S156" s="467"/>
      <c r="T156" s="467"/>
      <c r="U156" s="467"/>
      <c r="V156" s="467"/>
      <c r="W156" s="467"/>
      <c r="X156" s="467"/>
      <c r="Y156" s="467"/>
      <c r="Z156" s="467"/>
    </row>
    <row r="157" spans="1:26" ht="15.75" customHeight="1">
      <c r="A157" s="409"/>
      <c r="B157" s="409"/>
      <c r="C157" s="409"/>
      <c r="D157" s="409"/>
      <c r="E157" s="409"/>
      <c r="F157" s="409"/>
      <c r="G157" s="409"/>
      <c r="H157" s="409"/>
      <c r="I157" s="409"/>
      <c r="J157" s="409"/>
      <c r="K157" s="409"/>
      <c r="L157" s="409"/>
      <c r="M157" s="409"/>
      <c r="N157" s="467"/>
      <c r="O157" s="467"/>
      <c r="P157" s="467"/>
      <c r="Q157" s="467"/>
      <c r="R157" s="467"/>
      <c r="S157" s="467"/>
      <c r="T157" s="467"/>
      <c r="U157" s="467"/>
      <c r="V157" s="467"/>
      <c r="W157" s="467"/>
      <c r="X157" s="467"/>
      <c r="Y157" s="467"/>
      <c r="Z157" s="467"/>
    </row>
    <row r="158" spans="1:26" ht="15.75" customHeight="1">
      <c r="A158" s="409"/>
      <c r="B158" s="409"/>
      <c r="C158" s="409"/>
      <c r="D158" s="409"/>
      <c r="E158" s="409"/>
      <c r="F158" s="409"/>
      <c r="G158" s="409"/>
      <c r="H158" s="409"/>
      <c r="I158" s="409"/>
      <c r="J158" s="409"/>
      <c r="K158" s="409"/>
      <c r="L158" s="409"/>
      <c r="M158" s="409"/>
      <c r="N158" s="467"/>
      <c r="O158" s="467"/>
      <c r="P158" s="467"/>
      <c r="Q158" s="467"/>
      <c r="R158" s="467"/>
      <c r="S158" s="467"/>
      <c r="T158" s="467"/>
      <c r="U158" s="467"/>
      <c r="V158" s="467"/>
      <c r="W158" s="467"/>
      <c r="X158" s="467"/>
      <c r="Y158" s="467"/>
      <c r="Z158" s="467"/>
    </row>
    <row r="159" spans="1:26" ht="15.75" customHeight="1">
      <c r="A159" s="409"/>
      <c r="B159" s="409"/>
      <c r="C159" s="409"/>
      <c r="D159" s="409"/>
      <c r="E159" s="409"/>
      <c r="F159" s="409"/>
      <c r="G159" s="409"/>
      <c r="H159" s="409"/>
      <c r="I159" s="409"/>
      <c r="J159" s="409"/>
      <c r="K159" s="409"/>
      <c r="L159" s="409"/>
      <c r="M159" s="409"/>
      <c r="N159" s="467"/>
      <c r="O159" s="467"/>
      <c r="P159" s="467"/>
      <c r="Q159" s="467"/>
      <c r="R159" s="467"/>
      <c r="S159" s="467"/>
      <c r="T159" s="467"/>
      <c r="U159" s="467"/>
      <c r="V159" s="467"/>
      <c r="W159" s="467"/>
      <c r="X159" s="467"/>
      <c r="Y159" s="467"/>
      <c r="Z159" s="467"/>
    </row>
    <row r="160" spans="1:26" ht="15.75" customHeight="1">
      <c r="A160" s="409"/>
      <c r="B160" s="409"/>
      <c r="C160" s="409"/>
      <c r="D160" s="409"/>
      <c r="E160" s="409"/>
      <c r="F160" s="409"/>
      <c r="G160" s="409"/>
      <c r="H160" s="409"/>
      <c r="I160" s="409"/>
      <c r="J160" s="409"/>
      <c r="K160" s="409"/>
      <c r="L160" s="409"/>
      <c r="M160" s="409"/>
      <c r="N160" s="467"/>
      <c r="O160" s="467"/>
      <c r="P160" s="467"/>
      <c r="Q160" s="467"/>
      <c r="R160" s="467"/>
      <c r="S160" s="467"/>
      <c r="T160" s="467"/>
      <c r="U160" s="467"/>
      <c r="V160" s="467"/>
      <c r="W160" s="467"/>
      <c r="X160" s="467"/>
      <c r="Y160" s="467"/>
      <c r="Z160" s="467"/>
    </row>
    <row r="161" spans="1:26" ht="15.75" customHeight="1">
      <c r="A161" s="409"/>
      <c r="B161" s="409"/>
      <c r="C161" s="409"/>
      <c r="D161" s="409"/>
      <c r="E161" s="409"/>
      <c r="F161" s="409"/>
      <c r="G161" s="409"/>
      <c r="H161" s="409"/>
      <c r="I161" s="409"/>
      <c r="J161" s="409"/>
      <c r="K161" s="409"/>
      <c r="L161" s="409"/>
      <c r="M161" s="409"/>
      <c r="N161" s="467"/>
      <c r="O161" s="467"/>
      <c r="P161" s="467"/>
      <c r="Q161" s="467"/>
      <c r="R161" s="467"/>
      <c r="S161" s="467"/>
      <c r="T161" s="467"/>
      <c r="U161" s="467"/>
      <c r="V161" s="467"/>
      <c r="W161" s="467"/>
      <c r="X161" s="467"/>
      <c r="Y161" s="467"/>
      <c r="Z161" s="467"/>
    </row>
    <row r="162" spans="1:26" ht="15.75" customHeight="1">
      <c r="A162" s="409"/>
      <c r="B162" s="409"/>
      <c r="C162" s="409"/>
      <c r="D162" s="409"/>
      <c r="E162" s="409"/>
      <c r="F162" s="409"/>
      <c r="G162" s="409"/>
      <c r="H162" s="409"/>
      <c r="I162" s="409"/>
      <c r="J162" s="409"/>
      <c r="K162" s="409"/>
      <c r="L162" s="409"/>
      <c r="M162" s="409"/>
      <c r="N162" s="467"/>
      <c r="O162" s="467"/>
      <c r="P162" s="467"/>
      <c r="Q162" s="467"/>
      <c r="R162" s="467"/>
      <c r="S162" s="467"/>
      <c r="T162" s="467"/>
      <c r="U162" s="467"/>
      <c r="V162" s="467"/>
      <c r="W162" s="467"/>
      <c r="X162" s="467"/>
      <c r="Y162" s="467"/>
      <c r="Z162" s="467"/>
    </row>
    <row r="163" spans="1:26" ht="15.75" customHeight="1">
      <c r="A163" s="409"/>
      <c r="B163" s="409"/>
      <c r="C163" s="409"/>
      <c r="D163" s="409"/>
      <c r="E163" s="409"/>
      <c r="F163" s="409"/>
      <c r="G163" s="409"/>
      <c r="H163" s="409"/>
      <c r="I163" s="409"/>
      <c r="J163" s="409"/>
      <c r="K163" s="409"/>
      <c r="L163" s="409"/>
      <c r="M163" s="409"/>
      <c r="N163" s="467"/>
      <c r="O163" s="467"/>
      <c r="P163" s="467"/>
      <c r="Q163" s="467"/>
      <c r="R163" s="467"/>
      <c r="S163" s="467"/>
      <c r="T163" s="467"/>
      <c r="U163" s="467"/>
      <c r="V163" s="467"/>
      <c r="W163" s="467"/>
      <c r="X163" s="467"/>
      <c r="Y163" s="467"/>
      <c r="Z163" s="467"/>
    </row>
    <row r="164" spans="1:26" ht="15.75" customHeight="1">
      <c r="A164" s="409"/>
      <c r="B164" s="409"/>
      <c r="C164" s="409"/>
      <c r="D164" s="409"/>
      <c r="E164" s="409"/>
      <c r="F164" s="409"/>
      <c r="G164" s="409"/>
      <c r="H164" s="409"/>
      <c r="I164" s="409"/>
      <c r="J164" s="409"/>
      <c r="K164" s="409"/>
      <c r="L164" s="409"/>
      <c r="M164" s="409"/>
      <c r="N164" s="467"/>
      <c r="O164" s="467"/>
      <c r="P164" s="467"/>
      <c r="Q164" s="467"/>
      <c r="R164" s="467"/>
      <c r="S164" s="467"/>
      <c r="T164" s="467"/>
      <c r="U164" s="467"/>
      <c r="V164" s="467"/>
      <c r="W164" s="467"/>
      <c r="X164" s="467"/>
      <c r="Y164" s="467"/>
      <c r="Z164" s="467"/>
    </row>
    <row r="165" spans="1:26" ht="15.75" customHeight="1">
      <c r="A165" s="409"/>
      <c r="B165" s="409"/>
      <c r="C165" s="409"/>
      <c r="D165" s="409"/>
      <c r="E165" s="409"/>
      <c r="F165" s="409"/>
      <c r="G165" s="409"/>
      <c r="H165" s="409"/>
      <c r="I165" s="409"/>
      <c r="J165" s="409"/>
      <c r="K165" s="409"/>
      <c r="L165" s="409"/>
      <c r="M165" s="409"/>
      <c r="N165" s="467"/>
      <c r="O165" s="467"/>
      <c r="P165" s="467"/>
      <c r="Q165" s="467"/>
      <c r="R165" s="467"/>
      <c r="S165" s="467"/>
      <c r="T165" s="467"/>
      <c r="U165" s="467"/>
      <c r="V165" s="467"/>
      <c r="W165" s="467"/>
      <c r="X165" s="467"/>
      <c r="Y165" s="467"/>
      <c r="Z165" s="467"/>
    </row>
    <row r="166" spans="1:26" ht="15.75" customHeight="1">
      <c r="A166" s="409"/>
      <c r="B166" s="409"/>
      <c r="C166" s="409"/>
      <c r="D166" s="409"/>
      <c r="E166" s="409"/>
      <c r="F166" s="409"/>
      <c r="G166" s="409"/>
      <c r="H166" s="409"/>
      <c r="I166" s="409"/>
      <c r="J166" s="409"/>
      <c r="K166" s="409"/>
      <c r="L166" s="409"/>
      <c r="M166" s="409"/>
      <c r="N166" s="467"/>
      <c r="O166" s="467"/>
      <c r="P166" s="467"/>
      <c r="Q166" s="467"/>
      <c r="R166" s="467"/>
      <c r="S166" s="467"/>
      <c r="T166" s="467"/>
      <c r="U166" s="467"/>
      <c r="V166" s="467"/>
      <c r="W166" s="467"/>
      <c r="X166" s="467"/>
      <c r="Y166" s="467"/>
      <c r="Z166" s="467"/>
    </row>
    <row r="167" spans="1:26" ht="15.75" customHeight="1">
      <c r="A167" s="409"/>
      <c r="B167" s="409"/>
      <c r="C167" s="409"/>
      <c r="D167" s="409"/>
      <c r="E167" s="409"/>
      <c r="F167" s="409"/>
      <c r="G167" s="409"/>
      <c r="H167" s="409"/>
      <c r="I167" s="409"/>
      <c r="J167" s="409"/>
      <c r="K167" s="409"/>
      <c r="L167" s="409"/>
      <c r="M167" s="409"/>
      <c r="N167" s="467"/>
      <c r="O167" s="467"/>
      <c r="P167" s="467"/>
      <c r="Q167" s="467"/>
      <c r="R167" s="467"/>
      <c r="S167" s="467"/>
      <c r="T167" s="467"/>
      <c r="U167" s="467"/>
      <c r="V167" s="467"/>
      <c r="W167" s="467"/>
      <c r="X167" s="467"/>
      <c r="Y167" s="467"/>
      <c r="Z167" s="467"/>
    </row>
    <row r="168" spans="1:26" ht="15.75" customHeight="1">
      <c r="A168" s="409"/>
      <c r="B168" s="409"/>
      <c r="C168" s="409"/>
      <c r="D168" s="409"/>
      <c r="E168" s="409"/>
      <c r="F168" s="409"/>
      <c r="G168" s="409"/>
      <c r="H168" s="409"/>
      <c r="I168" s="409"/>
      <c r="J168" s="409"/>
      <c r="K168" s="409"/>
      <c r="L168" s="409"/>
      <c r="M168" s="409"/>
      <c r="N168" s="467"/>
      <c r="O168" s="467"/>
      <c r="P168" s="467"/>
      <c r="Q168" s="467"/>
      <c r="R168" s="467"/>
      <c r="S168" s="467"/>
      <c r="T168" s="467"/>
      <c r="U168" s="467"/>
      <c r="V168" s="467"/>
      <c r="W168" s="467"/>
      <c r="X168" s="467"/>
      <c r="Y168" s="467"/>
      <c r="Z168" s="467"/>
    </row>
    <row r="169" spans="1:26" ht="15.75" customHeight="1">
      <c r="A169" s="409"/>
      <c r="B169" s="409"/>
      <c r="C169" s="409"/>
      <c r="D169" s="409"/>
      <c r="E169" s="409"/>
      <c r="F169" s="409"/>
      <c r="G169" s="409"/>
      <c r="H169" s="409"/>
      <c r="I169" s="409"/>
      <c r="J169" s="409"/>
      <c r="K169" s="409"/>
      <c r="L169" s="409"/>
      <c r="M169" s="409"/>
      <c r="N169" s="467"/>
      <c r="O169" s="467"/>
      <c r="P169" s="467"/>
      <c r="Q169" s="467"/>
      <c r="R169" s="467"/>
      <c r="S169" s="467"/>
      <c r="T169" s="467"/>
      <c r="U169" s="467"/>
      <c r="V169" s="467"/>
      <c r="W169" s="467"/>
      <c r="X169" s="467"/>
      <c r="Y169" s="467"/>
      <c r="Z169" s="467"/>
    </row>
    <row r="170" spans="1:26" ht="15.75" customHeight="1">
      <c r="A170" s="409"/>
      <c r="B170" s="409"/>
      <c r="C170" s="409"/>
      <c r="D170" s="409"/>
      <c r="E170" s="409"/>
      <c r="F170" s="409"/>
      <c r="G170" s="409"/>
      <c r="H170" s="409"/>
      <c r="I170" s="409"/>
      <c r="J170" s="409"/>
      <c r="K170" s="409"/>
      <c r="L170" s="409"/>
      <c r="M170" s="409"/>
      <c r="N170" s="467"/>
      <c r="O170" s="467"/>
      <c r="P170" s="467"/>
      <c r="Q170" s="467"/>
      <c r="R170" s="467"/>
      <c r="S170" s="467"/>
      <c r="T170" s="467"/>
      <c r="U170" s="467"/>
      <c r="V170" s="467"/>
      <c r="W170" s="467"/>
      <c r="X170" s="467"/>
      <c r="Y170" s="467"/>
      <c r="Z170" s="467"/>
    </row>
    <row r="171" spans="1:26" ht="15.75" customHeight="1">
      <c r="A171" s="409"/>
      <c r="B171" s="409"/>
      <c r="C171" s="409"/>
      <c r="D171" s="409"/>
      <c r="E171" s="409"/>
      <c r="F171" s="409"/>
      <c r="G171" s="409"/>
      <c r="H171" s="409"/>
      <c r="I171" s="409"/>
      <c r="J171" s="409"/>
      <c r="K171" s="409"/>
      <c r="L171" s="409"/>
      <c r="M171" s="409"/>
      <c r="N171" s="467"/>
      <c r="O171" s="467"/>
      <c r="P171" s="467"/>
      <c r="Q171" s="467"/>
      <c r="R171" s="467"/>
      <c r="S171" s="467"/>
      <c r="T171" s="467"/>
      <c r="U171" s="467"/>
      <c r="V171" s="467"/>
      <c r="W171" s="467"/>
      <c r="X171" s="467"/>
      <c r="Y171" s="467"/>
      <c r="Z171" s="467"/>
    </row>
    <row r="172" spans="1:26" ht="15.75" customHeight="1">
      <c r="A172" s="409"/>
      <c r="B172" s="409"/>
      <c r="C172" s="409"/>
      <c r="D172" s="409"/>
      <c r="E172" s="409"/>
      <c r="F172" s="409"/>
      <c r="G172" s="409"/>
      <c r="H172" s="409"/>
      <c r="I172" s="409"/>
      <c r="J172" s="409"/>
      <c r="K172" s="409"/>
      <c r="L172" s="409"/>
      <c r="M172" s="409"/>
      <c r="N172" s="467"/>
      <c r="O172" s="467"/>
      <c r="P172" s="467"/>
      <c r="Q172" s="467"/>
      <c r="R172" s="467"/>
      <c r="S172" s="467"/>
      <c r="T172" s="467"/>
      <c r="U172" s="467"/>
      <c r="V172" s="467"/>
      <c r="W172" s="467"/>
      <c r="X172" s="467"/>
      <c r="Y172" s="467"/>
      <c r="Z172" s="467"/>
    </row>
    <row r="173" spans="1:26" ht="15.75" customHeight="1">
      <c r="A173" s="409"/>
      <c r="B173" s="409"/>
      <c r="C173" s="409"/>
      <c r="D173" s="409"/>
      <c r="E173" s="409"/>
      <c r="F173" s="409"/>
      <c r="G173" s="409"/>
      <c r="H173" s="409"/>
      <c r="I173" s="409"/>
      <c r="J173" s="409"/>
      <c r="K173" s="409"/>
      <c r="L173" s="409"/>
      <c r="M173" s="409"/>
      <c r="N173" s="467"/>
      <c r="O173" s="467"/>
      <c r="P173" s="467"/>
      <c r="Q173" s="467"/>
      <c r="R173" s="467"/>
      <c r="S173" s="467"/>
      <c r="T173" s="467"/>
      <c r="U173" s="467"/>
      <c r="V173" s="467"/>
      <c r="W173" s="467"/>
      <c r="X173" s="467"/>
      <c r="Y173" s="467"/>
      <c r="Z173" s="467"/>
    </row>
    <row r="174" spans="1:26" ht="15.75" customHeight="1">
      <c r="A174" s="409"/>
      <c r="B174" s="409"/>
      <c r="C174" s="409"/>
      <c r="D174" s="409"/>
      <c r="E174" s="409"/>
      <c r="F174" s="409"/>
      <c r="G174" s="409"/>
      <c r="H174" s="409"/>
      <c r="I174" s="409"/>
      <c r="J174" s="409"/>
      <c r="K174" s="409"/>
      <c r="L174" s="409"/>
      <c r="M174" s="409"/>
      <c r="N174" s="467"/>
      <c r="O174" s="467"/>
      <c r="P174" s="467"/>
      <c r="Q174" s="467"/>
      <c r="R174" s="467"/>
      <c r="S174" s="467"/>
      <c r="T174" s="467"/>
      <c r="U174" s="467"/>
      <c r="V174" s="467"/>
      <c r="W174" s="467"/>
      <c r="X174" s="467"/>
      <c r="Y174" s="467"/>
      <c r="Z174" s="467"/>
    </row>
    <row r="175" spans="1:26" ht="15.75" customHeight="1">
      <c r="A175" s="409"/>
      <c r="B175" s="409"/>
      <c r="C175" s="409"/>
      <c r="D175" s="409"/>
      <c r="E175" s="409"/>
      <c r="F175" s="409"/>
      <c r="G175" s="409"/>
      <c r="H175" s="409"/>
      <c r="I175" s="409"/>
      <c r="J175" s="409"/>
      <c r="K175" s="409"/>
      <c r="L175" s="409"/>
      <c r="M175" s="409"/>
      <c r="N175" s="467"/>
      <c r="O175" s="467"/>
      <c r="P175" s="467"/>
      <c r="Q175" s="467"/>
      <c r="R175" s="467"/>
      <c r="S175" s="467"/>
      <c r="T175" s="467"/>
      <c r="U175" s="467"/>
      <c r="V175" s="467"/>
      <c r="W175" s="467"/>
      <c r="X175" s="467"/>
      <c r="Y175" s="467"/>
      <c r="Z175" s="467"/>
    </row>
    <row r="176" spans="1:26" ht="15.75" customHeight="1">
      <c r="A176" s="409"/>
      <c r="B176" s="409"/>
      <c r="C176" s="409"/>
      <c r="D176" s="409"/>
      <c r="E176" s="409"/>
      <c r="F176" s="409"/>
      <c r="G176" s="409"/>
      <c r="H176" s="409"/>
      <c r="I176" s="409"/>
      <c r="J176" s="409"/>
      <c r="K176" s="409"/>
      <c r="L176" s="409"/>
      <c r="M176" s="409"/>
      <c r="N176" s="467"/>
      <c r="O176" s="467"/>
      <c r="P176" s="467"/>
      <c r="Q176" s="467"/>
      <c r="R176" s="467"/>
      <c r="S176" s="467"/>
      <c r="T176" s="467"/>
      <c r="U176" s="467"/>
      <c r="V176" s="467"/>
      <c r="W176" s="467"/>
      <c r="X176" s="467"/>
      <c r="Y176" s="467"/>
      <c r="Z176" s="467"/>
    </row>
    <row r="177" spans="1:26" ht="15.75" customHeight="1">
      <c r="A177" s="409"/>
      <c r="B177" s="409"/>
      <c r="C177" s="409"/>
      <c r="D177" s="409"/>
      <c r="E177" s="409"/>
      <c r="F177" s="409"/>
      <c r="G177" s="409"/>
      <c r="H177" s="409"/>
      <c r="I177" s="409"/>
      <c r="J177" s="409"/>
      <c r="K177" s="409"/>
      <c r="L177" s="409"/>
      <c r="M177" s="409"/>
      <c r="N177" s="467"/>
      <c r="O177" s="467"/>
      <c r="P177" s="467"/>
      <c r="Q177" s="467"/>
      <c r="R177" s="467"/>
      <c r="S177" s="467"/>
      <c r="T177" s="467"/>
      <c r="U177" s="467"/>
      <c r="V177" s="467"/>
      <c r="W177" s="467"/>
      <c r="X177" s="467"/>
      <c r="Y177" s="467"/>
      <c r="Z177" s="467"/>
    </row>
    <row r="178" spans="1:26" ht="15.75" customHeight="1">
      <c r="A178" s="409"/>
      <c r="B178" s="409"/>
      <c r="C178" s="409"/>
      <c r="D178" s="409"/>
      <c r="E178" s="409"/>
      <c r="F178" s="409"/>
      <c r="G178" s="409"/>
      <c r="H178" s="409"/>
      <c r="I178" s="409"/>
      <c r="J178" s="409"/>
      <c r="K178" s="409"/>
      <c r="L178" s="409"/>
      <c r="M178" s="409"/>
      <c r="N178" s="467"/>
      <c r="O178" s="467"/>
      <c r="P178" s="467"/>
      <c r="Q178" s="467"/>
      <c r="R178" s="467"/>
      <c r="S178" s="467"/>
      <c r="T178" s="467"/>
      <c r="U178" s="467"/>
      <c r="V178" s="467"/>
      <c r="W178" s="467"/>
      <c r="X178" s="467"/>
      <c r="Y178" s="467"/>
      <c r="Z178" s="467"/>
    </row>
    <row r="179" spans="1:26" ht="15.75" customHeight="1">
      <c r="A179" s="409"/>
      <c r="B179" s="409"/>
      <c r="C179" s="409"/>
      <c r="D179" s="409"/>
      <c r="E179" s="409"/>
      <c r="F179" s="409"/>
      <c r="G179" s="409"/>
      <c r="H179" s="409"/>
      <c r="I179" s="409"/>
      <c r="J179" s="409"/>
      <c r="K179" s="409"/>
      <c r="L179" s="409"/>
      <c r="M179" s="409"/>
      <c r="N179" s="467"/>
      <c r="O179" s="467"/>
      <c r="P179" s="467"/>
      <c r="Q179" s="467"/>
      <c r="R179" s="467"/>
      <c r="S179" s="467"/>
      <c r="T179" s="467"/>
      <c r="U179" s="467"/>
      <c r="V179" s="467"/>
      <c r="W179" s="467"/>
      <c r="X179" s="467"/>
      <c r="Y179" s="467"/>
      <c r="Z179" s="467"/>
    </row>
    <row r="180" spans="1:26" ht="15.75" customHeight="1">
      <c r="A180" s="409"/>
      <c r="B180" s="409"/>
      <c r="C180" s="409"/>
      <c r="D180" s="409"/>
      <c r="E180" s="409"/>
      <c r="F180" s="409"/>
      <c r="G180" s="409"/>
      <c r="H180" s="409"/>
      <c r="I180" s="409"/>
      <c r="J180" s="409"/>
      <c r="K180" s="409"/>
      <c r="L180" s="409"/>
      <c r="M180" s="409"/>
      <c r="N180" s="467"/>
      <c r="O180" s="467"/>
      <c r="P180" s="467"/>
      <c r="Q180" s="467"/>
      <c r="R180" s="467"/>
      <c r="S180" s="467"/>
      <c r="T180" s="467"/>
      <c r="U180" s="467"/>
      <c r="V180" s="467"/>
      <c r="W180" s="467"/>
      <c r="X180" s="467"/>
      <c r="Y180" s="467"/>
      <c r="Z180" s="467"/>
    </row>
    <row r="181" spans="1:26" ht="15.75" customHeight="1">
      <c r="A181" s="409"/>
      <c r="B181" s="409"/>
      <c r="C181" s="409"/>
      <c r="D181" s="409"/>
      <c r="E181" s="409"/>
      <c r="F181" s="409"/>
      <c r="G181" s="409"/>
      <c r="H181" s="409"/>
      <c r="I181" s="409"/>
      <c r="J181" s="409"/>
      <c r="K181" s="409"/>
      <c r="L181" s="409"/>
      <c r="M181" s="409"/>
      <c r="N181" s="467"/>
      <c r="O181" s="467"/>
      <c r="P181" s="467"/>
      <c r="Q181" s="467"/>
      <c r="R181" s="467"/>
      <c r="S181" s="467"/>
      <c r="T181" s="467"/>
      <c r="U181" s="467"/>
      <c r="V181" s="467"/>
      <c r="W181" s="467"/>
      <c r="X181" s="467"/>
      <c r="Y181" s="467"/>
      <c r="Z181" s="467"/>
    </row>
    <row r="182" spans="1:26" ht="15.75" customHeight="1">
      <c r="A182" s="409"/>
      <c r="B182" s="409"/>
      <c r="C182" s="409"/>
      <c r="D182" s="409"/>
      <c r="E182" s="409"/>
      <c r="F182" s="409"/>
      <c r="G182" s="409"/>
      <c r="H182" s="409"/>
      <c r="I182" s="409"/>
      <c r="J182" s="409"/>
      <c r="K182" s="409"/>
      <c r="L182" s="409"/>
      <c r="M182" s="409"/>
      <c r="N182" s="467"/>
      <c r="O182" s="467"/>
      <c r="P182" s="467"/>
      <c r="Q182" s="467"/>
      <c r="R182" s="467"/>
      <c r="S182" s="467"/>
      <c r="T182" s="467"/>
      <c r="U182" s="467"/>
      <c r="V182" s="467"/>
      <c r="W182" s="467"/>
      <c r="X182" s="467"/>
      <c r="Y182" s="467"/>
      <c r="Z182" s="467"/>
    </row>
    <row r="183" spans="1:26" ht="15.75" customHeight="1">
      <c r="A183" s="409"/>
      <c r="B183" s="409"/>
      <c r="C183" s="409"/>
      <c r="D183" s="409"/>
      <c r="E183" s="409"/>
      <c r="F183" s="409"/>
      <c r="G183" s="409"/>
      <c r="H183" s="409"/>
      <c r="I183" s="409"/>
      <c r="J183" s="409"/>
      <c r="K183" s="409"/>
      <c r="L183" s="409"/>
      <c r="M183" s="409"/>
      <c r="N183" s="467"/>
      <c r="O183" s="467"/>
      <c r="P183" s="467"/>
      <c r="Q183" s="467"/>
      <c r="R183" s="467"/>
      <c r="S183" s="467"/>
      <c r="T183" s="467"/>
      <c r="U183" s="467"/>
      <c r="V183" s="467"/>
      <c r="W183" s="467"/>
      <c r="X183" s="467"/>
      <c r="Y183" s="467"/>
      <c r="Z183" s="467"/>
    </row>
    <row r="184" spans="1:26" ht="15.75" customHeight="1">
      <c r="A184" s="409"/>
      <c r="B184" s="409"/>
      <c r="C184" s="409"/>
      <c r="D184" s="409"/>
      <c r="E184" s="409"/>
      <c r="F184" s="409"/>
      <c r="G184" s="409"/>
      <c r="H184" s="409"/>
      <c r="I184" s="409"/>
      <c r="J184" s="409"/>
      <c r="K184" s="409"/>
      <c r="L184" s="409"/>
      <c r="M184" s="409"/>
      <c r="N184" s="467"/>
      <c r="O184" s="467"/>
      <c r="P184" s="467"/>
      <c r="Q184" s="467"/>
      <c r="R184" s="467"/>
      <c r="S184" s="467"/>
      <c r="T184" s="467"/>
      <c r="U184" s="467"/>
      <c r="V184" s="467"/>
      <c r="W184" s="467"/>
      <c r="X184" s="467"/>
      <c r="Y184" s="467"/>
      <c r="Z184" s="467"/>
    </row>
    <row r="185" spans="1:26" ht="15.75" customHeight="1">
      <c r="A185" s="409"/>
      <c r="B185" s="409"/>
      <c r="C185" s="409"/>
      <c r="D185" s="409"/>
      <c r="E185" s="409"/>
      <c r="F185" s="409"/>
      <c r="G185" s="409"/>
      <c r="H185" s="409"/>
      <c r="I185" s="409"/>
      <c r="J185" s="409"/>
      <c r="K185" s="409"/>
      <c r="L185" s="409"/>
      <c r="M185" s="409"/>
      <c r="N185" s="467"/>
      <c r="O185" s="467"/>
      <c r="P185" s="467"/>
      <c r="Q185" s="467"/>
      <c r="R185" s="467"/>
      <c r="S185" s="467"/>
      <c r="T185" s="467"/>
      <c r="U185" s="467"/>
      <c r="V185" s="467"/>
      <c r="W185" s="467"/>
      <c r="X185" s="467"/>
      <c r="Y185" s="467"/>
      <c r="Z185" s="467"/>
    </row>
    <row r="186" spans="1:26" ht="15.75" customHeight="1">
      <c r="A186" s="409"/>
      <c r="B186" s="409"/>
      <c r="C186" s="409"/>
      <c r="D186" s="409"/>
      <c r="E186" s="409"/>
      <c r="F186" s="409"/>
      <c r="G186" s="409"/>
      <c r="H186" s="409"/>
      <c r="I186" s="409"/>
      <c r="J186" s="409"/>
      <c r="K186" s="409"/>
      <c r="L186" s="409"/>
      <c r="M186" s="409"/>
      <c r="N186" s="467"/>
      <c r="O186" s="467"/>
      <c r="P186" s="467"/>
      <c r="Q186" s="467"/>
      <c r="R186" s="467"/>
      <c r="S186" s="467"/>
      <c r="T186" s="467"/>
      <c r="U186" s="467"/>
      <c r="V186" s="467"/>
      <c r="W186" s="467"/>
      <c r="X186" s="467"/>
      <c r="Y186" s="467"/>
      <c r="Z186" s="467"/>
    </row>
    <row r="187" spans="1:26" ht="15.75" customHeight="1">
      <c r="A187" s="409"/>
      <c r="B187" s="409"/>
      <c r="C187" s="409"/>
      <c r="D187" s="409"/>
      <c r="E187" s="409"/>
      <c r="F187" s="409"/>
      <c r="G187" s="409"/>
      <c r="H187" s="409"/>
      <c r="I187" s="409"/>
      <c r="J187" s="409"/>
      <c r="K187" s="409"/>
      <c r="L187" s="409"/>
      <c r="M187" s="409"/>
      <c r="N187" s="467"/>
      <c r="O187" s="467"/>
      <c r="P187" s="467"/>
      <c r="Q187" s="467"/>
      <c r="R187" s="467"/>
      <c r="S187" s="467"/>
      <c r="T187" s="467"/>
      <c r="U187" s="467"/>
      <c r="V187" s="467"/>
      <c r="W187" s="467"/>
      <c r="X187" s="467"/>
      <c r="Y187" s="467"/>
      <c r="Z187" s="467"/>
    </row>
    <row r="188" spans="1:26" ht="15.75" customHeight="1">
      <c r="A188" s="409"/>
      <c r="B188" s="409"/>
      <c r="C188" s="409"/>
      <c r="D188" s="409"/>
      <c r="E188" s="409"/>
      <c r="F188" s="409"/>
      <c r="G188" s="409"/>
      <c r="H188" s="409"/>
      <c r="I188" s="409"/>
      <c r="J188" s="409"/>
      <c r="K188" s="409"/>
      <c r="L188" s="409"/>
      <c r="M188" s="409"/>
      <c r="N188" s="467"/>
      <c r="O188" s="467"/>
      <c r="P188" s="467"/>
      <c r="Q188" s="467"/>
      <c r="R188" s="467"/>
      <c r="S188" s="467"/>
      <c r="T188" s="467"/>
      <c r="U188" s="467"/>
      <c r="V188" s="467"/>
      <c r="W188" s="467"/>
      <c r="X188" s="467"/>
      <c r="Y188" s="467"/>
      <c r="Z188" s="467"/>
    </row>
    <row r="189" spans="1:26" ht="15.75" customHeight="1">
      <c r="A189" s="409"/>
      <c r="B189" s="409"/>
      <c r="C189" s="409"/>
      <c r="D189" s="409"/>
      <c r="E189" s="409"/>
      <c r="F189" s="409"/>
      <c r="G189" s="409"/>
      <c r="H189" s="409"/>
      <c r="I189" s="409"/>
      <c r="J189" s="409"/>
      <c r="K189" s="409"/>
      <c r="L189" s="409"/>
      <c r="M189" s="409"/>
      <c r="N189" s="467"/>
      <c r="O189" s="467"/>
      <c r="P189" s="467"/>
      <c r="Q189" s="467"/>
      <c r="R189" s="467"/>
      <c r="S189" s="467"/>
      <c r="T189" s="467"/>
      <c r="U189" s="467"/>
      <c r="V189" s="467"/>
      <c r="W189" s="467"/>
      <c r="X189" s="467"/>
      <c r="Y189" s="467"/>
      <c r="Z189" s="467"/>
    </row>
    <row r="190" spans="1:26" ht="15.75" customHeight="1">
      <c r="A190" s="409"/>
      <c r="B190" s="409"/>
      <c r="C190" s="409"/>
      <c r="D190" s="409"/>
      <c r="E190" s="409"/>
      <c r="F190" s="409"/>
      <c r="G190" s="409"/>
      <c r="H190" s="409"/>
      <c r="I190" s="409"/>
      <c r="J190" s="409"/>
      <c r="K190" s="409"/>
      <c r="L190" s="409"/>
      <c r="M190" s="409"/>
      <c r="N190" s="467"/>
      <c r="O190" s="467"/>
      <c r="P190" s="467"/>
      <c r="Q190" s="467"/>
      <c r="R190" s="467"/>
      <c r="S190" s="467"/>
      <c r="T190" s="467"/>
      <c r="U190" s="467"/>
      <c r="V190" s="467"/>
      <c r="W190" s="467"/>
      <c r="X190" s="467"/>
      <c r="Y190" s="467"/>
      <c r="Z190" s="467"/>
    </row>
    <row r="191" spans="1:26" ht="15.75" customHeight="1">
      <c r="A191" s="409"/>
      <c r="B191" s="409"/>
      <c r="C191" s="409"/>
      <c r="D191" s="409"/>
      <c r="E191" s="409"/>
      <c r="F191" s="409"/>
      <c r="G191" s="409"/>
      <c r="H191" s="409"/>
      <c r="I191" s="409"/>
      <c r="J191" s="409"/>
      <c r="K191" s="409"/>
      <c r="L191" s="409"/>
      <c r="M191" s="409"/>
      <c r="N191" s="467"/>
      <c r="O191" s="467"/>
      <c r="P191" s="467"/>
      <c r="Q191" s="467"/>
      <c r="R191" s="467"/>
      <c r="S191" s="467"/>
      <c r="T191" s="467"/>
      <c r="U191" s="467"/>
      <c r="V191" s="467"/>
      <c r="W191" s="467"/>
      <c r="X191" s="467"/>
      <c r="Y191" s="467"/>
      <c r="Z191" s="467"/>
    </row>
    <row r="192" spans="1:26" ht="15.75" customHeight="1">
      <c r="A192" s="409"/>
      <c r="B192" s="409"/>
      <c r="C192" s="409"/>
      <c r="D192" s="409"/>
      <c r="E192" s="409"/>
      <c r="F192" s="409"/>
      <c r="G192" s="409"/>
      <c r="H192" s="409"/>
      <c r="I192" s="409"/>
      <c r="J192" s="409"/>
      <c r="K192" s="409"/>
      <c r="L192" s="409"/>
      <c r="M192" s="409"/>
      <c r="N192" s="467"/>
      <c r="O192" s="467"/>
      <c r="P192" s="467"/>
      <c r="Q192" s="467"/>
      <c r="R192" s="467"/>
      <c r="S192" s="467"/>
      <c r="T192" s="467"/>
      <c r="U192" s="467"/>
      <c r="V192" s="467"/>
      <c r="W192" s="467"/>
      <c r="X192" s="467"/>
      <c r="Y192" s="467"/>
      <c r="Z192" s="467"/>
    </row>
    <row r="193" spans="1:26" ht="15.75" customHeight="1">
      <c r="A193" s="409"/>
      <c r="B193" s="409"/>
      <c r="C193" s="409"/>
      <c r="D193" s="409"/>
      <c r="E193" s="409"/>
      <c r="F193" s="409"/>
      <c r="G193" s="409"/>
      <c r="H193" s="409"/>
      <c r="I193" s="409"/>
      <c r="J193" s="409"/>
      <c r="K193" s="409"/>
      <c r="L193" s="409"/>
      <c r="M193" s="409"/>
      <c r="N193" s="467"/>
      <c r="O193" s="467"/>
      <c r="P193" s="467"/>
      <c r="Q193" s="467"/>
      <c r="R193" s="467"/>
      <c r="S193" s="467"/>
      <c r="T193" s="467"/>
      <c r="U193" s="467"/>
      <c r="V193" s="467"/>
      <c r="W193" s="467"/>
      <c r="X193" s="467"/>
      <c r="Y193" s="467"/>
      <c r="Z193" s="467"/>
    </row>
    <row r="194" spans="1:26" ht="15.75" customHeight="1">
      <c r="A194" s="409"/>
      <c r="B194" s="409"/>
      <c r="C194" s="409"/>
      <c r="D194" s="409"/>
      <c r="E194" s="409"/>
      <c r="F194" s="409"/>
      <c r="G194" s="409"/>
      <c r="H194" s="409"/>
      <c r="I194" s="409"/>
      <c r="J194" s="409"/>
      <c r="K194" s="409"/>
      <c r="L194" s="409"/>
      <c r="M194" s="409"/>
      <c r="N194" s="467"/>
      <c r="O194" s="467"/>
      <c r="P194" s="467"/>
      <c r="Q194" s="467"/>
      <c r="R194" s="467"/>
      <c r="S194" s="467"/>
      <c r="T194" s="467"/>
      <c r="U194" s="467"/>
      <c r="V194" s="467"/>
      <c r="W194" s="467"/>
      <c r="X194" s="467"/>
      <c r="Y194" s="467"/>
      <c r="Z194" s="467"/>
    </row>
    <row r="195" spans="1:26" ht="15.75" customHeight="1">
      <c r="A195" s="409"/>
      <c r="B195" s="409"/>
      <c r="C195" s="409"/>
      <c r="D195" s="409"/>
      <c r="E195" s="409"/>
      <c r="F195" s="409"/>
      <c r="G195" s="409"/>
      <c r="H195" s="409"/>
      <c r="I195" s="409"/>
      <c r="J195" s="409"/>
      <c r="K195" s="409"/>
      <c r="L195" s="409"/>
      <c r="M195" s="409"/>
      <c r="N195" s="467"/>
      <c r="O195" s="467"/>
      <c r="P195" s="467"/>
      <c r="Q195" s="467"/>
      <c r="R195" s="467"/>
      <c r="S195" s="467"/>
      <c r="T195" s="467"/>
      <c r="U195" s="467"/>
      <c r="V195" s="467"/>
      <c r="W195" s="467"/>
      <c r="X195" s="467"/>
      <c r="Y195" s="467"/>
      <c r="Z195" s="467"/>
    </row>
    <row r="196" spans="1:26" ht="15.75" customHeight="1">
      <c r="A196" s="409"/>
      <c r="B196" s="409"/>
      <c r="C196" s="409"/>
      <c r="D196" s="409"/>
      <c r="E196" s="409"/>
      <c r="F196" s="409"/>
      <c r="G196" s="409"/>
      <c r="H196" s="409"/>
      <c r="I196" s="409"/>
      <c r="J196" s="409"/>
      <c r="K196" s="409"/>
      <c r="L196" s="409"/>
      <c r="M196" s="409"/>
      <c r="N196" s="467"/>
      <c r="O196" s="467"/>
      <c r="P196" s="467"/>
      <c r="Q196" s="467"/>
      <c r="R196" s="467"/>
      <c r="S196" s="467"/>
      <c r="T196" s="467"/>
      <c r="U196" s="467"/>
      <c r="V196" s="467"/>
      <c r="W196" s="467"/>
      <c r="X196" s="467"/>
      <c r="Y196" s="467"/>
      <c r="Z196" s="467"/>
    </row>
    <row r="197" spans="1:26" ht="15.75" customHeight="1">
      <c r="A197" s="409"/>
      <c r="B197" s="409"/>
      <c r="C197" s="409"/>
      <c r="D197" s="409"/>
      <c r="E197" s="409"/>
      <c r="F197" s="409"/>
      <c r="G197" s="409"/>
      <c r="H197" s="409"/>
      <c r="I197" s="409"/>
      <c r="J197" s="409"/>
      <c r="K197" s="409"/>
      <c r="L197" s="409"/>
      <c r="M197" s="409"/>
      <c r="N197" s="467"/>
      <c r="O197" s="467"/>
      <c r="P197" s="467"/>
      <c r="Q197" s="467"/>
      <c r="R197" s="467"/>
      <c r="S197" s="467"/>
      <c r="T197" s="467"/>
      <c r="U197" s="467"/>
      <c r="V197" s="467"/>
      <c r="W197" s="467"/>
      <c r="X197" s="467"/>
      <c r="Y197" s="467"/>
      <c r="Z197" s="467"/>
    </row>
    <row r="198" spans="1:26" ht="15.75" customHeight="1">
      <c r="A198" s="409"/>
      <c r="B198" s="409"/>
      <c r="C198" s="409"/>
      <c r="D198" s="409"/>
      <c r="E198" s="409"/>
      <c r="F198" s="409"/>
      <c r="G198" s="409"/>
      <c r="H198" s="409"/>
      <c r="I198" s="409"/>
      <c r="J198" s="409"/>
      <c r="K198" s="409"/>
      <c r="L198" s="409"/>
      <c r="M198" s="409"/>
      <c r="N198" s="467"/>
      <c r="O198" s="467"/>
      <c r="P198" s="467"/>
      <c r="Q198" s="467"/>
      <c r="R198" s="467"/>
      <c r="S198" s="467"/>
      <c r="T198" s="467"/>
      <c r="U198" s="467"/>
      <c r="V198" s="467"/>
      <c r="W198" s="467"/>
      <c r="X198" s="467"/>
      <c r="Y198" s="467"/>
      <c r="Z198" s="467"/>
    </row>
    <row r="199" spans="1:26" ht="15.75" customHeight="1">
      <c r="A199" s="409"/>
      <c r="B199" s="409"/>
      <c r="C199" s="409"/>
      <c r="D199" s="409"/>
      <c r="E199" s="409"/>
      <c r="F199" s="409"/>
      <c r="G199" s="409"/>
      <c r="H199" s="409"/>
      <c r="I199" s="409"/>
      <c r="J199" s="409"/>
      <c r="K199" s="409"/>
      <c r="L199" s="409"/>
      <c r="M199" s="409"/>
      <c r="N199" s="467"/>
      <c r="O199" s="467"/>
      <c r="P199" s="467"/>
      <c r="Q199" s="467"/>
      <c r="R199" s="467"/>
      <c r="S199" s="467"/>
      <c r="T199" s="467"/>
      <c r="U199" s="467"/>
      <c r="V199" s="467"/>
      <c r="W199" s="467"/>
      <c r="X199" s="467"/>
      <c r="Y199" s="467"/>
      <c r="Z199" s="467"/>
    </row>
    <row r="200" spans="1:26" ht="15.75" customHeight="1">
      <c r="A200" s="409"/>
      <c r="B200" s="409"/>
      <c r="C200" s="409"/>
      <c r="D200" s="409"/>
      <c r="E200" s="409"/>
      <c r="F200" s="409"/>
      <c r="G200" s="409"/>
      <c r="H200" s="409"/>
      <c r="I200" s="409"/>
      <c r="J200" s="409"/>
      <c r="K200" s="409"/>
      <c r="L200" s="409"/>
      <c r="M200" s="409"/>
      <c r="N200" s="467"/>
      <c r="O200" s="467"/>
      <c r="P200" s="467"/>
      <c r="Q200" s="467"/>
      <c r="R200" s="467"/>
      <c r="S200" s="467"/>
      <c r="T200" s="467"/>
      <c r="U200" s="467"/>
      <c r="V200" s="467"/>
      <c r="W200" s="467"/>
      <c r="X200" s="467"/>
      <c r="Y200" s="467"/>
      <c r="Z200" s="467"/>
    </row>
    <row r="201" spans="1:26" ht="15.75" customHeight="1">
      <c r="A201" s="409"/>
      <c r="B201" s="409"/>
      <c r="C201" s="409"/>
      <c r="D201" s="409"/>
      <c r="E201" s="409"/>
      <c r="F201" s="409"/>
      <c r="G201" s="409"/>
      <c r="H201" s="409"/>
      <c r="I201" s="409"/>
      <c r="J201" s="409"/>
      <c r="K201" s="409"/>
      <c r="L201" s="409"/>
      <c r="M201" s="409"/>
      <c r="N201" s="467"/>
      <c r="O201" s="467"/>
      <c r="P201" s="467"/>
      <c r="Q201" s="467"/>
      <c r="R201" s="467"/>
      <c r="S201" s="467"/>
      <c r="T201" s="467"/>
      <c r="U201" s="467"/>
      <c r="V201" s="467"/>
      <c r="W201" s="467"/>
      <c r="X201" s="467"/>
      <c r="Y201" s="467"/>
      <c r="Z201" s="467"/>
    </row>
    <row r="202" spans="1:26" ht="15.75" customHeight="1">
      <c r="A202" s="409"/>
      <c r="B202" s="409"/>
      <c r="C202" s="409"/>
      <c r="D202" s="409"/>
      <c r="E202" s="409"/>
      <c r="F202" s="409"/>
      <c r="G202" s="409"/>
      <c r="H202" s="409"/>
      <c r="I202" s="409"/>
      <c r="J202" s="409"/>
      <c r="K202" s="409"/>
      <c r="L202" s="409"/>
      <c r="M202" s="409"/>
      <c r="N202" s="467"/>
      <c r="O202" s="467"/>
      <c r="P202" s="467"/>
      <c r="Q202" s="467"/>
      <c r="R202" s="467"/>
      <c r="S202" s="467"/>
      <c r="T202" s="467"/>
      <c r="U202" s="467"/>
      <c r="V202" s="467"/>
      <c r="W202" s="467"/>
      <c r="X202" s="467"/>
      <c r="Y202" s="467"/>
      <c r="Z202" s="467"/>
    </row>
    <row r="203" spans="1:26" ht="15.75" customHeight="1">
      <c r="A203" s="409"/>
      <c r="B203" s="409"/>
      <c r="C203" s="409"/>
      <c r="D203" s="409"/>
      <c r="E203" s="409"/>
      <c r="F203" s="409"/>
      <c r="G203" s="409"/>
      <c r="H203" s="409"/>
      <c r="I203" s="409"/>
      <c r="J203" s="409"/>
      <c r="K203" s="409"/>
      <c r="L203" s="409"/>
      <c r="M203" s="409"/>
      <c r="N203" s="467"/>
      <c r="O203" s="467"/>
      <c r="P203" s="467"/>
      <c r="Q203" s="467"/>
      <c r="R203" s="467"/>
      <c r="S203" s="467"/>
      <c r="T203" s="467"/>
      <c r="U203" s="467"/>
      <c r="V203" s="467"/>
      <c r="W203" s="467"/>
      <c r="X203" s="467"/>
      <c r="Y203" s="467"/>
      <c r="Z203" s="467"/>
    </row>
    <row r="204" spans="1:26" ht="15.75" customHeight="1">
      <c r="A204" s="409"/>
      <c r="B204" s="409"/>
      <c r="C204" s="409"/>
      <c r="D204" s="409"/>
      <c r="E204" s="409"/>
      <c r="F204" s="409"/>
      <c r="G204" s="409"/>
      <c r="H204" s="409"/>
      <c r="I204" s="409"/>
      <c r="J204" s="409"/>
      <c r="K204" s="409"/>
      <c r="L204" s="409"/>
      <c r="M204" s="409"/>
      <c r="N204" s="467"/>
      <c r="O204" s="467"/>
      <c r="P204" s="467"/>
      <c r="Q204" s="467"/>
      <c r="R204" s="467"/>
      <c r="S204" s="467"/>
      <c r="T204" s="467"/>
      <c r="U204" s="467"/>
      <c r="V204" s="467"/>
      <c r="W204" s="467"/>
      <c r="X204" s="467"/>
      <c r="Y204" s="467"/>
      <c r="Z204" s="467"/>
    </row>
    <row r="205" spans="1:26" ht="15.75" customHeight="1">
      <c r="A205" s="409"/>
      <c r="B205" s="409"/>
      <c r="C205" s="409"/>
      <c r="D205" s="409"/>
      <c r="E205" s="409"/>
      <c r="F205" s="409"/>
      <c r="G205" s="409"/>
      <c r="H205" s="409"/>
      <c r="I205" s="409"/>
      <c r="J205" s="409"/>
      <c r="K205" s="409"/>
      <c r="L205" s="409"/>
      <c r="M205" s="409"/>
      <c r="N205" s="467"/>
      <c r="O205" s="467"/>
      <c r="P205" s="467"/>
      <c r="Q205" s="467"/>
      <c r="R205" s="467"/>
      <c r="S205" s="467"/>
      <c r="T205" s="467"/>
      <c r="U205" s="467"/>
      <c r="V205" s="467"/>
      <c r="W205" s="467"/>
      <c r="X205" s="467"/>
      <c r="Y205" s="467"/>
      <c r="Z205" s="467"/>
    </row>
    <row r="206" spans="1:26" ht="15.75" customHeight="1">
      <c r="A206" s="409"/>
      <c r="B206" s="409"/>
      <c r="C206" s="409"/>
      <c r="D206" s="409"/>
      <c r="E206" s="409"/>
      <c r="F206" s="409"/>
      <c r="G206" s="409"/>
      <c r="H206" s="409"/>
      <c r="I206" s="409"/>
      <c r="J206" s="409"/>
      <c r="K206" s="409"/>
      <c r="L206" s="409"/>
      <c r="M206" s="409"/>
      <c r="N206" s="467"/>
      <c r="O206" s="467"/>
      <c r="P206" s="467"/>
      <c r="Q206" s="467"/>
      <c r="R206" s="467"/>
      <c r="S206" s="467"/>
      <c r="T206" s="467"/>
      <c r="U206" s="467"/>
      <c r="V206" s="467"/>
      <c r="W206" s="467"/>
      <c r="X206" s="467"/>
      <c r="Y206" s="467"/>
      <c r="Z206" s="467"/>
    </row>
    <row r="207" spans="1:26" ht="15.75" customHeight="1">
      <c r="A207" s="409"/>
      <c r="B207" s="409"/>
      <c r="C207" s="409"/>
      <c r="D207" s="409"/>
      <c r="E207" s="409"/>
      <c r="F207" s="409"/>
      <c r="G207" s="409"/>
      <c r="H207" s="409"/>
      <c r="I207" s="409"/>
      <c r="J207" s="409"/>
      <c r="K207" s="409"/>
      <c r="L207" s="409"/>
      <c r="M207" s="409"/>
      <c r="N207" s="467"/>
      <c r="O207" s="467"/>
      <c r="P207" s="467"/>
      <c r="Q207" s="467"/>
      <c r="R207" s="467"/>
      <c r="S207" s="467"/>
      <c r="T207" s="467"/>
      <c r="U207" s="467"/>
      <c r="V207" s="467"/>
      <c r="W207" s="467"/>
      <c r="X207" s="467"/>
      <c r="Y207" s="467"/>
      <c r="Z207" s="467"/>
    </row>
    <row r="208" spans="1:26" ht="15.75" customHeight="1">
      <c r="A208" s="409"/>
      <c r="B208" s="409"/>
      <c r="C208" s="409"/>
      <c r="D208" s="409"/>
      <c r="E208" s="409"/>
      <c r="F208" s="409"/>
      <c r="G208" s="409"/>
      <c r="H208" s="409"/>
      <c r="I208" s="409"/>
      <c r="J208" s="409"/>
      <c r="K208" s="409"/>
      <c r="L208" s="409"/>
      <c r="M208" s="409"/>
      <c r="N208" s="467"/>
      <c r="O208" s="467"/>
      <c r="P208" s="467"/>
      <c r="Q208" s="467"/>
      <c r="R208" s="467"/>
      <c r="S208" s="467"/>
      <c r="T208" s="467"/>
      <c r="U208" s="467"/>
      <c r="V208" s="467"/>
      <c r="W208" s="467"/>
      <c r="X208" s="467"/>
      <c r="Y208" s="467"/>
      <c r="Z208" s="467"/>
    </row>
    <row r="209" spans="1:26" ht="15.75" customHeight="1">
      <c r="A209" s="409"/>
      <c r="B209" s="409"/>
      <c r="C209" s="409"/>
      <c r="D209" s="409"/>
      <c r="E209" s="409"/>
      <c r="F209" s="409"/>
      <c r="G209" s="409"/>
      <c r="H209" s="409"/>
      <c r="I209" s="409"/>
      <c r="J209" s="409"/>
      <c r="K209" s="409"/>
      <c r="L209" s="409"/>
      <c r="M209" s="409"/>
      <c r="N209" s="467"/>
      <c r="O209" s="467"/>
      <c r="P209" s="467"/>
      <c r="Q209" s="467"/>
      <c r="R209" s="467"/>
      <c r="S209" s="467"/>
      <c r="T209" s="467"/>
      <c r="U209" s="467"/>
      <c r="V209" s="467"/>
      <c r="W209" s="467"/>
      <c r="X209" s="467"/>
      <c r="Y209" s="467"/>
      <c r="Z209" s="467"/>
    </row>
    <row r="210" spans="1:26" ht="15.75" customHeight="1">
      <c r="A210" s="409"/>
      <c r="B210" s="409"/>
      <c r="C210" s="409"/>
      <c r="D210" s="409"/>
      <c r="E210" s="409"/>
      <c r="F210" s="409"/>
      <c r="G210" s="409"/>
      <c r="H210" s="409"/>
      <c r="I210" s="409"/>
      <c r="J210" s="409"/>
      <c r="K210" s="409"/>
      <c r="L210" s="409"/>
      <c r="M210" s="409"/>
      <c r="N210" s="467"/>
      <c r="O210" s="467"/>
      <c r="P210" s="467"/>
      <c r="Q210" s="467"/>
      <c r="R210" s="467"/>
      <c r="S210" s="467"/>
      <c r="T210" s="467"/>
      <c r="U210" s="467"/>
      <c r="V210" s="467"/>
      <c r="W210" s="467"/>
      <c r="X210" s="467"/>
      <c r="Y210" s="467"/>
      <c r="Z210" s="467"/>
    </row>
    <row r="211" spans="1:26" ht="15.75" customHeight="1">
      <c r="A211" s="409"/>
      <c r="B211" s="409"/>
      <c r="C211" s="409"/>
      <c r="D211" s="409"/>
      <c r="E211" s="409"/>
      <c r="F211" s="409"/>
      <c r="G211" s="409"/>
      <c r="H211" s="409"/>
      <c r="I211" s="409"/>
      <c r="J211" s="409"/>
      <c r="K211" s="409"/>
      <c r="L211" s="409"/>
      <c r="M211" s="409"/>
      <c r="N211" s="467"/>
      <c r="O211" s="467"/>
      <c r="P211" s="467"/>
      <c r="Q211" s="467"/>
      <c r="R211" s="467"/>
      <c r="S211" s="467"/>
      <c r="T211" s="467"/>
      <c r="U211" s="467"/>
      <c r="V211" s="467"/>
      <c r="W211" s="467"/>
      <c r="X211" s="467"/>
      <c r="Y211" s="467"/>
      <c r="Z211" s="467"/>
    </row>
    <row r="212" spans="1:26" ht="15.75" customHeight="1">
      <c r="A212" s="409"/>
      <c r="B212" s="409"/>
      <c r="C212" s="409"/>
      <c r="D212" s="409"/>
      <c r="E212" s="409"/>
      <c r="F212" s="409"/>
      <c r="G212" s="409"/>
      <c r="H212" s="409"/>
      <c r="I212" s="409"/>
      <c r="J212" s="409"/>
      <c r="K212" s="409"/>
      <c r="L212" s="409"/>
      <c r="M212" s="409"/>
      <c r="N212" s="467"/>
      <c r="O212" s="467"/>
      <c r="P212" s="467"/>
      <c r="Q212" s="467"/>
      <c r="R212" s="467"/>
      <c r="S212" s="467"/>
      <c r="T212" s="467"/>
      <c r="U212" s="467"/>
      <c r="V212" s="467"/>
      <c r="W212" s="467"/>
      <c r="X212" s="467"/>
      <c r="Y212" s="467"/>
      <c r="Z212" s="467"/>
    </row>
    <row r="213" spans="1:26" ht="15.75" customHeight="1">
      <c r="A213" s="409"/>
      <c r="B213" s="409"/>
      <c r="C213" s="409"/>
      <c r="D213" s="409"/>
      <c r="E213" s="409"/>
      <c r="F213" s="409"/>
      <c r="G213" s="409"/>
      <c r="H213" s="409"/>
      <c r="I213" s="409"/>
      <c r="J213" s="409"/>
      <c r="K213" s="409"/>
      <c r="L213" s="409"/>
      <c r="M213" s="409"/>
      <c r="N213" s="467"/>
      <c r="O213" s="467"/>
      <c r="P213" s="467"/>
      <c r="Q213" s="467"/>
      <c r="R213" s="467"/>
      <c r="S213" s="467"/>
      <c r="T213" s="467"/>
      <c r="U213" s="467"/>
      <c r="V213" s="467"/>
      <c r="W213" s="467"/>
      <c r="X213" s="467"/>
      <c r="Y213" s="467"/>
      <c r="Z213" s="467"/>
    </row>
    <row r="214" spans="1:26" ht="15.75" customHeight="1">
      <c r="A214" s="409"/>
      <c r="B214" s="409"/>
      <c r="C214" s="409"/>
      <c r="D214" s="409"/>
      <c r="E214" s="409"/>
      <c r="F214" s="409"/>
      <c r="G214" s="409"/>
      <c r="H214" s="409"/>
      <c r="I214" s="409"/>
      <c r="J214" s="409"/>
      <c r="K214" s="409"/>
      <c r="L214" s="409"/>
      <c r="M214" s="409"/>
      <c r="N214" s="467"/>
      <c r="O214" s="467"/>
      <c r="P214" s="467"/>
      <c r="Q214" s="467"/>
      <c r="R214" s="467"/>
      <c r="S214" s="467"/>
      <c r="T214" s="467"/>
      <c r="U214" s="467"/>
      <c r="V214" s="467"/>
      <c r="W214" s="467"/>
      <c r="X214" s="467"/>
      <c r="Y214" s="467"/>
      <c r="Z214" s="467"/>
    </row>
    <row r="215" spans="1:26" ht="15.75" customHeight="1">
      <c r="A215" s="409"/>
      <c r="B215" s="409"/>
      <c r="C215" s="409"/>
      <c r="D215" s="409"/>
      <c r="E215" s="409"/>
      <c r="F215" s="409"/>
      <c r="G215" s="409"/>
      <c r="H215" s="409"/>
      <c r="I215" s="409"/>
      <c r="J215" s="409"/>
      <c r="K215" s="409"/>
      <c r="L215" s="409"/>
      <c r="M215" s="409"/>
      <c r="N215" s="467"/>
      <c r="O215" s="467"/>
      <c r="P215" s="467"/>
      <c r="Q215" s="467"/>
      <c r="R215" s="467"/>
      <c r="S215" s="467"/>
      <c r="T215" s="467"/>
      <c r="U215" s="467"/>
      <c r="V215" s="467"/>
      <c r="W215" s="467"/>
      <c r="X215" s="467"/>
      <c r="Y215" s="467"/>
      <c r="Z215" s="467"/>
    </row>
    <row r="216" spans="1:26" ht="15.75" customHeight="1">
      <c r="A216" s="409"/>
      <c r="B216" s="409"/>
      <c r="C216" s="409"/>
      <c r="D216" s="409"/>
      <c r="E216" s="409"/>
      <c r="F216" s="409"/>
      <c r="G216" s="409"/>
      <c r="H216" s="409"/>
      <c r="I216" s="409"/>
      <c r="J216" s="409"/>
      <c r="K216" s="409"/>
      <c r="L216" s="409"/>
      <c r="M216" s="409"/>
      <c r="N216" s="467"/>
      <c r="O216" s="467"/>
      <c r="P216" s="467"/>
      <c r="Q216" s="467"/>
      <c r="R216" s="467"/>
      <c r="S216" s="467"/>
      <c r="T216" s="467"/>
      <c r="U216" s="467"/>
      <c r="V216" s="467"/>
      <c r="W216" s="467"/>
      <c r="X216" s="467"/>
      <c r="Y216" s="467"/>
      <c r="Z216" s="467"/>
    </row>
    <row r="217" spans="1:26" ht="15.75" customHeight="1">
      <c r="A217" s="409"/>
      <c r="B217" s="409"/>
      <c r="C217" s="409"/>
      <c r="D217" s="409"/>
      <c r="E217" s="409"/>
      <c r="F217" s="409"/>
      <c r="G217" s="409"/>
      <c r="H217" s="409"/>
      <c r="I217" s="409"/>
      <c r="J217" s="409"/>
      <c r="K217" s="409"/>
      <c r="L217" s="409"/>
      <c r="M217" s="409"/>
      <c r="N217" s="467"/>
      <c r="O217" s="467"/>
      <c r="P217" s="467"/>
      <c r="Q217" s="467"/>
      <c r="R217" s="467"/>
      <c r="S217" s="467"/>
      <c r="T217" s="467"/>
      <c r="U217" s="467"/>
      <c r="V217" s="467"/>
      <c r="W217" s="467"/>
      <c r="X217" s="467"/>
      <c r="Y217" s="467"/>
      <c r="Z217" s="467"/>
    </row>
    <row r="218" spans="1:26" ht="15.75" customHeight="1">
      <c r="A218" s="409"/>
      <c r="B218" s="409"/>
      <c r="C218" s="409"/>
      <c r="D218" s="409"/>
      <c r="E218" s="409"/>
      <c r="F218" s="409"/>
      <c r="G218" s="409"/>
      <c r="H218" s="409"/>
      <c r="I218" s="409"/>
      <c r="J218" s="409"/>
      <c r="K218" s="409"/>
      <c r="L218" s="409"/>
      <c r="M218" s="409"/>
      <c r="N218" s="467"/>
      <c r="O218" s="467"/>
      <c r="P218" s="467"/>
      <c r="Q218" s="467"/>
      <c r="R218" s="467"/>
      <c r="S218" s="467"/>
      <c r="T218" s="467"/>
      <c r="U218" s="467"/>
      <c r="V218" s="467"/>
      <c r="W218" s="467"/>
      <c r="X218" s="467"/>
      <c r="Y218" s="467"/>
      <c r="Z218" s="467"/>
    </row>
    <row r="219" spans="1:26" ht="15.75" customHeight="1">
      <c r="A219" s="409"/>
      <c r="B219" s="409"/>
      <c r="C219" s="409"/>
      <c r="D219" s="409"/>
      <c r="E219" s="409"/>
      <c r="F219" s="409"/>
      <c r="G219" s="409"/>
      <c r="H219" s="409"/>
      <c r="I219" s="409"/>
      <c r="J219" s="409"/>
      <c r="K219" s="409"/>
      <c r="L219" s="409"/>
      <c r="M219" s="409"/>
      <c r="N219" s="467"/>
      <c r="O219" s="467"/>
      <c r="P219" s="467"/>
      <c r="Q219" s="467"/>
      <c r="R219" s="467"/>
      <c r="S219" s="467"/>
      <c r="T219" s="467"/>
      <c r="U219" s="467"/>
      <c r="V219" s="467"/>
      <c r="W219" s="467"/>
      <c r="X219" s="467"/>
      <c r="Y219" s="467"/>
      <c r="Z219" s="467"/>
    </row>
    <row r="220" spans="1:26" ht="15.75" customHeight="1">
      <c r="A220" s="409"/>
      <c r="B220" s="409"/>
      <c r="C220" s="409"/>
      <c r="D220" s="409"/>
      <c r="E220" s="409"/>
      <c r="F220" s="409"/>
      <c r="G220" s="409"/>
      <c r="H220" s="409"/>
      <c r="I220" s="409"/>
      <c r="J220" s="409"/>
      <c r="K220" s="409"/>
      <c r="L220" s="409"/>
      <c r="M220" s="409"/>
      <c r="N220" s="467"/>
      <c r="O220" s="467"/>
      <c r="P220" s="467"/>
      <c r="Q220" s="467"/>
      <c r="R220" s="467"/>
      <c r="S220" s="467"/>
      <c r="T220" s="467"/>
      <c r="U220" s="467"/>
      <c r="V220" s="467"/>
      <c r="W220" s="467"/>
      <c r="X220" s="467"/>
      <c r="Y220" s="467"/>
      <c r="Z220" s="467"/>
    </row>
    <row r="221" spans="1:26" ht="15.75" customHeight="1">
      <c r="A221" s="409"/>
      <c r="B221" s="409"/>
      <c r="C221" s="409"/>
      <c r="D221" s="409"/>
      <c r="E221" s="409"/>
      <c r="F221" s="409"/>
      <c r="G221" s="409"/>
      <c r="H221" s="409"/>
      <c r="I221" s="409"/>
      <c r="J221" s="409"/>
      <c r="K221" s="409"/>
      <c r="L221" s="409"/>
      <c r="M221" s="409"/>
      <c r="N221" s="467"/>
      <c r="O221" s="467"/>
      <c r="P221" s="467"/>
      <c r="Q221" s="467"/>
      <c r="R221" s="467"/>
      <c r="S221" s="467"/>
      <c r="T221" s="467"/>
      <c r="U221" s="467"/>
      <c r="V221" s="467"/>
      <c r="W221" s="467"/>
      <c r="X221" s="467"/>
      <c r="Y221" s="467"/>
      <c r="Z221" s="467"/>
    </row>
    <row r="222" spans="1:26" ht="15.75" customHeight="1">
      <c r="A222" s="409"/>
      <c r="B222" s="409"/>
      <c r="C222" s="409"/>
      <c r="D222" s="409"/>
      <c r="E222" s="409"/>
      <c r="F222" s="409"/>
      <c r="G222" s="409"/>
      <c r="H222" s="409"/>
      <c r="I222" s="409"/>
      <c r="J222" s="409"/>
      <c r="K222" s="409"/>
      <c r="L222" s="409"/>
      <c r="M222" s="409"/>
      <c r="N222" s="467"/>
      <c r="O222" s="467"/>
      <c r="P222" s="467"/>
      <c r="Q222" s="467"/>
      <c r="R222" s="467"/>
      <c r="S222" s="467"/>
      <c r="T222" s="467"/>
      <c r="U222" s="467"/>
      <c r="V222" s="467"/>
      <c r="W222" s="467"/>
      <c r="X222" s="467"/>
      <c r="Y222" s="467"/>
      <c r="Z222" s="467"/>
    </row>
    <row r="223" spans="1:26" ht="15.75" customHeight="1">
      <c r="A223" s="409"/>
      <c r="B223" s="409"/>
      <c r="C223" s="409"/>
      <c r="D223" s="409"/>
      <c r="E223" s="409"/>
      <c r="F223" s="409"/>
      <c r="G223" s="409"/>
      <c r="H223" s="409"/>
      <c r="I223" s="409"/>
      <c r="J223" s="409"/>
      <c r="K223" s="409"/>
      <c r="L223" s="409"/>
      <c r="M223" s="409"/>
      <c r="N223" s="467"/>
      <c r="O223" s="467"/>
      <c r="P223" s="467"/>
      <c r="Q223" s="467"/>
      <c r="R223" s="467"/>
      <c r="S223" s="467"/>
      <c r="T223" s="467"/>
      <c r="U223" s="467"/>
      <c r="V223" s="467"/>
      <c r="W223" s="467"/>
      <c r="X223" s="467"/>
      <c r="Y223" s="467"/>
      <c r="Z223" s="467"/>
    </row>
    <row r="224" spans="1:26" ht="15.75" customHeight="1">
      <c r="A224" s="409"/>
      <c r="B224" s="409"/>
      <c r="C224" s="409"/>
      <c r="D224" s="409"/>
      <c r="E224" s="409"/>
      <c r="F224" s="409"/>
      <c r="G224" s="409"/>
      <c r="H224" s="409"/>
      <c r="I224" s="409"/>
      <c r="J224" s="409"/>
      <c r="K224" s="409"/>
      <c r="L224" s="409"/>
      <c r="M224" s="409"/>
      <c r="N224" s="467"/>
      <c r="O224" s="467"/>
      <c r="P224" s="467"/>
      <c r="Q224" s="467"/>
      <c r="R224" s="467"/>
      <c r="S224" s="467"/>
      <c r="T224" s="467"/>
      <c r="U224" s="467"/>
      <c r="V224" s="467"/>
      <c r="W224" s="467"/>
      <c r="X224" s="467"/>
      <c r="Y224" s="467"/>
      <c r="Z224" s="467"/>
    </row>
    <row r="225" spans="1:26" ht="15.75" customHeight="1">
      <c r="A225" s="409"/>
      <c r="B225" s="409"/>
      <c r="C225" s="409"/>
      <c r="D225" s="409"/>
      <c r="E225" s="409"/>
      <c r="F225" s="409"/>
      <c r="G225" s="409"/>
      <c r="H225" s="409"/>
      <c r="I225" s="409"/>
      <c r="J225" s="409"/>
      <c r="K225" s="409"/>
      <c r="L225" s="409"/>
      <c r="M225" s="409"/>
      <c r="N225" s="467"/>
      <c r="O225" s="467"/>
      <c r="P225" s="467"/>
      <c r="Q225" s="467"/>
      <c r="R225" s="467"/>
      <c r="S225" s="467"/>
      <c r="T225" s="467"/>
      <c r="U225" s="467"/>
      <c r="V225" s="467"/>
      <c r="W225" s="467"/>
      <c r="X225" s="467"/>
      <c r="Y225" s="467"/>
      <c r="Z225" s="467"/>
    </row>
    <row r="226" spans="1:26" ht="15.75" customHeight="1">
      <c r="A226" s="409"/>
      <c r="B226" s="409"/>
      <c r="C226" s="409"/>
      <c r="D226" s="409"/>
      <c r="E226" s="409"/>
      <c r="F226" s="409"/>
      <c r="G226" s="409"/>
      <c r="H226" s="409"/>
      <c r="I226" s="409"/>
      <c r="J226" s="409"/>
      <c r="K226" s="409"/>
      <c r="L226" s="409"/>
      <c r="M226" s="409"/>
      <c r="N226" s="467"/>
      <c r="O226" s="467"/>
      <c r="P226" s="467"/>
      <c r="Q226" s="467"/>
      <c r="R226" s="467"/>
      <c r="S226" s="467"/>
      <c r="T226" s="467"/>
      <c r="U226" s="467"/>
      <c r="V226" s="467"/>
      <c r="W226" s="467"/>
      <c r="X226" s="467"/>
      <c r="Y226" s="467"/>
      <c r="Z226" s="467"/>
    </row>
    <row r="227" spans="1:26" ht="15.75" customHeight="1">
      <c r="A227" s="409"/>
      <c r="B227" s="409"/>
      <c r="C227" s="409"/>
      <c r="D227" s="409"/>
      <c r="E227" s="409"/>
      <c r="F227" s="409"/>
      <c r="G227" s="409"/>
      <c r="H227" s="409"/>
      <c r="I227" s="409"/>
      <c r="J227" s="409"/>
      <c r="K227" s="409"/>
      <c r="L227" s="409"/>
      <c r="M227" s="409"/>
      <c r="N227" s="467"/>
      <c r="O227" s="467"/>
      <c r="P227" s="467"/>
      <c r="Q227" s="467"/>
      <c r="R227" s="467"/>
      <c r="S227" s="467"/>
      <c r="T227" s="467"/>
      <c r="U227" s="467"/>
      <c r="V227" s="467"/>
      <c r="W227" s="467"/>
      <c r="X227" s="467"/>
      <c r="Y227" s="467"/>
      <c r="Z227" s="467"/>
    </row>
    <row r="228" spans="1:26" ht="15.75" customHeight="1">
      <c r="A228" s="409"/>
      <c r="B228" s="409"/>
      <c r="C228" s="409"/>
      <c r="D228" s="409"/>
      <c r="E228" s="409"/>
      <c r="F228" s="409"/>
      <c r="G228" s="409"/>
      <c r="H228" s="409"/>
      <c r="I228" s="409"/>
      <c r="J228" s="409"/>
      <c r="K228" s="409"/>
      <c r="L228" s="409"/>
      <c r="M228" s="409"/>
      <c r="N228" s="467"/>
      <c r="O228" s="467"/>
      <c r="P228" s="467"/>
      <c r="Q228" s="467"/>
      <c r="R228" s="467"/>
      <c r="S228" s="467"/>
      <c r="T228" s="467"/>
      <c r="U228" s="467"/>
      <c r="V228" s="467"/>
      <c r="W228" s="467"/>
      <c r="X228" s="467"/>
      <c r="Y228" s="467"/>
      <c r="Z228" s="467"/>
    </row>
    <row r="229" spans="1:26" ht="15.75" customHeight="1">
      <c r="A229" s="409"/>
      <c r="B229" s="409"/>
      <c r="C229" s="409"/>
      <c r="D229" s="409"/>
      <c r="E229" s="409"/>
      <c r="F229" s="409"/>
      <c r="G229" s="409"/>
      <c r="H229" s="409"/>
      <c r="I229" s="409"/>
      <c r="J229" s="409"/>
      <c r="K229" s="409"/>
      <c r="L229" s="409"/>
      <c r="M229" s="409"/>
      <c r="N229" s="467"/>
      <c r="O229" s="467"/>
      <c r="P229" s="467"/>
      <c r="Q229" s="467"/>
      <c r="R229" s="467"/>
      <c r="S229" s="467"/>
      <c r="T229" s="467"/>
      <c r="U229" s="467"/>
      <c r="V229" s="467"/>
      <c r="W229" s="467"/>
      <c r="X229" s="467"/>
      <c r="Y229" s="467"/>
      <c r="Z229" s="467"/>
    </row>
    <row r="230" spans="1:26" ht="15.75" customHeight="1">
      <c r="A230" s="409"/>
      <c r="B230" s="409"/>
      <c r="C230" s="409"/>
      <c r="D230" s="409"/>
      <c r="E230" s="409"/>
      <c r="F230" s="409"/>
      <c r="G230" s="409"/>
      <c r="H230" s="409"/>
      <c r="I230" s="409"/>
      <c r="J230" s="409"/>
      <c r="K230" s="409"/>
      <c r="L230" s="409"/>
      <c r="M230" s="409"/>
      <c r="N230" s="467"/>
      <c r="O230" s="467"/>
      <c r="P230" s="467"/>
      <c r="Q230" s="467"/>
      <c r="R230" s="467"/>
      <c r="S230" s="467"/>
      <c r="T230" s="467"/>
      <c r="U230" s="467"/>
      <c r="V230" s="467"/>
      <c r="W230" s="467"/>
      <c r="X230" s="467"/>
      <c r="Y230" s="467"/>
      <c r="Z230" s="467"/>
    </row>
    <row r="231" spans="1:26" ht="15.75" customHeight="1">
      <c r="A231" s="409"/>
      <c r="B231" s="409"/>
      <c r="C231" s="409"/>
      <c r="D231" s="409"/>
      <c r="E231" s="409"/>
      <c r="F231" s="409"/>
      <c r="G231" s="409"/>
      <c r="H231" s="409"/>
      <c r="I231" s="409"/>
      <c r="J231" s="409"/>
      <c r="K231" s="409"/>
      <c r="L231" s="409"/>
      <c r="M231" s="409"/>
      <c r="N231" s="467"/>
      <c r="O231" s="467"/>
      <c r="P231" s="467"/>
      <c r="Q231" s="467"/>
      <c r="R231" s="467"/>
      <c r="S231" s="467"/>
      <c r="T231" s="467"/>
      <c r="U231" s="467"/>
      <c r="V231" s="467"/>
      <c r="W231" s="467"/>
      <c r="X231" s="467"/>
      <c r="Y231" s="467"/>
      <c r="Z231" s="467"/>
    </row>
    <row r="232" spans="1:26" ht="15.75" customHeight="1">
      <c r="A232" s="409"/>
      <c r="B232" s="409"/>
      <c r="C232" s="409"/>
      <c r="D232" s="409"/>
      <c r="E232" s="409"/>
      <c r="F232" s="409"/>
      <c r="G232" s="409"/>
      <c r="H232" s="409"/>
      <c r="I232" s="409"/>
      <c r="J232" s="409"/>
      <c r="K232" s="409"/>
      <c r="L232" s="409"/>
      <c r="M232" s="409"/>
      <c r="N232" s="467"/>
      <c r="O232" s="467"/>
      <c r="P232" s="467"/>
      <c r="Q232" s="467"/>
      <c r="R232" s="467"/>
      <c r="S232" s="467"/>
      <c r="T232" s="467"/>
      <c r="U232" s="467"/>
      <c r="V232" s="467"/>
      <c r="W232" s="467"/>
      <c r="X232" s="467"/>
      <c r="Y232" s="467"/>
      <c r="Z232" s="467"/>
    </row>
    <row r="233" spans="1:26" ht="15.75" customHeight="1">
      <c r="A233" s="409"/>
      <c r="B233" s="409"/>
      <c r="C233" s="409"/>
      <c r="D233" s="409"/>
      <c r="E233" s="409"/>
      <c r="F233" s="409"/>
      <c r="G233" s="409"/>
      <c r="H233" s="409"/>
      <c r="I233" s="409"/>
      <c r="J233" s="409"/>
      <c r="K233" s="409"/>
      <c r="L233" s="409"/>
      <c r="M233" s="409"/>
      <c r="N233" s="467"/>
      <c r="O233" s="467"/>
      <c r="P233" s="467"/>
      <c r="Q233" s="467"/>
      <c r="R233" s="467"/>
      <c r="S233" s="467"/>
      <c r="T233" s="467"/>
      <c r="U233" s="467"/>
      <c r="V233" s="467"/>
      <c r="W233" s="467"/>
      <c r="X233" s="467"/>
      <c r="Y233" s="467"/>
      <c r="Z233" s="467"/>
    </row>
    <row r="234" spans="1:26" ht="15.75" customHeight="1">
      <c r="A234" s="409"/>
      <c r="B234" s="409"/>
      <c r="C234" s="409"/>
      <c r="D234" s="409"/>
      <c r="E234" s="409"/>
      <c r="F234" s="409"/>
      <c r="G234" s="409"/>
      <c r="H234" s="409"/>
      <c r="I234" s="409"/>
      <c r="J234" s="409"/>
      <c r="K234" s="409"/>
      <c r="L234" s="409"/>
      <c r="M234" s="409"/>
      <c r="N234" s="467"/>
      <c r="O234" s="467"/>
      <c r="P234" s="467"/>
      <c r="Q234" s="467"/>
      <c r="R234" s="467"/>
      <c r="S234" s="467"/>
      <c r="T234" s="467"/>
      <c r="U234" s="467"/>
      <c r="V234" s="467"/>
      <c r="W234" s="467"/>
      <c r="X234" s="467"/>
      <c r="Y234" s="467"/>
      <c r="Z234" s="467"/>
    </row>
    <row r="235" spans="1:26" ht="15.75" customHeight="1">
      <c r="A235" s="409"/>
      <c r="B235" s="409"/>
      <c r="C235" s="409"/>
      <c r="D235" s="409"/>
      <c r="E235" s="409"/>
      <c r="F235" s="409"/>
      <c r="G235" s="409"/>
      <c r="H235" s="409"/>
      <c r="I235" s="409"/>
      <c r="J235" s="409"/>
      <c r="K235" s="409"/>
      <c r="L235" s="409"/>
      <c r="M235" s="409"/>
      <c r="N235" s="467"/>
      <c r="O235" s="467"/>
      <c r="P235" s="467"/>
      <c r="Q235" s="467"/>
      <c r="R235" s="467"/>
      <c r="S235" s="467"/>
      <c r="T235" s="467"/>
      <c r="U235" s="467"/>
      <c r="V235" s="467"/>
      <c r="W235" s="467"/>
      <c r="X235" s="467"/>
      <c r="Y235" s="467"/>
      <c r="Z235" s="467"/>
    </row>
    <row r="236" spans="1:26" ht="15.75" customHeight="1">
      <c r="A236" s="409"/>
      <c r="B236" s="409"/>
      <c r="C236" s="409"/>
      <c r="D236" s="409"/>
      <c r="E236" s="409"/>
      <c r="F236" s="409"/>
      <c r="G236" s="409"/>
      <c r="H236" s="409"/>
      <c r="I236" s="409"/>
      <c r="J236" s="409"/>
      <c r="K236" s="409"/>
      <c r="L236" s="409"/>
      <c r="M236" s="409"/>
      <c r="N236" s="467"/>
      <c r="O236" s="467"/>
      <c r="P236" s="467"/>
      <c r="Q236" s="467"/>
      <c r="R236" s="467"/>
      <c r="S236" s="467"/>
      <c r="T236" s="467"/>
      <c r="U236" s="467"/>
      <c r="V236" s="467"/>
      <c r="W236" s="467"/>
      <c r="X236" s="467"/>
      <c r="Y236" s="467"/>
      <c r="Z236" s="467"/>
    </row>
    <row r="237" spans="1:26" ht="15.75" customHeight="1">
      <c r="A237" s="409"/>
      <c r="B237" s="409"/>
      <c r="C237" s="409"/>
      <c r="D237" s="409"/>
      <c r="E237" s="409"/>
      <c r="F237" s="409"/>
      <c r="G237" s="409"/>
      <c r="H237" s="409"/>
      <c r="I237" s="409"/>
      <c r="J237" s="409"/>
      <c r="K237" s="409"/>
      <c r="L237" s="409"/>
      <c r="M237" s="409"/>
      <c r="N237" s="467"/>
      <c r="O237" s="467"/>
      <c r="P237" s="467"/>
      <c r="Q237" s="467"/>
      <c r="R237" s="467"/>
      <c r="S237" s="467"/>
      <c r="T237" s="467"/>
      <c r="U237" s="467"/>
      <c r="V237" s="467"/>
      <c r="W237" s="467"/>
      <c r="X237" s="467"/>
      <c r="Y237" s="467"/>
      <c r="Z237" s="467"/>
    </row>
    <row r="238" spans="1:26" ht="15.75" customHeight="1">
      <c r="A238" s="409"/>
      <c r="B238" s="409"/>
      <c r="C238" s="409"/>
      <c r="D238" s="409"/>
      <c r="E238" s="409"/>
      <c r="F238" s="409"/>
      <c r="G238" s="409"/>
      <c r="H238" s="409"/>
      <c r="I238" s="409"/>
      <c r="J238" s="409"/>
      <c r="K238" s="409"/>
      <c r="L238" s="409"/>
      <c r="M238" s="409"/>
      <c r="N238" s="467"/>
      <c r="O238" s="467"/>
      <c r="P238" s="467"/>
      <c r="Q238" s="467"/>
      <c r="R238" s="467"/>
      <c r="S238" s="467"/>
      <c r="T238" s="467"/>
      <c r="U238" s="467"/>
      <c r="V238" s="467"/>
      <c r="W238" s="467"/>
      <c r="X238" s="467"/>
      <c r="Y238" s="467"/>
      <c r="Z238" s="467"/>
    </row>
    <row r="239" spans="1:26" ht="15.75" customHeight="1">
      <c r="A239" s="409"/>
      <c r="B239" s="409"/>
      <c r="C239" s="409"/>
      <c r="D239" s="409"/>
      <c r="E239" s="409"/>
      <c r="F239" s="409"/>
      <c r="G239" s="409"/>
      <c r="H239" s="409"/>
      <c r="I239" s="409"/>
      <c r="J239" s="409"/>
      <c r="K239" s="409"/>
      <c r="L239" s="409"/>
      <c r="M239" s="409"/>
      <c r="N239" s="467"/>
      <c r="O239" s="467"/>
      <c r="P239" s="467"/>
      <c r="Q239" s="467"/>
      <c r="R239" s="467"/>
      <c r="S239" s="467"/>
      <c r="T239" s="467"/>
      <c r="U239" s="467"/>
      <c r="V239" s="467"/>
      <c r="W239" s="467"/>
      <c r="X239" s="467"/>
      <c r="Y239" s="467"/>
      <c r="Z239" s="467"/>
    </row>
    <row r="240" spans="1:26" ht="15.75" customHeight="1">
      <c r="A240" s="409"/>
      <c r="B240" s="409"/>
      <c r="C240" s="409"/>
      <c r="D240" s="409"/>
      <c r="E240" s="409"/>
      <c r="F240" s="409"/>
      <c r="G240" s="409"/>
      <c r="H240" s="409"/>
      <c r="I240" s="409"/>
      <c r="J240" s="409"/>
      <c r="K240" s="409"/>
      <c r="L240" s="409"/>
      <c r="M240" s="409"/>
      <c r="N240" s="467"/>
      <c r="O240" s="467"/>
      <c r="P240" s="467"/>
      <c r="Q240" s="467"/>
      <c r="R240" s="467"/>
      <c r="S240" s="467"/>
      <c r="T240" s="467"/>
      <c r="U240" s="467"/>
      <c r="V240" s="467"/>
      <c r="W240" s="467"/>
      <c r="X240" s="467"/>
      <c r="Y240" s="467"/>
      <c r="Z240" s="467"/>
    </row>
    <row r="241" spans="1:26" ht="15.75" customHeight="1">
      <c r="A241" s="409"/>
      <c r="B241" s="409"/>
      <c r="C241" s="409"/>
      <c r="D241" s="409"/>
      <c r="E241" s="409"/>
      <c r="F241" s="409"/>
      <c r="G241" s="409"/>
      <c r="H241" s="409"/>
      <c r="I241" s="409"/>
      <c r="J241" s="409"/>
      <c r="K241" s="409"/>
      <c r="L241" s="409"/>
      <c r="M241" s="409"/>
      <c r="N241" s="467"/>
      <c r="O241" s="467"/>
      <c r="P241" s="467"/>
      <c r="Q241" s="467"/>
      <c r="R241" s="467"/>
      <c r="S241" s="467"/>
      <c r="T241" s="467"/>
      <c r="U241" s="467"/>
      <c r="V241" s="467"/>
      <c r="W241" s="467"/>
      <c r="X241" s="467"/>
      <c r="Y241" s="467"/>
      <c r="Z241" s="467"/>
    </row>
    <row r="242" spans="1:26" ht="15.75" customHeight="1">
      <c r="A242" s="409"/>
      <c r="B242" s="409"/>
      <c r="C242" s="409"/>
      <c r="D242" s="409"/>
      <c r="E242" s="409"/>
      <c r="F242" s="409"/>
      <c r="G242" s="409"/>
      <c r="H242" s="409"/>
      <c r="I242" s="409"/>
      <c r="J242" s="409"/>
      <c r="K242" s="409"/>
      <c r="L242" s="409"/>
      <c r="M242" s="409"/>
      <c r="N242" s="467"/>
      <c r="O242" s="467"/>
      <c r="P242" s="467"/>
      <c r="Q242" s="467"/>
      <c r="R242" s="467"/>
      <c r="S242" s="467"/>
      <c r="T242" s="467"/>
      <c r="U242" s="467"/>
      <c r="V242" s="467"/>
      <c r="W242" s="467"/>
      <c r="X242" s="467"/>
      <c r="Y242" s="467"/>
      <c r="Z242" s="467"/>
    </row>
    <row r="243" spans="1:26" ht="15.75" customHeight="1">
      <c r="A243" s="409"/>
      <c r="B243" s="409"/>
      <c r="C243" s="409"/>
      <c r="D243" s="409"/>
      <c r="E243" s="409"/>
      <c r="F243" s="409"/>
      <c r="G243" s="409"/>
      <c r="H243" s="409"/>
      <c r="I243" s="409"/>
      <c r="J243" s="409"/>
      <c r="K243" s="409"/>
      <c r="L243" s="409"/>
      <c r="M243" s="409"/>
      <c r="N243" s="467"/>
      <c r="O243" s="467"/>
      <c r="P243" s="467"/>
      <c r="Q243" s="467"/>
      <c r="R243" s="467"/>
      <c r="S243" s="467"/>
      <c r="T243" s="467"/>
      <c r="U243" s="467"/>
      <c r="V243" s="467"/>
      <c r="W243" s="467"/>
      <c r="X243" s="467"/>
      <c r="Y243" s="467"/>
      <c r="Z243" s="467"/>
    </row>
    <row r="244" spans="1:26" ht="15.75" customHeight="1">
      <c r="A244" s="409"/>
      <c r="B244" s="409"/>
      <c r="C244" s="409"/>
      <c r="D244" s="409"/>
      <c r="E244" s="409"/>
      <c r="F244" s="409"/>
      <c r="G244" s="409"/>
      <c r="H244" s="409"/>
      <c r="I244" s="409"/>
      <c r="J244" s="409"/>
      <c r="K244" s="409"/>
      <c r="L244" s="409"/>
      <c r="M244" s="409"/>
      <c r="N244" s="467"/>
      <c r="O244" s="467"/>
      <c r="P244" s="467"/>
      <c r="Q244" s="467"/>
      <c r="R244" s="467"/>
      <c r="S244" s="467"/>
      <c r="T244" s="467"/>
      <c r="U244" s="467"/>
      <c r="V244" s="467"/>
      <c r="W244" s="467"/>
      <c r="X244" s="467"/>
      <c r="Y244" s="467"/>
      <c r="Z244" s="467"/>
    </row>
    <row r="245" spans="1:26" ht="15.75" customHeight="1">
      <c r="A245" s="409"/>
      <c r="B245" s="409"/>
      <c r="C245" s="409"/>
      <c r="D245" s="409"/>
      <c r="E245" s="409"/>
      <c r="F245" s="409"/>
      <c r="G245" s="409"/>
      <c r="H245" s="409"/>
      <c r="I245" s="409"/>
      <c r="J245" s="409"/>
      <c r="K245" s="409"/>
      <c r="L245" s="409"/>
      <c r="M245" s="409"/>
      <c r="N245" s="467"/>
      <c r="O245" s="467"/>
      <c r="P245" s="467"/>
      <c r="Q245" s="467"/>
      <c r="R245" s="467"/>
      <c r="S245" s="467"/>
      <c r="T245" s="467"/>
      <c r="U245" s="467"/>
      <c r="V245" s="467"/>
      <c r="W245" s="467"/>
      <c r="X245" s="467"/>
      <c r="Y245" s="467"/>
      <c r="Z245" s="467"/>
    </row>
    <row r="246" spans="1:26" ht="15.75" customHeight="1">
      <c r="A246" s="409"/>
      <c r="B246" s="409"/>
      <c r="C246" s="409"/>
      <c r="D246" s="409"/>
      <c r="E246" s="409"/>
      <c r="F246" s="409"/>
      <c r="G246" s="409"/>
      <c r="H246" s="409"/>
      <c r="I246" s="409"/>
      <c r="J246" s="409"/>
      <c r="K246" s="409"/>
      <c r="L246" s="409"/>
      <c r="M246" s="409"/>
      <c r="N246" s="467"/>
      <c r="O246" s="467"/>
      <c r="P246" s="467"/>
      <c r="Q246" s="467"/>
      <c r="R246" s="467"/>
      <c r="S246" s="467"/>
      <c r="T246" s="467"/>
      <c r="U246" s="467"/>
      <c r="V246" s="467"/>
      <c r="W246" s="467"/>
      <c r="X246" s="467"/>
      <c r="Y246" s="467"/>
      <c r="Z246" s="467"/>
    </row>
    <row r="247" spans="1:26" ht="15.75" customHeight="1">
      <c r="A247" s="409"/>
      <c r="B247" s="409"/>
      <c r="C247" s="409"/>
      <c r="D247" s="409"/>
      <c r="E247" s="409"/>
      <c r="F247" s="409"/>
      <c r="G247" s="409"/>
      <c r="H247" s="409"/>
      <c r="I247" s="409"/>
      <c r="J247" s="409"/>
      <c r="K247" s="409"/>
      <c r="L247" s="409"/>
      <c r="M247" s="409"/>
      <c r="N247" s="467"/>
      <c r="O247" s="467"/>
      <c r="P247" s="467"/>
      <c r="Q247" s="467"/>
      <c r="R247" s="467"/>
      <c r="S247" s="467"/>
      <c r="T247" s="467"/>
      <c r="U247" s="467"/>
      <c r="V247" s="467"/>
      <c r="W247" s="467"/>
      <c r="X247" s="467"/>
      <c r="Y247" s="467"/>
      <c r="Z247" s="467"/>
    </row>
    <row r="248" spans="1:26" ht="15.75" customHeight="1">
      <c r="A248" s="409"/>
      <c r="B248" s="409"/>
      <c r="C248" s="409"/>
      <c r="D248" s="409"/>
      <c r="E248" s="409"/>
      <c r="F248" s="409"/>
      <c r="G248" s="409"/>
      <c r="H248" s="409"/>
      <c r="I248" s="409"/>
      <c r="J248" s="409"/>
      <c r="K248" s="409"/>
      <c r="L248" s="409"/>
      <c r="M248" s="409"/>
      <c r="N248" s="467"/>
      <c r="O248" s="467"/>
      <c r="P248" s="467"/>
      <c r="Q248" s="467"/>
      <c r="R248" s="467"/>
      <c r="S248" s="467"/>
      <c r="T248" s="467"/>
      <c r="U248" s="467"/>
      <c r="V248" s="467"/>
      <c r="W248" s="467"/>
      <c r="X248" s="467"/>
      <c r="Y248" s="467"/>
      <c r="Z248" s="467"/>
    </row>
    <row r="249" spans="1:26" ht="15.75" customHeight="1">
      <c r="A249" s="409"/>
      <c r="B249" s="409"/>
      <c r="C249" s="409"/>
      <c r="D249" s="409"/>
      <c r="E249" s="409"/>
      <c r="F249" s="409"/>
      <c r="G249" s="409"/>
      <c r="H249" s="409"/>
      <c r="I249" s="409"/>
      <c r="J249" s="409"/>
      <c r="K249" s="409"/>
      <c r="L249" s="409"/>
      <c r="M249" s="409"/>
      <c r="N249" s="467"/>
      <c r="O249" s="467"/>
      <c r="P249" s="467"/>
      <c r="Q249" s="467"/>
      <c r="R249" s="467"/>
      <c r="S249" s="467"/>
      <c r="T249" s="467"/>
      <c r="U249" s="467"/>
      <c r="V249" s="467"/>
      <c r="W249" s="467"/>
      <c r="X249" s="467"/>
      <c r="Y249" s="467"/>
      <c r="Z249" s="467"/>
    </row>
    <row r="250" spans="1:26" ht="15.75" customHeight="1">
      <c r="A250" s="409"/>
      <c r="B250" s="409"/>
      <c r="C250" s="409"/>
      <c r="D250" s="409"/>
      <c r="E250" s="409"/>
      <c r="F250" s="409"/>
      <c r="G250" s="409"/>
      <c r="H250" s="409"/>
      <c r="I250" s="409"/>
      <c r="J250" s="409"/>
      <c r="K250" s="409"/>
      <c r="L250" s="409"/>
      <c r="M250" s="409"/>
      <c r="N250" s="467"/>
      <c r="O250" s="467"/>
      <c r="P250" s="467"/>
      <c r="Q250" s="467"/>
      <c r="R250" s="467"/>
      <c r="S250" s="467"/>
      <c r="T250" s="467"/>
      <c r="U250" s="467"/>
      <c r="V250" s="467"/>
      <c r="W250" s="467"/>
      <c r="X250" s="467"/>
      <c r="Y250" s="467"/>
      <c r="Z250" s="467"/>
    </row>
    <row r="251" spans="1:26" ht="15.75" customHeight="1">
      <c r="A251" s="409"/>
      <c r="B251" s="409"/>
      <c r="C251" s="409"/>
      <c r="D251" s="409"/>
      <c r="E251" s="409"/>
      <c r="F251" s="409"/>
      <c r="G251" s="409"/>
      <c r="H251" s="409"/>
      <c r="I251" s="409"/>
      <c r="J251" s="409"/>
      <c r="K251" s="409"/>
      <c r="L251" s="409"/>
      <c r="M251" s="409"/>
      <c r="N251" s="467"/>
      <c r="O251" s="467"/>
      <c r="P251" s="467"/>
      <c r="Q251" s="467"/>
      <c r="R251" s="467"/>
      <c r="S251" s="467"/>
      <c r="T251" s="467"/>
      <c r="U251" s="467"/>
      <c r="V251" s="467"/>
      <c r="W251" s="467"/>
      <c r="X251" s="467"/>
      <c r="Y251" s="467"/>
      <c r="Z251" s="467"/>
    </row>
    <row r="252" spans="1:26" ht="15.75" customHeight="1">
      <c r="A252" s="409"/>
      <c r="B252" s="409"/>
      <c r="C252" s="409"/>
      <c r="D252" s="409"/>
      <c r="E252" s="409"/>
      <c r="F252" s="409"/>
      <c r="G252" s="409"/>
      <c r="H252" s="409"/>
      <c r="I252" s="409"/>
      <c r="J252" s="409"/>
      <c r="K252" s="409"/>
      <c r="L252" s="409"/>
      <c r="M252" s="409"/>
      <c r="N252" s="467"/>
      <c r="O252" s="467"/>
      <c r="P252" s="467"/>
      <c r="Q252" s="467"/>
      <c r="R252" s="467"/>
      <c r="S252" s="467"/>
      <c r="T252" s="467"/>
      <c r="U252" s="467"/>
      <c r="V252" s="467"/>
      <c r="W252" s="467"/>
      <c r="X252" s="467"/>
      <c r="Y252" s="467"/>
      <c r="Z252" s="467"/>
    </row>
    <row r="253" spans="1:26" ht="15.75" customHeight="1">
      <c r="A253" s="409"/>
      <c r="B253" s="409"/>
      <c r="C253" s="409"/>
      <c r="D253" s="409"/>
      <c r="E253" s="409"/>
      <c r="F253" s="409"/>
      <c r="G253" s="409"/>
      <c r="H253" s="409"/>
      <c r="I253" s="409"/>
      <c r="J253" s="409"/>
      <c r="K253" s="409"/>
      <c r="L253" s="409"/>
      <c r="M253" s="409"/>
      <c r="N253" s="467"/>
      <c r="O253" s="467"/>
      <c r="P253" s="467"/>
      <c r="Q253" s="467"/>
      <c r="R253" s="467"/>
      <c r="S253" s="467"/>
      <c r="T253" s="467"/>
      <c r="U253" s="467"/>
      <c r="V253" s="467"/>
      <c r="W253" s="467"/>
      <c r="X253" s="467"/>
      <c r="Y253" s="467"/>
      <c r="Z253" s="467"/>
    </row>
    <row r="254" spans="1:26" ht="15.75" customHeight="1">
      <c r="A254" s="409"/>
      <c r="B254" s="409"/>
      <c r="C254" s="409"/>
      <c r="D254" s="409"/>
      <c r="E254" s="409"/>
      <c r="F254" s="409"/>
      <c r="G254" s="409"/>
      <c r="H254" s="409"/>
      <c r="I254" s="409"/>
      <c r="J254" s="409"/>
      <c r="K254" s="409"/>
      <c r="L254" s="409"/>
      <c r="M254" s="409"/>
      <c r="N254" s="467"/>
      <c r="O254" s="467"/>
      <c r="P254" s="467"/>
      <c r="Q254" s="467"/>
      <c r="R254" s="467"/>
      <c r="S254" s="467"/>
      <c r="T254" s="467"/>
      <c r="U254" s="467"/>
      <c r="V254" s="467"/>
      <c r="W254" s="467"/>
      <c r="X254" s="467"/>
      <c r="Y254" s="467"/>
      <c r="Z254" s="467"/>
    </row>
    <row r="255" spans="1:26" ht="15.75" customHeight="1">
      <c r="A255" s="409"/>
      <c r="B255" s="409"/>
      <c r="C255" s="409"/>
      <c r="D255" s="409"/>
      <c r="E255" s="409"/>
      <c r="F255" s="409"/>
      <c r="G255" s="409"/>
      <c r="H255" s="409"/>
      <c r="I255" s="409"/>
      <c r="J255" s="409"/>
      <c r="K255" s="409"/>
      <c r="L255" s="409"/>
      <c r="M255" s="409"/>
      <c r="N255" s="467"/>
      <c r="O255" s="467"/>
      <c r="P255" s="467"/>
      <c r="Q255" s="467"/>
      <c r="R255" s="467"/>
      <c r="S255" s="467"/>
      <c r="T255" s="467"/>
      <c r="U255" s="467"/>
      <c r="V255" s="467"/>
      <c r="W255" s="467"/>
      <c r="X255" s="467"/>
      <c r="Y255" s="467"/>
      <c r="Z255" s="467"/>
    </row>
    <row r="256" spans="1:26" ht="15.75" customHeight="1">
      <c r="A256" s="409"/>
      <c r="B256" s="409"/>
      <c r="C256" s="409"/>
      <c r="D256" s="409"/>
      <c r="E256" s="409"/>
      <c r="F256" s="409"/>
      <c r="G256" s="409"/>
      <c r="H256" s="409"/>
      <c r="I256" s="409"/>
      <c r="J256" s="409"/>
      <c r="K256" s="409"/>
      <c r="L256" s="409"/>
      <c r="M256" s="409"/>
      <c r="N256" s="467"/>
      <c r="O256" s="467"/>
      <c r="P256" s="467"/>
      <c r="Q256" s="467"/>
      <c r="R256" s="467"/>
      <c r="S256" s="467"/>
      <c r="T256" s="467"/>
      <c r="U256" s="467"/>
      <c r="V256" s="467"/>
      <c r="W256" s="467"/>
      <c r="X256" s="467"/>
      <c r="Y256" s="467"/>
      <c r="Z256" s="467"/>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2">
    <mergeCell ref="J16:K16"/>
    <mergeCell ref="J17:K17"/>
    <mergeCell ref="D17:E17"/>
    <mergeCell ref="D18:E18"/>
    <mergeCell ref="F18:G18"/>
    <mergeCell ref="H18:I18"/>
    <mergeCell ref="J18:K18"/>
    <mergeCell ref="F17:G17"/>
    <mergeCell ref="H17:I17"/>
    <mergeCell ref="D16:E16"/>
    <mergeCell ref="F16:G16"/>
    <mergeCell ref="H16:I16"/>
    <mergeCell ref="D56:F56"/>
    <mergeCell ref="J38:K38"/>
    <mergeCell ref="I48:K56"/>
    <mergeCell ref="H34:I34"/>
    <mergeCell ref="J34:K34"/>
    <mergeCell ref="H35:I35"/>
    <mergeCell ref="J35:K35"/>
    <mergeCell ref="H36:I36"/>
    <mergeCell ref="J36:K36"/>
    <mergeCell ref="J37:K37"/>
    <mergeCell ref="H37:I37"/>
    <mergeCell ref="H38:I38"/>
    <mergeCell ref="D48:F48"/>
    <mergeCell ref="H11:I11"/>
    <mergeCell ref="J11:K11"/>
    <mergeCell ref="B2:B3"/>
    <mergeCell ref="D2:E2"/>
    <mergeCell ref="F2:G2"/>
    <mergeCell ref="H2:I2"/>
    <mergeCell ref="J2:K2"/>
    <mergeCell ref="D11:E11"/>
    <mergeCell ref="F11:G11"/>
    <mergeCell ref="D12:E12"/>
    <mergeCell ref="F12:G12"/>
    <mergeCell ref="H12:I12"/>
    <mergeCell ref="J12:K12"/>
    <mergeCell ref="F13:G13"/>
    <mergeCell ref="H13:I13"/>
    <mergeCell ref="J13:K13"/>
    <mergeCell ref="D13:E13"/>
    <mergeCell ref="B14:B15"/>
    <mergeCell ref="D14:E14"/>
    <mergeCell ref="F14:G14"/>
    <mergeCell ref="H14:I14"/>
    <mergeCell ref="J14:K14"/>
    <mergeCell ref="D15:E15"/>
    <mergeCell ref="J15:K15"/>
    <mergeCell ref="F15:G15"/>
    <mergeCell ref="H15:I15"/>
    <mergeCell ref="J33:K33"/>
    <mergeCell ref="J20:K20"/>
    <mergeCell ref="C30:E30"/>
    <mergeCell ref="F30:G30"/>
    <mergeCell ref="H30:I30"/>
    <mergeCell ref="J30:K30"/>
    <mergeCell ref="D20:E20"/>
    <mergeCell ref="F20:G20"/>
    <mergeCell ref="H20:I20"/>
    <mergeCell ref="H32:I32"/>
    <mergeCell ref="H33:I33"/>
  </mergeCells>
  <conditionalFormatting sqref="D23:E27">
    <cfRule type="cellIs" dxfId="13" priority="1" operator="notBetween">
      <formula>$H$38-($H$39*2)</formula>
      <formula>$H$38+($H$39*2)</formula>
    </cfRule>
  </conditionalFormatting>
  <conditionalFormatting sqref="F23:K27">
    <cfRule type="cellIs" dxfId="12" priority="2" operator="notBetween">
      <formula>$J$38-($J$39*2)</formula>
      <formula>$J$38+($J$39*2)</formula>
    </cfRule>
  </conditionalFormatting>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000"/>
  <sheetViews>
    <sheetView topLeftCell="B1" workbookViewId="0"/>
  </sheetViews>
  <sheetFormatPr defaultColWidth="14.453125" defaultRowHeight="15" customHeight="1"/>
  <cols>
    <col min="1" max="1" width="6.08984375" hidden="1" customWidth="1"/>
    <col min="2" max="2" width="3.08984375" customWidth="1"/>
    <col min="3" max="3" width="12.08984375" customWidth="1"/>
    <col min="4" max="4" width="9.81640625" customWidth="1"/>
    <col min="5" max="5" width="8.08984375" customWidth="1"/>
    <col min="6" max="6" width="9.08984375" customWidth="1"/>
    <col min="7" max="12" width="11.7265625" customWidth="1"/>
    <col min="13" max="13" width="3.08984375" customWidth="1"/>
    <col min="14" max="14" width="6.08984375" hidden="1" customWidth="1"/>
    <col min="15" max="26" width="8.7265625" customWidth="1"/>
  </cols>
  <sheetData>
    <row r="1" spans="1:26" ht="13.2">
      <c r="A1" s="467"/>
      <c r="B1" s="467"/>
      <c r="C1" s="409"/>
      <c r="D1" s="409"/>
      <c r="E1" s="409"/>
      <c r="F1" s="409"/>
      <c r="G1" s="409"/>
      <c r="H1" s="409"/>
      <c r="I1" s="409"/>
      <c r="J1" s="409"/>
      <c r="K1" s="409"/>
      <c r="L1" s="409"/>
      <c r="M1" s="409"/>
      <c r="N1" s="409"/>
      <c r="O1" s="467"/>
      <c r="P1" s="467"/>
      <c r="Q1" s="467"/>
      <c r="R1" s="467"/>
      <c r="S1" s="467"/>
      <c r="T1" s="467"/>
      <c r="U1" s="467"/>
      <c r="V1" s="467"/>
      <c r="W1" s="467"/>
      <c r="X1" s="467"/>
      <c r="Y1" s="467"/>
      <c r="Z1" s="467"/>
    </row>
    <row r="2" spans="1:26" ht="13.2">
      <c r="A2" s="467"/>
      <c r="B2" s="467"/>
      <c r="C2" s="730" t="s">
        <v>19</v>
      </c>
      <c r="D2" s="468"/>
      <c r="E2" s="729" t="str">
        <f>Ticker</f>
        <v>TSM</v>
      </c>
      <c r="F2" s="687"/>
      <c r="G2" s="729" t="str">
        <f>Comp1Ticker</f>
        <v>Texas Instruments</v>
      </c>
      <c r="H2" s="687"/>
      <c r="I2" s="729" t="str">
        <f>Comp2Ticker</f>
        <v>Intel Corporation</v>
      </c>
      <c r="J2" s="687"/>
      <c r="K2" s="729" t="str">
        <f>Comp3Ticker</f>
        <v>Broadcom</v>
      </c>
      <c r="L2" s="687"/>
      <c r="M2" s="412"/>
      <c r="N2" s="413"/>
      <c r="O2" s="467"/>
      <c r="P2" s="467"/>
      <c r="Q2" s="467"/>
      <c r="R2" s="467"/>
      <c r="S2" s="467"/>
      <c r="T2" s="467"/>
      <c r="U2" s="467"/>
      <c r="V2" s="467"/>
      <c r="W2" s="467"/>
      <c r="X2" s="467"/>
      <c r="Y2" s="467"/>
      <c r="Z2" s="467"/>
    </row>
    <row r="3" spans="1:26" ht="13.2">
      <c r="A3" s="467"/>
      <c r="B3" s="467"/>
      <c r="C3" s="713"/>
      <c r="D3" s="469" t="s">
        <v>121</v>
      </c>
      <c r="E3" s="414" t="s">
        <v>265</v>
      </c>
      <c r="F3" s="415" t="s">
        <v>266</v>
      </c>
      <c r="G3" s="413" t="s">
        <v>265</v>
      </c>
      <c r="H3" s="415" t="s">
        <v>266</v>
      </c>
      <c r="I3" s="413" t="s">
        <v>265</v>
      </c>
      <c r="J3" s="415" t="s">
        <v>266</v>
      </c>
      <c r="K3" s="413" t="s">
        <v>265</v>
      </c>
      <c r="L3" s="415" t="s">
        <v>266</v>
      </c>
      <c r="M3" s="413"/>
      <c r="N3" s="416"/>
      <c r="O3" s="467"/>
      <c r="P3" s="467"/>
      <c r="Q3" s="467"/>
      <c r="R3" s="467"/>
      <c r="S3" s="467"/>
      <c r="T3" s="467"/>
      <c r="U3" s="467"/>
      <c r="V3" s="467"/>
      <c r="W3" s="467"/>
      <c r="X3" s="467"/>
      <c r="Y3" s="467"/>
      <c r="Z3" s="467"/>
    </row>
    <row r="4" spans="1:26" ht="13.2">
      <c r="A4" s="467"/>
      <c r="B4" s="467"/>
      <c r="C4" s="417"/>
      <c r="D4" s="470"/>
      <c r="E4" s="419"/>
      <c r="F4" s="420"/>
      <c r="G4" s="419"/>
      <c r="H4" s="420"/>
      <c r="I4" s="419"/>
      <c r="J4" s="420"/>
      <c r="K4" s="419"/>
      <c r="L4" s="420"/>
      <c r="M4" s="421"/>
      <c r="N4" s="416"/>
      <c r="O4" s="467"/>
      <c r="P4" s="467"/>
      <c r="Q4" s="467"/>
      <c r="R4" s="467"/>
      <c r="S4" s="467"/>
      <c r="T4" s="467"/>
      <c r="U4" s="467"/>
      <c r="V4" s="467"/>
      <c r="W4" s="467"/>
      <c r="X4" s="467"/>
      <c r="Y4" s="467"/>
      <c r="Z4" s="467"/>
    </row>
    <row r="5" spans="1:26" ht="13.2">
      <c r="A5" s="467"/>
      <c r="B5" s="467"/>
      <c r="C5" s="414" t="s">
        <v>267</v>
      </c>
      <c r="D5" s="470">
        <f>Historical1</f>
        <v>2016</v>
      </c>
      <c r="E5" s="419">
        <f>HistPE!E5</f>
        <v>28.34</v>
      </c>
      <c r="F5" s="420">
        <f>HistPE!F5</f>
        <v>30.639999</v>
      </c>
      <c r="G5" s="419">
        <f>HistPE!G5</f>
        <v>69.92</v>
      </c>
      <c r="H5" s="420">
        <f>HistPE!H5</f>
        <v>75.150000000000006</v>
      </c>
      <c r="I5" s="419">
        <f>HistPE!I5</f>
        <v>33.56</v>
      </c>
      <c r="J5" s="420">
        <f>HistPE!J5</f>
        <v>37.35</v>
      </c>
      <c r="K5" s="419">
        <f>HistPE!K5</f>
        <v>160.62</v>
      </c>
      <c r="L5" s="420">
        <f>HistPE!L5</f>
        <v>183.99</v>
      </c>
      <c r="M5" s="409"/>
      <c r="N5" s="416"/>
      <c r="O5" s="467"/>
      <c r="P5" s="467"/>
      <c r="Q5" s="467"/>
      <c r="R5" s="467"/>
      <c r="S5" s="467"/>
      <c r="T5" s="467"/>
      <c r="U5" s="467"/>
      <c r="V5" s="467"/>
      <c r="W5" s="467"/>
      <c r="X5" s="467"/>
      <c r="Y5" s="467"/>
      <c r="Z5" s="467"/>
    </row>
    <row r="6" spans="1:26" ht="13.2">
      <c r="A6" s="467"/>
      <c r="B6" s="467"/>
      <c r="C6" s="417"/>
      <c r="D6" s="470">
        <f t="shared" ref="D6:D9" si="0">D5+1</f>
        <v>2017</v>
      </c>
      <c r="E6" s="419">
        <f>HistPE!E6</f>
        <v>28.98</v>
      </c>
      <c r="F6" s="420">
        <f>HistPE!F6</f>
        <v>43.02</v>
      </c>
      <c r="G6" s="419">
        <f>HistPE!G6</f>
        <v>72.47</v>
      </c>
      <c r="H6" s="420">
        <f>HistPE!H6</f>
        <v>105.33</v>
      </c>
      <c r="I6" s="419">
        <f>HistPE!I6</f>
        <v>33.229999999999997</v>
      </c>
      <c r="J6" s="420">
        <f>HistPE!J6</f>
        <v>47.34</v>
      </c>
      <c r="K6" s="419">
        <f>HistPE!K6</f>
        <v>173.31</v>
      </c>
      <c r="L6" s="420">
        <f>HistPE!L6</f>
        <v>285.68</v>
      </c>
      <c r="M6" s="412"/>
      <c r="N6" s="416"/>
      <c r="O6" s="467"/>
      <c r="P6" s="467"/>
      <c r="Q6" s="467"/>
      <c r="R6" s="467"/>
      <c r="S6" s="467"/>
      <c r="T6" s="467"/>
      <c r="U6" s="467"/>
      <c r="V6" s="467"/>
      <c r="W6" s="467"/>
      <c r="X6" s="467"/>
      <c r="Y6" s="467"/>
      <c r="Z6" s="467"/>
    </row>
    <row r="7" spans="1:26" ht="13.2">
      <c r="A7" s="467"/>
      <c r="B7" s="467"/>
      <c r="C7" s="417"/>
      <c r="D7" s="470">
        <f t="shared" si="0"/>
        <v>2018</v>
      </c>
      <c r="E7" s="419">
        <f>HistPE!E7</f>
        <v>35.22</v>
      </c>
      <c r="F7" s="420">
        <f>HistPE!F7</f>
        <v>46.57</v>
      </c>
      <c r="G7" s="419">
        <f>HistPE!G7</f>
        <v>87.7</v>
      </c>
      <c r="H7" s="420">
        <f>HistPE!H7</f>
        <v>120.75</v>
      </c>
      <c r="I7" s="419">
        <f>HistPE!I7</f>
        <v>42.04</v>
      </c>
      <c r="J7" s="420">
        <f>HistPE!J7</f>
        <v>57.6</v>
      </c>
      <c r="K7" s="419">
        <f>HistPE!K7</f>
        <v>197.46</v>
      </c>
      <c r="L7" s="420">
        <f>HistPE!L7</f>
        <v>274.26</v>
      </c>
      <c r="M7" s="413"/>
      <c r="N7" s="416"/>
      <c r="O7" s="467"/>
      <c r="P7" s="467"/>
      <c r="Q7" s="467"/>
      <c r="R7" s="467"/>
      <c r="S7" s="467"/>
      <c r="T7" s="467"/>
      <c r="U7" s="467"/>
      <c r="V7" s="467"/>
      <c r="W7" s="467"/>
      <c r="X7" s="467"/>
      <c r="Y7" s="467"/>
      <c r="Z7" s="467"/>
    </row>
    <row r="8" spans="1:26" ht="13.2">
      <c r="A8" s="467"/>
      <c r="B8" s="467"/>
      <c r="C8" s="417"/>
      <c r="D8" s="470">
        <f t="shared" si="0"/>
        <v>2019</v>
      </c>
      <c r="E8" s="419">
        <f>HistPE!E8</f>
        <v>34.21</v>
      </c>
      <c r="F8" s="420">
        <f>HistPE!F8</f>
        <v>59.71</v>
      </c>
      <c r="G8" s="419">
        <f>HistPE!G8</f>
        <v>88.68</v>
      </c>
      <c r="H8" s="420">
        <f>HistPE!H8</f>
        <v>132.19999999999999</v>
      </c>
      <c r="I8" s="419">
        <f>HistPE!I8</f>
        <v>42.86</v>
      </c>
      <c r="J8" s="420">
        <f>HistPE!J8</f>
        <v>60.48</v>
      </c>
      <c r="K8" s="419">
        <f>HistPE!K8</f>
        <v>230.33</v>
      </c>
      <c r="L8" s="420">
        <f>HistPE!L8</f>
        <v>331.2</v>
      </c>
      <c r="M8" s="409"/>
      <c r="N8" s="409"/>
      <c r="O8" s="467"/>
      <c r="P8" s="467"/>
      <c r="Q8" s="467"/>
      <c r="R8" s="467"/>
      <c r="S8" s="467"/>
      <c r="T8" s="467"/>
      <c r="U8" s="467"/>
      <c r="V8" s="467"/>
      <c r="W8" s="467"/>
      <c r="X8" s="467"/>
      <c r="Y8" s="467"/>
      <c r="Z8" s="467"/>
    </row>
    <row r="9" spans="1:26" ht="13.2">
      <c r="A9" s="467"/>
      <c r="B9" s="467"/>
      <c r="C9" s="417"/>
      <c r="D9" s="470">
        <f t="shared" si="0"/>
        <v>2020</v>
      </c>
      <c r="E9" s="471">
        <f>HistPE!E9</f>
        <v>42.7</v>
      </c>
      <c r="F9" s="472">
        <f>HistPE!F9</f>
        <v>109.699</v>
      </c>
      <c r="G9" s="471">
        <f>HistPE!G9</f>
        <v>93.09</v>
      </c>
      <c r="H9" s="472">
        <f>HistPE!H9</f>
        <v>167.24</v>
      </c>
      <c r="I9" s="471">
        <f>HistPE!I9</f>
        <v>43.61</v>
      </c>
      <c r="J9" s="472">
        <f>HistPE!J9</f>
        <v>69.290000000000006</v>
      </c>
      <c r="K9" s="471">
        <f>HistPE!K9</f>
        <v>155.66999999999999</v>
      </c>
      <c r="L9" s="472">
        <f>HistPE!L9</f>
        <v>438.5</v>
      </c>
      <c r="M9" s="409"/>
      <c r="N9" s="416"/>
      <c r="O9" s="467"/>
      <c r="P9" s="467"/>
      <c r="Q9" s="467"/>
      <c r="R9" s="467"/>
      <c r="S9" s="467"/>
      <c r="T9" s="467"/>
      <c r="U9" s="467"/>
      <c r="V9" s="467"/>
      <c r="W9" s="467"/>
      <c r="X9" s="467"/>
      <c r="Y9" s="467"/>
      <c r="Z9" s="467"/>
    </row>
    <row r="10" spans="1:26" ht="13.2">
      <c r="A10" s="467"/>
      <c r="B10" s="467"/>
      <c r="C10" s="417"/>
      <c r="D10" s="473"/>
      <c r="E10" s="409"/>
      <c r="F10" s="409"/>
      <c r="G10" s="409"/>
      <c r="H10" s="409"/>
      <c r="I10" s="409"/>
      <c r="J10" s="409"/>
      <c r="K10" s="409"/>
      <c r="L10" s="424"/>
      <c r="M10" s="412"/>
      <c r="N10" s="416"/>
      <c r="O10" s="467"/>
      <c r="P10" s="467"/>
      <c r="Q10" s="467"/>
      <c r="R10" s="467"/>
      <c r="S10" s="467"/>
      <c r="T10" s="467"/>
      <c r="U10" s="467"/>
      <c r="V10" s="467"/>
      <c r="W10" s="467"/>
      <c r="X10" s="467"/>
      <c r="Y10" s="467"/>
      <c r="Z10" s="467"/>
    </row>
    <row r="11" spans="1:26" ht="13.2">
      <c r="A11" s="467"/>
      <c r="B11" s="467"/>
      <c r="C11" s="410"/>
      <c r="D11" s="468"/>
      <c r="E11" s="729" t="str">
        <f>Ticker</f>
        <v>TSM</v>
      </c>
      <c r="F11" s="687"/>
      <c r="G11" s="729" t="str">
        <f>Comp1Ticker</f>
        <v>Texas Instruments</v>
      </c>
      <c r="H11" s="687"/>
      <c r="I11" s="729" t="str">
        <f>Comp2Ticker</f>
        <v>Intel Corporation</v>
      </c>
      <c r="J11" s="687"/>
      <c r="K11" s="729" t="str">
        <f>Comp3Ticker</f>
        <v>Broadcom</v>
      </c>
      <c r="L11" s="687"/>
      <c r="M11" s="413"/>
      <c r="N11" s="416"/>
      <c r="O11" s="467"/>
      <c r="P11" s="467"/>
      <c r="Q11" s="467"/>
      <c r="R11" s="467"/>
      <c r="S11" s="467"/>
      <c r="T11" s="467"/>
      <c r="U11" s="467"/>
      <c r="V11" s="467"/>
      <c r="W11" s="467"/>
      <c r="X11" s="467"/>
      <c r="Y11" s="467"/>
      <c r="Z11" s="467"/>
    </row>
    <row r="12" spans="1:26" ht="13.2">
      <c r="A12" s="467"/>
      <c r="B12" s="467"/>
      <c r="C12" s="417"/>
      <c r="D12" s="469" t="s">
        <v>121</v>
      </c>
      <c r="E12" s="409"/>
      <c r="F12" s="409"/>
      <c r="G12" s="417"/>
      <c r="H12" s="424"/>
      <c r="I12" s="417"/>
      <c r="J12" s="424"/>
      <c r="K12" s="417"/>
      <c r="L12" s="424"/>
      <c r="M12" s="425"/>
      <c r="N12" s="416"/>
      <c r="O12" s="467"/>
      <c r="P12" s="467"/>
      <c r="Q12" s="467"/>
      <c r="R12" s="467"/>
      <c r="S12" s="467"/>
      <c r="T12" s="467"/>
      <c r="U12" s="467"/>
      <c r="V12" s="467"/>
      <c r="W12" s="467"/>
      <c r="X12" s="467"/>
      <c r="Y12" s="467"/>
      <c r="Z12" s="467"/>
    </row>
    <row r="13" spans="1:26" ht="13.2">
      <c r="A13" s="467"/>
      <c r="B13" s="467"/>
      <c r="C13" s="417"/>
      <c r="D13" s="470"/>
      <c r="E13" s="743"/>
      <c r="F13" s="625"/>
      <c r="G13" s="731"/>
      <c r="H13" s="703"/>
      <c r="I13" s="731"/>
      <c r="J13" s="703"/>
      <c r="K13" s="731"/>
      <c r="L13" s="703"/>
      <c r="M13" s="409"/>
      <c r="N13" s="416"/>
      <c r="O13" s="467"/>
      <c r="P13" s="467"/>
      <c r="Q13" s="467"/>
      <c r="R13" s="467"/>
      <c r="S13" s="467"/>
      <c r="T13" s="467"/>
      <c r="U13" s="467"/>
      <c r="V13" s="467"/>
      <c r="W13" s="467"/>
      <c r="X13" s="467"/>
      <c r="Y13" s="467"/>
      <c r="Z13" s="467"/>
    </row>
    <row r="14" spans="1:26" ht="12.75" customHeight="1">
      <c r="A14" s="467"/>
      <c r="B14" s="467"/>
      <c r="C14" s="728" t="s">
        <v>312</v>
      </c>
      <c r="D14" s="470">
        <f t="shared" ref="D14:D18" si="1">D5</f>
        <v>2016</v>
      </c>
      <c r="E14" s="726">
        <v>2</v>
      </c>
      <c r="F14" s="620"/>
      <c r="G14" s="726">
        <v>4.5599999999999996</v>
      </c>
      <c r="H14" s="620"/>
      <c r="I14" s="726">
        <v>7.2</v>
      </c>
      <c r="J14" s="620"/>
      <c r="K14" s="726">
        <v>5.01</v>
      </c>
      <c r="L14" s="706"/>
      <c r="M14" s="409"/>
      <c r="N14" s="409"/>
      <c r="O14" s="467"/>
      <c r="P14" s="467"/>
      <c r="Q14" s="467"/>
      <c r="R14" s="467"/>
      <c r="S14" s="467"/>
      <c r="T14" s="467"/>
      <c r="U14" s="467"/>
      <c r="V14" s="467"/>
      <c r="W14" s="467"/>
      <c r="X14" s="467"/>
      <c r="Y14" s="467"/>
      <c r="Z14" s="467"/>
    </row>
    <row r="15" spans="1:26" ht="13.2">
      <c r="A15" s="467"/>
      <c r="B15" s="467"/>
      <c r="C15" s="708"/>
      <c r="D15" s="470">
        <f t="shared" si="1"/>
        <v>2017</v>
      </c>
      <c r="E15" s="726">
        <v>6.21</v>
      </c>
      <c r="F15" s="706"/>
      <c r="G15" s="726">
        <v>3.81</v>
      </c>
      <c r="H15" s="706"/>
      <c r="I15" s="726">
        <v>6.73</v>
      </c>
      <c r="J15" s="706"/>
      <c r="K15" s="726">
        <v>6.79</v>
      </c>
      <c r="L15" s="706"/>
      <c r="M15" s="409"/>
      <c r="N15" s="409"/>
      <c r="O15" s="467"/>
      <c r="P15" s="467"/>
      <c r="Q15" s="467"/>
      <c r="R15" s="467"/>
      <c r="S15" s="467"/>
      <c r="T15" s="467"/>
      <c r="U15" s="467"/>
      <c r="V15" s="467"/>
      <c r="W15" s="467"/>
      <c r="X15" s="467"/>
      <c r="Y15" s="467"/>
      <c r="Z15" s="467"/>
    </row>
    <row r="16" spans="1:26" ht="13.2">
      <c r="A16" s="467"/>
      <c r="B16" s="467"/>
      <c r="C16" s="417"/>
      <c r="D16" s="470">
        <f t="shared" si="1"/>
        <v>2018</v>
      </c>
      <c r="E16" s="726">
        <v>4.84</v>
      </c>
      <c r="F16" s="706"/>
      <c r="G16" s="726">
        <v>3.17</v>
      </c>
      <c r="H16" s="706"/>
      <c r="I16" s="726">
        <v>8.0500000000000007</v>
      </c>
      <c r="J16" s="706"/>
      <c r="K16" s="726">
        <v>6.11</v>
      </c>
      <c r="L16" s="706"/>
      <c r="M16" s="426"/>
      <c r="N16" s="426"/>
      <c r="O16" s="467"/>
      <c r="P16" s="467"/>
      <c r="Q16" s="467"/>
      <c r="R16" s="467"/>
      <c r="S16" s="467"/>
      <c r="T16" s="467"/>
      <c r="U16" s="467"/>
      <c r="V16" s="467"/>
      <c r="W16" s="467"/>
      <c r="X16" s="467"/>
      <c r="Y16" s="467"/>
      <c r="Z16" s="467"/>
    </row>
    <row r="17" spans="1:26" ht="13.2">
      <c r="A17" s="467"/>
      <c r="B17" s="467"/>
      <c r="C17" s="417"/>
      <c r="D17" s="470">
        <f t="shared" si="1"/>
        <v>2019</v>
      </c>
      <c r="E17" s="726">
        <v>5.75</v>
      </c>
      <c r="F17" s="706"/>
      <c r="G17" s="726">
        <v>2.27</v>
      </c>
      <c r="H17" s="706"/>
      <c r="I17" s="726">
        <v>4.6500000000000004</v>
      </c>
      <c r="J17" s="706"/>
      <c r="K17" s="726">
        <v>5.94</v>
      </c>
      <c r="L17" s="706"/>
      <c r="M17" s="427"/>
      <c r="N17" s="427"/>
      <c r="O17" s="467"/>
      <c r="P17" s="467"/>
      <c r="Q17" s="467"/>
      <c r="R17" s="467"/>
      <c r="S17" s="467"/>
      <c r="T17" s="467"/>
      <c r="U17" s="467"/>
      <c r="V17" s="467"/>
      <c r="W17" s="467"/>
      <c r="X17" s="467"/>
      <c r="Y17" s="467"/>
      <c r="Z17" s="467"/>
    </row>
    <row r="18" spans="1:26" ht="13.2">
      <c r="A18" s="467"/>
      <c r="B18" s="467"/>
      <c r="C18" s="422"/>
      <c r="D18" s="474">
        <f t="shared" si="1"/>
        <v>2020</v>
      </c>
      <c r="E18" s="727">
        <v>6.88</v>
      </c>
      <c r="F18" s="705"/>
      <c r="G18" s="727">
        <v>-5.63</v>
      </c>
      <c r="H18" s="705"/>
      <c r="I18" s="727">
        <v>8.01</v>
      </c>
      <c r="J18" s="705"/>
      <c r="K18" s="727">
        <v>5.1100000000000003</v>
      </c>
      <c r="L18" s="705"/>
      <c r="M18" s="427"/>
      <c r="N18" s="427"/>
      <c r="O18" s="467"/>
      <c r="P18" s="467"/>
      <c r="Q18" s="467"/>
      <c r="R18" s="467"/>
      <c r="S18" s="467"/>
      <c r="T18" s="467"/>
      <c r="U18" s="467"/>
      <c r="V18" s="467"/>
      <c r="W18" s="467"/>
      <c r="X18" s="467"/>
      <c r="Y18" s="467"/>
      <c r="Z18" s="467"/>
    </row>
    <row r="19" spans="1:26" ht="13.2">
      <c r="A19" s="467"/>
      <c r="B19" s="467"/>
      <c r="C19" s="417"/>
      <c r="D19" s="409"/>
      <c r="E19" s="409"/>
      <c r="F19" s="409"/>
      <c r="G19" s="409"/>
      <c r="H19" s="409"/>
      <c r="I19" s="409"/>
      <c r="J19" s="409"/>
      <c r="K19" s="409"/>
      <c r="L19" s="424"/>
      <c r="M19" s="427"/>
      <c r="N19" s="427"/>
      <c r="O19" s="467"/>
      <c r="P19" s="467"/>
      <c r="Q19" s="467"/>
      <c r="R19" s="467"/>
      <c r="S19" s="467"/>
      <c r="T19" s="467"/>
      <c r="U19" s="467"/>
      <c r="V19" s="467"/>
      <c r="W19" s="467"/>
      <c r="X19" s="467"/>
      <c r="Y19" s="467"/>
      <c r="Z19" s="467"/>
    </row>
    <row r="20" spans="1:26" ht="13.2">
      <c r="A20" s="467"/>
      <c r="B20" s="467"/>
      <c r="C20" s="410"/>
      <c r="D20" s="410"/>
      <c r="E20" s="725" t="str">
        <f>Ticker</f>
        <v>TSM</v>
      </c>
      <c r="F20" s="608"/>
      <c r="G20" s="725" t="str">
        <f>Comp1Ticker</f>
        <v>Texas Instruments</v>
      </c>
      <c r="H20" s="608"/>
      <c r="I20" s="725" t="str">
        <f>Comp2Ticker</f>
        <v>Intel Corporation</v>
      </c>
      <c r="J20" s="608"/>
      <c r="K20" s="725" t="str">
        <f>Comp3Ticker</f>
        <v>Broadcom</v>
      </c>
      <c r="L20" s="608"/>
      <c r="M20" s="409"/>
      <c r="N20" s="409"/>
      <c r="O20" s="467"/>
      <c r="P20" s="467"/>
      <c r="Q20" s="467"/>
      <c r="R20" s="467"/>
      <c r="S20" s="467"/>
      <c r="T20" s="467"/>
      <c r="U20" s="467"/>
      <c r="V20" s="467"/>
      <c r="W20" s="467"/>
      <c r="X20" s="467"/>
      <c r="Y20" s="467"/>
      <c r="Z20" s="467"/>
    </row>
    <row r="21" spans="1:26" ht="15.75" customHeight="1">
      <c r="A21" s="467"/>
      <c r="B21" s="467"/>
      <c r="C21" s="417"/>
      <c r="D21" s="418" t="s">
        <v>121</v>
      </c>
      <c r="E21" s="430" t="s">
        <v>265</v>
      </c>
      <c r="F21" s="431" t="s">
        <v>266</v>
      </c>
      <c r="G21" s="430" t="s">
        <v>265</v>
      </c>
      <c r="H21" s="431" t="s">
        <v>266</v>
      </c>
      <c r="I21" s="430" t="s">
        <v>265</v>
      </c>
      <c r="J21" s="431" t="s">
        <v>266</v>
      </c>
      <c r="K21" s="426" t="s">
        <v>265</v>
      </c>
      <c r="L21" s="432" t="s">
        <v>266</v>
      </c>
      <c r="M21" s="409"/>
      <c r="N21" s="409"/>
      <c r="O21" s="467"/>
      <c r="P21" s="467"/>
      <c r="Q21" s="467"/>
      <c r="R21" s="467"/>
      <c r="S21" s="467"/>
      <c r="T21" s="467"/>
      <c r="U21" s="467"/>
      <c r="V21" s="467"/>
      <c r="W21" s="467"/>
      <c r="X21" s="467"/>
      <c r="Y21" s="467"/>
      <c r="Z21" s="467"/>
    </row>
    <row r="22" spans="1:26" ht="15.75" customHeight="1">
      <c r="A22" s="467"/>
      <c r="B22" s="467"/>
      <c r="C22" s="417"/>
      <c r="D22" s="418"/>
      <c r="E22" s="433"/>
      <c r="F22" s="434"/>
      <c r="G22" s="433"/>
      <c r="H22" s="434"/>
      <c r="I22" s="433"/>
      <c r="J22" s="434"/>
      <c r="K22" s="427"/>
      <c r="L22" s="434"/>
      <c r="M22" s="409"/>
      <c r="N22" s="409"/>
      <c r="O22" s="467"/>
      <c r="P22" s="467"/>
      <c r="Q22" s="467"/>
      <c r="R22" s="467"/>
      <c r="S22" s="467"/>
      <c r="T22" s="467"/>
      <c r="U22" s="467"/>
      <c r="V22" s="467"/>
      <c r="W22" s="467"/>
      <c r="X22" s="467"/>
      <c r="Y22" s="467"/>
      <c r="Z22" s="467"/>
    </row>
    <row r="23" spans="1:26" ht="15" customHeight="1">
      <c r="A23" s="467"/>
      <c r="B23" s="467"/>
      <c r="C23" s="417"/>
      <c r="D23" s="418">
        <f t="shared" ref="D23:D27" si="2">D5</f>
        <v>2016</v>
      </c>
      <c r="E23" s="433">
        <f t="shared" ref="E23:E27" si="3">E5/E14</f>
        <v>14.17</v>
      </c>
      <c r="F23" s="434">
        <f t="shared" ref="F23:F27" si="4">F5/E14</f>
        <v>15.3199995</v>
      </c>
      <c r="G23" s="433">
        <f t="shared" ref="G23:G27" si="5">G5/G14</f>
        <v>15.333333333333336</v>
      </c>
      <c r="H23" s="434">
        <f t="shared" ref="H23:H27" si="6">H5/G14</f>
        <v>16.48026315789474</v>
      </c>
      <c r="I23" s="433">
        <f t="shared" ref="I23:I27" si="7">I5/I14</f>
        <v>4.6611111111111114</v>
      </c>
      <c r="J23" s="434">
        <f t="shared" ref="J23:J27" si="8">J5/I14</f>
        <v>5.1875</v>
      </c>
      <c r="K23" s="427">
        <f t="shared" ref="K23:K27" si="9">K5/K14</f>
        <v>32.059880239520957</v>
      </c>
      <c r="L23" s="434">
        <f t="shared" ref="L23:L27" si="10">L5/K14</f>
        <v>36.724550898203596</v>
      </c>
      <c r="M23" s="409"/>
      <c r="N23" s="409"/>
      <c r="O23" s="467"/>
      <c r="P23" s="467"/>
      <c r="Q23" s="467"/>
      <c r="R23" s="467"/>
      <c r="S23" s="467"/>
      <c r="T23" s="467"/>
      <c r="U23" s="467"/>
      <c r="V23" s="467"/>
      <c r="W23" s="467"/>
      <c r="X23" s="467"/>
      <c r="Y23" s="467"/>
      <c r="Z23" s="467"/>
    </row>
    <row r="24" spans="1:26" ht="15.75" customHeight="1">
      <c r="A24" s="467"/>
      <c r="B24" s="467"/>
      <c r="C24" s="414" t="s">
        <v>313</v>
      </c>
      <c r="D24" s="418">
        <f t="shared" si="2"/>
        <v>2017</v>
      </c>
      <c r="E24" s="435">
        <f t="shared" si="3"/>
        <v>4.666666666666667</v>
      </c>
      <c r="F24" s="436">
        <f t="shared" si="4"/>
        <v>6.9275362318840585</v>
      </c>
      <c r="G24" s="433">
        <f t="shared" si="5"/>
        <v>19.020997375328083</v>
      </c>
      <c r="H24" s="434">
        <f t="shared" si="6"/>
        <v>27.645669291338582</v>
      </c>
      <c r="I24" s="433">
        <f t="shared" si="7"/>
        <v>4.9375928677563143</v>
      </c>
      <c r="J24" s="434">
        <f t="shared" si="8"/>
        <v>7.0341753343239226</v>
      </c>
      <c r="K24" s="427">
        <f t="shared" si="9"/>
        <v>25.524300441826217</v>
      </c>
      <c r="L24" s="434">
        <f t="shared" si="10"/>
        <v>42.073637702503682</v>
      </c>
      <c r="M24" s="409"/>
      <c r="N24" s="409"/>
      <c r="O24" s="467"/>
      <c r="P24" s="467"/>
      <c r="Q24" s="467"/>
      <c r="R24" s="467"/>
      <c r="S24" s="467"/>
      <c r="T24" s="467"/>
      <c r="U24" s="467"/>
      <c r="V24" s="467"/>
      <c r="W24" s="467"/>
      <c r="X24" s="467"/>
      <c r="Y24" s="467"/>
      <c r="Z24" s="467"/>
    </row>
    <row r="25" spans="1:26" ht="15.75" customHeight="1">
      <c r="A25" s="467"/>
      <c r="B25" s="467"/>
      <c r="C25" s="414"/>
      <c r="D25" s="418">
        <f t="shared" si="2"/>
        <v>2018</v>
      </c>
      <c r="E25" s="433">
        <f t="shared" si="3"/>
        <v>7.276859504132231</v>
      </c>
      <c r="F25" s="434">
        <f t="shared" si="4"/>
        <v>9.6219008264462822</v>
      </c>
      <c r="G25" s="433">
        <f t="shared" si="5"/>
        <v>27.665615141955836</v>
      </c>
      <c r="H25" s="434">
        <f t="shared" si="6"/>
        <v>38.09148264984227</v>
      </c>
      <c r="I25" s="433">
        <f t="shared" si="7"/>
        <v>5.2223602484472043</v>
      </c>
      <c r="J25" s="434">
        <f t="shared" si="8"/>
        <v>7.1552795031055894</v>
      </c>
      <c r="K25" s="427">
        <f t="shared" si="9"/>
        <v>32.317512274959086</v>
      </c>
      <c r="L25" s="434">
        <f t="shared" si="10"/>
        <v>44.887070376432078</v>
      </c>
      <c r="M25" s="409"/>
      <c r="N25" s="409"/>
      <c r="O25" s="467"/>
      <c r="P25" s="467"/>
      <c r="Q25" s="467"/>
      <c r="R25" s="467"/>
      <c r="S25" s="467"/>
      <c r="T25" s="467"/>
      <c r="U25" s="467"/>
      <c r="V25" s="467"/>
      <c r="W25" s="467"/>
      <c r="X25" s="467"/>
      <c r="Y25" s="467"/>
      <c r="Z25" s="467"/>
    </row>
    <row r="26" spans="1:26" ht="15.75" customHeight="1">
      <c r="A26" s="467"/>
      <c r="B26" s="467"/>
      <c r="C26" s="414"/>
      <c r="D26" s="418">
        <f t="shared" si="2"/>
        <v>2019</v>
      </c>
      <c r="E26" s="435">
        <f t="shared" si="3"/>
        <v>5.9495652173913047</v>
      </c>
      <c r="F26" s="436">
        <f t="shared" si="4"/>
        <v>10.384347826086957</v>
      </c>
      <c r="G26" s="433">
        <f t="shared" si="5"/>
        <v>39.066079295154189</v>
      </c>
      <c r="H26" s="434">
        <f t="shared" si="6"/>
        <v>58.237885462555063</v>
      </c>
      <c r="I26" s="433">
        <f t="shared" si="7"/>
        <v>9.2172043010752684</v>
      </c>
      <c r="J26" s="434">
        <f t="shared" si="8"/>
        <v>13.006451612903223</v>
      </c>
      <c r="K26" s="427">
        <f t="shared" si="9"/>
        <v>38.776094276094277</v>
      </c>
      <c r="L26" s="434">
        <f t="shared" si="10"/>
        <v>55.757575757575751</v>
      </c>
      <c r="M26" s="409"/>
      <c r="N26" s="409"/>
      <c r="O26" s="467"/>
      <c r="P26" s="467"/>
      <c r="Q26" s="467"/>
      <c r="R26" s="467"/>
      <c r="S26" s="467"/>
      <c r="T26" s="467"/>
      <c r="U26" s="467"/>
      <c r="V26" s="467"/>
      <c r="W26" s="467"/>
      <c r="X26" s="467"/>
      <c r="Y26" s="467"/>
      <c r="Z26" s="467"/>
    </row>
    <row r="27" spans="1:26" ht="15.75" customHeight="1">
      <c r="A27" s="467"/>
      <c r="B27" s="467"/>
      <c r="C27" s="417"/>
      <c r="D27" s="428">
        <f t="shared" si="2"/>
        <v>2020</v>
      </c>
      <c r="E27" s="433">
        <f t="shared" si="3"/>
        <v>6.2063953488372094</v>
      </c>
      <c r="F27" s="434">
        <f t="shared" si="4"/>
        <v>15.944622093023256</v>
      </c>
      <c r="G27" s="433">
        <f t="shared" si="5"/>
        <v>-16.534635879218474</v>
      </c>
      <c r="H27" s="434">
        <f t="shared" si="6"/>
        <v>-29.705150976909415</v>
      </c>
      <c r="I27" s="433">
        <f t="shared" si="7"/>
        <v>5.4444444444444446</v>
      </c>
      <c r="J27" s="434">
        <f t="shared" si="8"/>
        <v>8.6504369538077412</v>
      </c>
      <c r="K27" s="427">
        <f t="shared" si="9"/>
        <v>30.463796477495102</v>
      </c>
      <c r="L27" s="434">
        <f t="shared" si="10"/>
        <v>85.812133072407036</v>
      </c>
      <c r="M27" s="409"/>
      <c r="N27" s="409"/>
      <c r="O27" s="467"/>
      <c r="P27" s="467"/>
      <c r="Q27" s="467"/>
      <c r="R27" s="467"/>
      <c r="S27" s="467"/>
      <c r="T27" s="467"/>
      <c r="U27" s="467"/>
      <c r="V27" s="467"/>
      <c r="W27" s="467"/>
      <c r="X27" s="467"/>
      <c r="Y27" s="467"/>
      <c r="Z27" s="467"/>
    </row>
    <row r="28" spans="1:26" ht="15.75" customHeight="1">
      <c r="A28" s="467"/>
      <c r="B28" s="467"/>
      <c r="C28" s="422"/>
      <c r="D28" s="440" t="s">
        <v>47</v>
      </c>
      <c r="E28" s="478">
        <f t="shared" ref="E28:L28" si="11">AVERAGE(E23:E27)</f>
        <v>7.6538973474054828</v>
      </c>
      <c r="F28" s="442">
        <f t="shared" si="11"/>
        <v>11.63968129548811</v>
      </c>
      <c r="G28" s="478">
        <f t="shared" si="11"/>
        <v>16.910277853310596</v>
      </c>
      <c r="H28" s="442">
        <f t="shared" si="11"/>
        <v>22.150029916944248</v>
      </c>
      <c r="I28" s="478">
        <f t="shared" si="11"/>
        <v>5.8965425945668688</v>
      </c>
      <c r="J28" s="442">
        <f t="shared" si="11"/>
        <v>8.2067686808280946</v>
      </c>
      <c r="K28" s="441">
        <f t="shared" si="11"/>
        <v>31.828316741979126</v>
      </c>
      <c r="L28" s="442">
        <f t="shared" si="11"/>
        <v>53.050993561424434</v>
      </c>
      <c r="M28" s="409"/>
      <c r="N28" s="409"/>
      <c r="O28" s="467"/>
      <c r="P28" s="467"/>
      <c r="Q28" s="467"/>
      <c r="R28" s="467"/>
      <c r="S28" s="467"/>
      <c r="T28" s="467"/>
      <c r="U28" s="467"/>
      <c r="V28" s="467"/>
      <c r="W28" s="467"/>
      <c r="X28" s="467"/>
      <c r="Y28" s="467"/>
      <c r="Z28" s="467"/>
    </row>
    <row r="29" spans="1:26" ht="15.75" customHeight="1">
      <c r="A29" s="467"/>
      <c r="B29" s="467"/>
      <c r="C29" s="417"/>
      <c r="D29" s="409"/>
      <c r="E29" s="409"/>
      <c r="F29" s="409"/>
      <c r="G29" s="409"/>
      <c r="H29" s="409"/>
      <c r="I29" s="409"/>
      <c r="J29" s="409"/>
      <c r="K29" s="409"/>
      <c r="L29" s="424"/>
      <c r="M29" s="427"/>
      <c r="N29" s="427"/>
      <c r="O29" s="467"/>
      <c r="P29" s="467"/>
      <c r="Q29" s="467"/>
      <c r="R29" s="467"/>
      <c r="S29" s="467"/>
      <c r="T29" s="467"/>
      <c r="U29" s="467"/>
      <c r="V29" s="467"/>
      <c r="W29" s="467"/>
      <c r="X29" s="467"/>
      <c r="Y29" s="467"/>
      <c r="Z29" s="467"/>
    </row>
    <row r="30" spans="1:26" ht="15.75" customHeight="1">
      <c r="A30" s="467"/>
      <c r="B30" s="467"/>
      <c r="C30" s="417"/>
      <c r="D30" s="725" t="s">
        <v>270</v>
      </c>
      <c r="E30" s="656"/>
      <c r="F30" s="608"/>
      <c r="G30" s="725" t="str">
        <f>Ticker&amp;" Relative P/FCF"</f>
        <v>TSM Relative P/FCF</v>
      </c>
      <c r="H30" s="608"/>
      <c r="I30" s="725" t="str">
        <f>Ticker&amp;" Average P/FCF"</f>
        <v>TSM Average P/FCF</v>
      </c>
      <c r="J30" s="608"/>
      <c r="K30" s="725" t="s">
        <v>314</v>
      </c>
      <c r="L30" s="608"/>
      <c r="M30" s="443"/>
      <c r="N30" s="443"/>
      <c r="O30" s="467"/>
      <c r="P30" s="467"/>
      <c r="Q30" s="467"/>
      <c r="R30" s="467"/>
      <c r="S30" s="467"/>
      <c r="T30" s="467"/>
      <c r="U30" s="467"/>
      <c r="V30" s="467"/>
      <c r="W30" s="467"/>
      <c r="X30" s="467"/>
      <c r="Y30" s="467"/>
      <c r="Z30" s="467"/>
    </row>
    <row r="31" spans="1:26" ht="15.75" customHeight="1">
      <c r="A31" s="467"/>
      <c r="B31" s="467"/>
      <c r="C31" s="417"/>
      <c r="D31" s="429" t="s">
        <v>121</v>
      </c>
      <c r="E31" s="429" t="s">
        <v>272</v>
      </c>
      <c r="F31" s="415" t="s">
        <v>266</v>
      </c>
      <c r="G31" s="413" t="s">
        <v>272</v>
      </c>
      <c r="H31" s="415" t="s">
        <v>266</v>
      </c>
      <c r="I31" s="409"/>
      <c r="J31" s="444"/>
      <c r="K31" s="409"/>
      <c r="L31" s="424"/>
      <c r="M31" s="409"/>
      <c r="N31" s="409"/>
      <c r="O31" s="467"/>
      <c r="P31" s="467"/>
      <c r="Q31" s="467"/>
      <c r="R31" s="467"/>
      <c r="S31" s="467"/>
      <c r="T31" s="467"/>
      <c r="U31" s="467"/>
      <c r="V31" s="467"/>
      <c r="W31" s="467"/>
      <c r="X31" s="467"/>
      <c r="Y31" s="467"/>
      <c r="Z31" s="467"/>
    </row>
    <row r="32" spans="1:26" ht="15.75" customHeight="1">
      <c r="A32" s="467"/>
      <c r="B32" s="467"/>
      <c r="C32" s="417"/>
      <c r="D32" s="418"/>
      <c r="E32" s="445"/>
      <c r="F32" s="446"/>
      <c r="G32" s="409"/>
      <c r="H32" s="424"/>
      <c r="I32" s="737"/>
      <c r="J32" s="703"/>
      <c r="K32" s="409"/>
      <c r="L32" s="424"/>
      <c r="M32" s="409"/>
      <c r="N32" s="409"/>
      <c r="O32" s="467"/>
      <c r="P32" s="467"/>
      <c r="Q32" s="467"/>
      <c r="R32" s="467"/>
      <c r="S32" s="467"/>
      <c r="T32" s="467"/>
      <c r="U32" s="467"/>
      <c r="V32" s="467"/>
      <c r="W32" s="467"/>
      <c r="X32" s="467"/>
      <c r="Y32" s="467"/>
      <c r="Z32" s="467"/>
    </row>
    <row r="33" spans="1:26" ht="15.75" customHeight="1">
      <c r="A33" s="467"/>
      <c r="B33" s="467"/>
      <c r="C33" s="417"/>
      <c r="D33" s="418">
        <f t="shared" ref="D33:D37" si="12">D5</f>
        <v>2016</v>
      </c>
      <c r="E33" s="435">
        <f t="shared" ref="E33:E37" si="13">AVERAGE(G23,I23,K23)</f>
        <v>17.351441561321803</v>
      </c>
      <c r="F33" s="436">
        <f t="shared" ref="F33:F34" si="14">AVERAGE(H23,L23)</f>
        <v>26.602407028049168</v>
      </c>
      <c r="G33" s="447">
        <f t="shared" ref="G33:H33" si="15">E23/E33</f>
        <v>0.81664684458186043</v>
      </c>
      <c r="H33" s="436">
        <f t="shared" si="15"/>
        <v>0.57588771887622159</v>
      </c>
      <c r="I33" s="737">
        <f t="shared" ref="I33:I37" si="16">AVERAGE(E23:F23)</f>
        <v>14.74499975</v>
      </c>
      <c r="J33" s="703"/>
      <c r="K33" s="737">
        <f t="shared" ref="K33:K37" si="17">AVERAGE(E33:F33)</f>
        <v>21.976924294685485</v>
      </c>
      <c r="L33" s="703"/>
      <c r="M33" s="409"/>
      <c r="N33" s="409"/>
      <c r="O33" s="467"/>
      <c r="P33" s="467"/>
      <c r="Q33" s="467"/>
      <c r="R33" s="467"/>
      <c r="S33" s="467"/>
      <c r="T33" s="467"/>
      <c r="U33" s="467"/>
      <c r="V33" s="467"/>
      <c r="W33" s="467"/>
      <c r="X33" s="467"/>
      <c r="Y33" s="467"/>
      <c r="Z33" s="467"/>
    </row>
    <row r="34" spans="1:26" ht="15.75" customHeight="1">
      <c r="A34" s="467"/>
      <c r="B34" s="467"/>
      <c r="C34" s="417"/>
      <c r="D34" s="418">
        <f t="shared" si="12"/>
        <v>2017</v>
      </c>
      <c r="E34" s="435">
        <f t="shared" si="13"/>
        <v>16.494296894970205</v>
      </c>
      <c r="F34" s="436">
        <f t="shared" si="14"/>
        <v>34.859653496921133</v>
      </c>
      <c r="G34" s="447">
        <f t="shared" ref="G34:H34" si="18">E24/E34</f>
        <v>0.28292607416868598</v>
      </c>
      <c r="H34" s="436">
        <f t="shared" si="18"/>
        <v>0.19872647995471071</v>
      </c>
      <c r="I34" s="737">
        <f t="shared" si="16"/>
        <v>5.7971014492753632</v>
      </c>
      <c r="J34" s="703"/>
      <c r="K34" s="737">
        <f t="shared" si="17"/>
        <v>25.676975195945669</v>
      </c>
      <c r="L34" s="703"/>
      <c r="M34" s="409"/>
      <c r="N34" s="409"/>
      <c r="O34" s="467"/>
      <c r="P34" s="467"/>
      <c r="Q34" s="467"/>
      <c r="R34" s="467"/>
      <c r="S34" s="467"/>
      <c r="T34" s="467"/>
      <c r="U34" s="467"/>
      <c r="V34" s="467"/>
      <c r="W34" s="467"/>
      <c r="X34" s="467"/>
      <c r="Y34" s="467"/>
      <c r="Z34" s="467"/>
    </row>
    <row r="35" spans="1:26" ht="15.75" customHeight="1">
      <c r="A35" s="467"/>
      <c r="B35" s="467"/>
      <c r="C35" s="417"/>
      <c r="D35" s="418">
        <f t="shared" si="12"/>
        <v>2018</v>
      </c>
      <c r="E35" s="435">
        <f t="shared" si="13"/>
        <v>21.735162555120709</v>
      </c>
      <c r="F35" s="436">
        <f t="shared" ref="F35:F37" si="19">AVERAGE(H25,J25,L25)</f>
        <v>30.044610843126645</v>
      </c>
      <c r="G35" s="447">
        <f t="shared" ref="G35:H35" si="20">E25/E35</f>
        <v>0.33479664509883478</v>
      </c>
      <c r="H35" s="436">
        <f t="shared" si="20"/>
        <v>0.3202538011454224</v>
      </c>
      <c r="I35" s="737">
        <f t="shared" si="16"/>
        <v>8.4493801652892557</v>
      </c>
      <c r="J35" s="703"/>
      <c r="K35" s="737">
        <f t="shared" si="17"/>
        <v>25.889886699123679</v>
      </c>
      <c r="L35" s="703"/>
      <c r="M35" s="409"/>
      <c r="N35" s="409"/>
      <c r="O35" s="467"/>
      <c r="P35" s="467"/>
      <c r="Q35" s="467"/>
      <c r="R35" s="467"/>
      <c r="S35" s="467"/>
      <c r="T35" s="467"/>
      <c r="U35" s="467"/>
      <c r="V35" s="467"/>
      <c r="W35" s="467"/>
      <c r="X35" s="467"/>
      <c r="Y35" s="467"/>
      <c r="Z35" s="467"/>
    </row>
    <row r="36" spans="1:26" ht="15.75" customHeight="1">
      <c r="A36" s="467"/>
      <c r="B36" s="467"/>
      <c r="C36" s="417"/>
      <c r="D36" s="418">
        <f t="shared" si="12"/>
        <v>2019</v>
      </c>
      <c r="E36" s="435">
        <f t="shared" si="13"/>
        <v>29.019792624107911</v>
      </c>
      <c r="F36" s="436">
        <f t="shared" si="19"/>
        <v>42.333970944344678</v>
      </c>
      <c r="G36" s="447">
        <f t="shared" ref="G36:H36" si="21">E26/E36</f>
        <v>0.20501749597096575</v>
      </c>
      <c r="H36" s="436">
        <f t="shared" si="21"/>
        <v>0.24529586037981121</v>
      </c>
      <c r="I36" s="737">
        <f t="shared" si="16"/>
        <v>8.1669565217391309</v>
      </c>
      <c r="J36" s="703"/>
      <c r="K36" s="737">
        <f t="shared" si="17"/>
        <v>35.676881784226296</v>
      </c>
      <c r="L36" s="703"/>
      <c r="M36" s="409"/>
      <c r="N36" s="409"/>
      <c r="O36" s="467"/>
      <c r="P36" s="467"/>
      <c r="Q36" s="467"/>
      <c r="R36" s="467"/>
      <c r="S36" s="467"/>
      <c r="T36" s="467"/>
      <c r="U36" s="467"/>
      <c r="V36" s="467"/>
      <c r="W36" s="467"/>
      <c r="X36" s="467"/>
      <c r="Y36" s="467"/>
      <c r="Z36" s="467"/>
    </row>
    <row r="37" spans="1:26" ht="15.75" customHeight="1">
      <c r="A37" s="467"/>
      <c r="B37" s="467"/>
      <c r="C37" s="417"/>
      <c r="D37" s="418">
        <f t="shared" si="12"/>
        <v>2020</v>
      </c>
      <c r="E37" s="478">
        <f t="shared" si="13"/>
        <v>6.4578683475736911</v>
      </c>
      <c r="F37" s="436">
        <f t="shared" si="19"/>
        <v>21.58580634976845</v>
      </c>
      <c r="G37" s="447">
        <f t="shared" ref="G37:H37" si="22">E27/E37</f>
        <v>0.96105944172259827</v>
      </c>
      <c r="H37" s="436">
        <f t="shared" si="22"/>
        <v>0.73866233369569223</v>
      </c>
      <c r="I37" s="737">
        <f t="shared" si="16"/>
        <v>11.075508720930232</v>
      </c>
      <c r="J37" s="703"/>
      <c r="K37" s="737">
        <f t="shared" si="17"/>
        <v>14.02183734867107</v>
      </c>
      <c r="L37" s="703"/>
      <c r="M37" s="409"/>
      <c r="N37" s="409"/>
      <c r="O37" s="467"/>
      <c r="P37" s="467"/>
      <c r="Q37" s="467"/>
      <c r="R37" s="467"/>
      <c r="S37" s="467"/>
      <c r="T37" s="467"/>
      <c r="U37" s="467"/>
      <c r="V37" s="467"/>
      <c r="W37" s="467"/>
      <c r="X37" s="467"/>
      <c r="Y37" s="467"/>
      <c r="Z37" s="467"/>
    </row>
    <row r="38" spans="1:26" ht="15.75" customHeight="1">
      <c r="A38" s="467"/>
      <c r="B38" s="467"/>
      <c r="C38" s="417"/>
      <c r="D38" s="411" t="s">
        <v>47</v>
      </c>
      <c r="E38" s="451">
        <f t="shared" ref="E38:H38" si="23">AVERAGE(E32:E37)</f>
        <v>18.211712396618864</v>
      </c>
      <c r="F38" s="451">
        <f t="shared" si="23"/>
        <v>31.085289732442014</v>
      </c>
      <c r="G38" s="450">
        <f t="shared" si="23"/>
        <v>0.52008930030858902</v>
      </c>
      <c r="H38" s="451">
        <f t="shared" si="23"/>
        <v>0.41576523881037158</v>
      </c>
      <c r="I38" s="733">
        <f>AVERAGE(I33:J37)</f>
        <v>9.6467893214467964</v>
      </c>
      <c r="J38" s="608"/>
      <c r="K38" s="733">
        <f>AVERAGE(K33:L37)</f>
        <v>24.648501064530439</v>
      </c>
      <c r="L38" s="608"/>
      <c r="M38" s="409"/>
      <c r="N38" s="409"/>
      <c r="O38" s="467"/>
      <c r="P38" s="467"/>
      <c r="Q38" s="467"/>
      <c r="R38" s="467"/>
      <c r="S38" s="467"/>
      <c r="T38" s="467"/>
      <c r="U38" s="467"/>
      <c r="V38" s="467"/>
      <c r="W38" s="467"/>
      <c r="X38" s="467"/>
      <c r="Y38" s="467"/>
      <c r="Z38" s="467"/>
    </row>
    <row r="39" spans="1:26" ht="15.75" customHeight="1">
      <c r="A39" s="467"/>
      <c r="B39" s="467"/>
      <c r="C39" s="417"/>
      <c r="D39" s="409"/>
      <c r="E39" s="409"/>
      <c r="F39" s="409"/>
      <c r="G39" s="409"/>
      <c r="H39" s="409" t="s">
        <v>273</v>
      </c>
      <c r="I39" s="409">
        <f>_xlfn.STDEV.S(I33:J37)</f>
        <v>3.4086940025379739</v>
      </c>
      <c r="J39" s="409"/>
      <c r="K39" s="409">
        <f>_xlfn.STDEV.S(K33:L37)</f>
        <v>7.8148461724857565</v>
      </c>
      <c r="L39" s="424"/>
      <c r="M39" s="409"/>
      <c r="N39" s="409"/>
      <c r="O39" s="467"/>
      <c r="P39" s="467"/>
      <c r="Q39" s="467"/>
      <c r="R39" s="467"/>
      <c r="S39" s="467"/>
      <c r="T39" s="467"/>
      <c r="U39" s="467"/>
      <c r="V39" s="467"/>
      <c r="W39" s="467"/>
      <c r="X39" s="467"/>
      <c r="Y39" s="467"/>
      <c r="Z39" s="467"/>
    </row>
    <row r="40" spans="1:26" ht="15.75" customHeight="1">
      <c r="A40" s="467"/>
      <c r="B40" s="467"/>
      <c r="C40" s="417"/>
      <c r="D40" s="409"/>
      <c r="E40" s="409"/>
      <c r="F40" s="409"/>
      <c r="G40" s="409"/>
      <c r="H40" s="409"/>
      <c r="I40" s="409"/>
      <c r="J40" s="409"/>
      <c r="K40" s="409"/>
      <c r="L40" s="424"/>
      <c r="M40" s="409"/>
      <c r="N40" s="409"/>
      <c r="O40" s="467"/>
      <c r="P40" s="467"/>
      <c r="Q40" s="467"/>
      <c r="R40" s="467"/>
      <c r="S40" s="467"/>
      <c r="T40" s="467"/>
      <c r="U40" s="467"/>
      <c r="V40" s="467"/>
      <c r="W40" s="467"/>
      <c r="X40" s="467"/>
      <c r="Y40" s="467"/>
      <c r="Z40" s="467"/>
    </row>
    <row r="41" spans="1:26" ht="15.75" customHeight="1">
      <c r="A41" s="467"/>
      <c r="B41" s="467"/>
      <c r="C41" s="417"/>
      <c r="D41" s="409"/>
      <c r="E41" s="409"/>
      <c r="F41" s="409"/>
      <c r="G41" s="452" t="s">
        <v>275</v>
      </c>
      <c r="H41" s="453"/>
      <c r="I41" s="409"/>
      <c r="J41" s="409"/>
      <c r="K41" s="409"/>
      <c r="L41" s="424"/>
      <c r="M41" s="409"/>
      <c r="N41" s="409"/>
      <c r="O41" s="467"/>
      <c r="P41" s="467"/>
      <c r="Q41" s="467"/>
      <c r="R41" s="467"/>
      <c r="S41" s="467"/>
      <c r="T41" s="467"/>
      <c r="U41" s="467"/>
      <c r="V41" s="467"/>
      <c r="W41" s="467"/>
      <c r="X41" s="467"/>
      <c r="Y41" s="467"/>
      <c r="Z41" s="467"/>
    </row>
    <row r="42" spans="1:26" ht="12.75" customHeight="1">
      <c r="A42" s="467"/>
      <c r="B42" s="467"/>
      <c r="C42" s="417"/>
      <c r="D42" s="409"/>
      <c r="E42" s="409"/>
      <c r="F42" s="409"/>
      <c r="G42" s="454" t="s">
        <v>276</v>
      </c>
      <c r="H42" s="455">
        <f>AVERAGE(E38:F38)</f>
        <v>24.648501064530439</v>
      </c>
      <c r="I42" s="467"/>
      <c r="J42" s="409"/>
      <c r="K42" s="41"/>
      <c r="L42" s="479"/>
      <c r="M42" s="409"/>
      <c r="N42" s="409"/>
      <c r="O42" s="467"/>
      <c r="P42" s="467"/>
      <c r="Q42" s="467"/>
      <c r="R42" s="467"/>
      <c r="S42" s="467"/>
      <c r="T42" s="467"/>
      <c r="U42" s="467"/>
      <c r="V42" s="467"/>
      <c r="W42" s="467"/>
      <c r="X42" s="467"/>
      <c r="Y42" s="467"/>
      <c r="Z42" s="467"/>
    </row>
    <row r="43" spans="1:26" ht="15.75" customHeight="1">
      <c r="A43" s="467"/>
      <c r="B43" s="467"/>
      <c r="C43" s="417"/>
      <c r="D43" s="409"/>
      <c r="E43" s="409"/>
      <c r="F43" s="409"/>
      <c r="G43" s="454" t="s">
        <v>277</v>
      </c>
      <c r="H43" s="456">
        <f>AVERAGE(E28:F28)</f>
        <v>9.6467893214467964</v>
      </c>
      <c r="I43" s="409"/>
      <c r="J43" s="41"/>
      <c r="K43" s="41"/>
      <c r="L43" s="479"/>
      <c r="M43" s="409"/>
      <c r="N43" s="409"/>
      <c r="O43" s="467"/>
      <c r="P43" s="467"/>
      <c r="Q43" s="467"/>
      <c r="R43" s="467"/>
      <c r="S43" s="467"/>
      <c r="T43" s="467"/>
      <c r="U43" s="467"/>
      <c r="V43" s="467"/>
      <c r="W43" s="467"/>
      <c r="X43" s="467"/>
      <c r="Y43" s="467"/>
      <c r="Z43" s="467"/>
    </row>
    <row r="44" spans="1:26" ht="15.75" customHeight="1">
      <c r="A44" s="467"/>
      <c r="B44" s="467"/>
      <c r="C44" s="417"/>
      <c r="D44" s="409"/>
      <c r="E44" s="409"/>
      <c r="F44" s="409"/>
      <c r="G44" s="454"/>
      <c r="H44" s="456"/>
      <c r="I44" s="409"/>
      <c r="J44" s="41"/>
      <c r="K44" s="41"/>
      <c r="L44" s="479"/>
      <c r="M44" s="409"/>
      <c r="N44" s="409"/>
      <c r="O44" s="467"/>
      <c r="P44" s="467"/>
      <c r="Q44" s="467"/>
      <c r="R44" s="467"/>
      <c r="S44" s="467"/>
      <c r="T44" s="467"/>
      <c r="U44" s="467"/>
      <c r="V44" s="467"/>
      <c r="W44" s="467"/>
      <c r="X44" s="467"/>
      <c r="Y44" s="467"/>
      <c r="Z44" s="467"/>
    </row>
    <row r="45" spans="1:26" ht="15.75" customHeight="1">
      <c r="A45" s="467"/>
      <c r="B45" s="467"/>
      <c r="C45" s="417"/>
      <c r="D45" s="409"/>
      <c r="E45" s="409"/>
      <c r="F45" s="409"/>
      <c r="G45" s="454" t="s">
        <v>315</v>
      </c>
      <c r="H45" s="456">
        <f>AVERAGE(H43,H42)</f>
        <v>17.14764519298862</v>
      </c>
      <c r="I45" s="409"/>
      <c r="J45" s="41"/>
      <c r="K45" s="41"/>
      <c r="L45" s="479"/>
      <c r="M45" s="409"/>
      <c r="N45" s="409"/>
      <c r="O45" s="467"/>
      <c r="P45" s="467"/>
      <c r="Q45" s="467"/>
      <c r="R45" s="467"/>
      <c r="S45" s="467"/>
      <c r="T45" s="467"/>
      <c r="U45" s="467"/>
      <c r="V45" s="467"/>
      <c r="W45" s="467"/>
      <c r="X45" s="467"/>
      <c r="Y45" s="467"/>
      <c r="Z45" s="467"/>
    </row>
    <row r="46" spans="1:26" ht="15.75" customHeight="1">
      <c r="A46" s="467"/>
      <c r="B46" s="467"/>
      <c r="C46" s="417"/>
      <c r="D46" s="409"/>
      <c r="E46" s="409"/>
      <c r="F46" s="409"/>
      <c r="G46" s="409"/>
      <c r="H46" s="409"/>
      <c r="I46" s="467"/>
      <c r="J46" s="41"/>
      <c r="K46" s="41"/>
      <c r="L46" s="479"/>
      <c r="M46" s="409"/>
      <c r="N46" s="409"/>
      <c r="O46" s="467"/>
      <c r="P46" s="467"/>
      <c r="Q46" s="467"/>
      <c r="R46" s="467"/>
      <c r="S46" s="467"/>
      <c r="T46" s="467"/>
      <c r="U46" s="467"/>
      <c r="V46" s="467"/>
      <c r="W46" s="467"/>
      <c r="X46" s="467"/>
      <c r="Y46" s="467"/>
      <c r="Z46" s="467"/>
    </row>
    <row r="47" spans="1:26" ht="15.75" customHeight="1">
      <c r="A47" s="467"/>
      <c r="B47" s="467"/>
      <c r="C47" s="417"/>
      <c r="D47" s="409"/>
      <c r="E47" s="409"/>
      <c r="F47" s="409"/>
      <c r="G47" s="412" t="s">
        <v>316</v>
      </c>
      <c r="H47" s="480">
        <f>Summary!F18/Summary!K11</f>
        <v>6.4510546241211468</v>
      </c>
      <c r="I47" s="467"/>
      <c r="J47" s="41"/>
      <c r="K47" s="41"/>
      <c r="L47" s="479"/>
      <c r="M47" s="409"/>
      <c r="N47" s="409"/>
      <c r="O47" s="467"/>
      <c r="P47" s="467"/>
      <c r="Q47" s="467"/>
      <c r="R47" s="467"/>
      <c r="S47" s="467"/>
      <c r="T47" s="467"/>
      <c r="U47" s="467"/>
      <c r="V47" s="467"/>
      <c r="W47" s="467"/>
      <c r="X47" s="467"/>
      <c r="Y47" s="467"/>
      <c r="Z47" s="467"/>
    </row>
    <row r="48" spans="1:26" ht="12.75" customHeight="1">
      <c r="A48" s="467"/>
      <c r="B48" s="467"/>
      <c r="C48" s="417"/>
      <c r="D48" s="409"/>
      <c r="E48" s="738" t="s">
        <v>317</v>
      </c>
      <c r="F48" s="625"/>
      <c r="G48" s="625"/>
      <c r="H48" s="481">
        <f>CF!H72</f>
        <v>13.923266742364209</v>
      </c>
      <c r="I48" s="467"/>
      <c r="J48" s="747" t="s">
        <v>318</v>
      </c>
      <c r="K48" s="673"/>
      <c r="L48" s="735"/>
      <c r="M48" s="409"/>
      <c r="N48" s="409"/>
      <c r="O48" s="467"/>
      <c r="P48" s="467"/>
      <c r="Q48" s="467"/>
      <c r="R48" s="467"/>
      <c r="S48" s="467"/>
      <c r="T48" s="467"/>
      <c r="U48" s="467"/>
      <c r="V48" s="467"/>
      <c r="W48" s="467"/>
      <c r="X48" s="467"/>
      <c r="Y48" s="467"/>
      <c r="Z48" s="467"/>
    </row>
    <row r="49" spans="1:26" ht="12.75" customHeight="1">
      <c r="A49" s="467"/>
      <c r="B49" s="467"/>
      <c r="C49" s="417"/>
      <c r="D49" s="409"/>
      <c r="E49" s="409"/>
      <c r="F49" s="409"/>
      <c r="G49" s="409"/>
      <c r="H49" s="416"/>
      <c r="I49" s="409"/>
      <c r="J49" s="675"/>
      <c r="K49" s="625"/>
      <c r="L49" s="703"/>
      <c r="M49" s="409"/>
      <c r="N49" s="409"/>
      <c r="O49" s="467"/>
      <c r="P49" s="467"/>
      <c r="Q49" s="467"/>
      <c r="R49" s="467"/>
      <c r="S49" s="467"/>
      <c r="T49" s="467"/>
      <c r="U49" s="467"/>
      <c r="V49" s="467"/>
      <c r="W49" s="467"/>
      <c r="X49" s="467"/>
      <c r="Y49" s="467"/>
      <c r="Z49" s="467"/>
    </row>
    <row r="50" spans="1:26" ht="15.75" customHeight="1">
      <c r="A50" s="467"/>
      <c r="B50" s="467"/>
      <c r="C50" s="417"/>
      <c r="D50" s="409"/>
      <c r="E50" s="453"/>
      <c r="F50" s="453"/>
      <c r="G50" s="458" t="s">
        <v>319</v>
      </c>
      <c r="H50" s="482">
        <f>H47*H48</f>
        <v>89.819754301200803</v>
      </c>
      <c r="I50" s="409"/>
      <c r="J50" s="675"/>
      <c r="K50" s="625"/>
      <c r="L50" s="703"/>
      <c r="M50" s="409"/>
      <c r="N50" s="409"/>
      <c r="O50" s="467"/>
      <c r="P50" s="467"/>
      <c r="Q50" s="467"/>
      <c r="R50" s="467"/>
      <c r="S50" s="467"/>
      <c r="T50" s="467"/>
      <c r="U50" s="467"/>
      <c r="V50" s="467"/>
      <c r="W50" s="467"/>
      <c r="X50" s="467"/>
      <c r="Y50" s="467"/>
      <c r="Z50" s="467"/>
    </row>
    <row r="51" spans="1:26" ht="12.75" customHeight="1">
      <c r="A51" s="467"/>
      <c r="B51" s="467"/>
      <c r="C51" s="417"/>
      <c r="D51" s="409"/>
      <c r="E51" s="462"/>
      <c r="F51" s="409"/>
      <c r="G51" s="463" t="s">
        <v>282</v>
      </c>
      <c r="H51" s="481">
        <f>H42*H48</f>
        <v>343.18765512090545</v>
      </c>
      <c r="I51" s="409"/>
      <c r="J51" s="675"/>
      <c r="K51" s="625"/>
      <c r="L51" s="703"/>
      <c r="M51" s="409"/>
      <c r="N51" s="409"/>
      <c r="O51" s="467"/>
      <c r="P51" s="467"/>
      <c r="Q51" s="467"/>
      <c r="R51" s="467"/>
      <c r="S51" s="467"/>
      <c r="T51" s="467"/>
      <c r="U51" s="467"/>
      <c r="V51" s="467"/>
      <c r="W51" s="467"/>
      <c r="X51" s="467"/>
      <c r="Y51" s="467"/>
      <c r="Z51" s="467"/>
    </row>
    <row r="52" spans="1:26" ht="15.75" customHeight="1">
      <c r="A52" s="467"/>
      <c r="B52" s="467"/>
      <c r="C52" s="417"/>
      <c r="D52" s="409"/>
      <c r="E52" s="462"/>
      <c r="F52" s="409"/>
      <c r="G52" s="409"/>
      <c r="H52" s="464"/>
      <c r="I52" s="409"/>
      <c r="J52" s="675"/>
      <c r="K52" s="625"/>
      <c r="L52" s="703"/>
      <c r="M52" s="409"/>
      <c r="N52" s="409"/>
      <c r="O52" s="467"/>
      <c r="P52" s="467"/>
      <c r="Q52" s="467"/>
      <c r="R52" s="467"/>
      <c r="S52" s="467"/>
      <c r="T52" s="467"/>
      <c r="U52" s="467"/>
      <c r="V52" s="467"/>
      <c r="W52" s="467"/>
      <c r="X52" s="467"/>
      <c r="Y52" s="467"/>
      <c r="Z52" s="467"/>
    </row>
    <row r="53" spans="1:26" ht="15.75" customHeight="1">
      <c r="A53" s="467"/>
      <c r="B53" s="467"/>
      <c r="C53" s="417"/>
      <c r="D53" s="409"/>
      <c r="E53" s="462"/>
      <c r="F53" s="409"/>
      <c r="G53" s="458" t="s">
        <v>283</v>
      </c>
      <c r="H53" s="481">
        <f>H43*H48</f>
        <v>134.31482092989438</v>
      </c>
      <c r="I53" s="409"/>
      <c r="J53" s="675"/>
      <c r="K53" s="625"/>
      <c r="L53" s="703"/>
      <c r="M53" s="409"/>
      <c r="N53" s="409"/>
      <c r="O53" s="467"/>
      <c r="P53" s="467"/>
      <c r="Q53" s="467"/>
      <c r="R53" s="467"/>
      <c r="S53" s="467"/>
      <c r="T53" s="467"/>
      <c r="U53" s="467"/>
      <c r="V53" s="467"/>
      <c r="W53" s="467"/>
      <c r="X53" s="467"/>
      <c r="Y53" s="467"/>
      <c r="Z53" s="467"/>
    </row>
    <row r="54" spans="1:26" ht="15.75" customHeight="1">
      <c r="A54" s="467"/>
      <c r="B54" s="467"/>
      <c r="C54" s="417"/>
      <c r="D54" s="409"/>
      <c r="E54" s="409"/>
      <c r="F54" s="409"/>
      <c r="G54" s="458" t="s">
        <v>284</v>
      </c>
      <c r="H54" s="483">
        <f>H44*H48</f>
        <v>0</v>
      </c>
      <c r="I54" s="409"/>
      <c r="J54" s="675"/>
      <c r="K54" s="625"/>
      <c r="L54" s="703"/>
      <c r="M54" s="409"/>
      <c r="N54" s="409"/>
      <c r="O54" s="467"/>
      <c r="P54" s="467"/>
      <c r="Q54" s="467"/>
      <c r="R54" s="467"/>
      <c r="S54" s="467"/>
      <c r="T54" s="467"/>
      <c r="U54" s="467"/>
      <c r="V54" s="467"/>
      <c r="W54" s="467"/>
      <c r="X54" s="467"/>
      <c r="Y54" s="467"/>
      <c r="Z54" s="467"/>
    </row>
    <row r="55" spans="1:26" ht="15.75" customHeight="1">
      <c r="A55" s="467"/>
      <c r="B55" s="467"/>
      <c r="C55" s="417"/>
      <c r="D55" s="409"/>
      <c r="E55" s="462"/>
      <c r="F55" s="462"/>
      <c r="G55" s="462"/>
      <c r="H55" s="409"/>
      <c r="I55" s="409"/>
      <c r="J55" s="675"/>
      <c r="K55" s="625"/>
      <c r="L55" s="703"/>
      <c r="M55" s="409"/>
      <c r="N55" s="409"/>
      <c r="O55" s="467"/>
      <c r="P55" s="467"/>
      <c r="Q55" s="467"/>
      <c r="R55" s="467"/>
      <c r="S55" s="467"/>
      <c r="T55" s="467"/>
      <c r="U55" s="467"/>
      <c r="V55" s="467"/>
      <c r="W55" s="467"/>
      <c r="X55" s="467"/>
      <c r="Y55" s="467"/>
      <c r="Z55" s="467"/>
    </row>
    <row r="56" spans="1:26" ht="15.75" customHeight="1">
      <c r="A56" s="467"/>
      <c r="B56" s="467"/>
      <c r="C56" s="417"/>
      <c r="D56" s="409"/>
      <c r="E56" s="732" t="s">
        <v>320</v>
      </c>
      <c r="F56" s="625"/>
      <c r="G56" s="625"/>
      <c r="H56" s="484">
        <f>H45*H48</f>
        <v>238.75123802539994</v>
      </c>
      <c r="I56" s="409"/>
      <c r="J56" s="675"/>
      <c r="K56" s="625"/>
      <c r="L56" s="703"/>
      <c r="M56" s="409"/>
      <c r="N56" s="409"/>
      <c r="O56" s="467"/>
      <c r="P56" s="467"/>
      <c r="Q56" s="467"/>
      <c r="R56" s="467"/>
      <c r="S56" s="467"/>
      <c r="T56" s="467"/>
      <c r="U56" s="467"/>
      <c r="V56" s="467"/>
      <c r="W56" s="467"/>
      <c r="X56" s="467"/>
      <c r="Y56" s="467"/>
      <c r="Z56" s="467"/>
    </row>
    <row r="57" spans="1:26" ht="15.75" customHeight="1">
      <c r="A57" s="467"/>
      <c r="B57" s="467"/>
      <c r="C57" s="422"/>
      <c r="D57" s="466"/>
      <c r="E57" s="466"/>
      <c r="F57" s="466"/>
      <c r="G57" s="466"/>
      <c r="H57" s="466"/>
      <c r="I57" s="466"/>
      <c r="J57" s="748"/>
      <c r="K57" s="689"/>
      <c r="L57" s="690"/>
      <c r="M57" s="409"/>
      <c r="N57" s="409"/>
      <c r="O57" s="467"/>
      <c r="P57" s="467"/>
      <c r="Q57" s="467"/>
      <c r="R57" s="467"/>
      <c r="S57" s="467"/>
      <c r="T57" s="467"/>
      <c r="U57" s="467"/>
      <c r="V57" s="467"/>
      <c r="W57" s="467"/>
      <c r="X57" s="467"/>
      <c r="Y57" s="467"/>
      <c r="Z57" s="467"/>
    </row>
    <row r="58" spans="1:26" ht="15.75" customHeight="1">
      <c r="A58" s="467"/>
      <c r="B58" s="467"/>
      <c r="C58" s="409"/>
      <c r="D58" s="409"/>
      <c r="E58" s="409"/>
      <c r="F58" s="409"/>
      <c r="G58" s="409"/>
      <c r="H58" s="409"/>
      <c r="I58" s="409"/>
      <c r="J58" s="409"/>
      <c r="K58" s="409"/>
      <c r="L58" s="409"/>
      <c r="M58" s="409"/>
      <c r="N58" s="409"/>
      <c r="O58" s="467"/>
      <c r="P58" s="467"/>
      <c r="Q58" s="467"/>
      <c r="R58" s="467"/>
      <c r="S58" s="467"/>
      <c r="T58" s="467"/>
      <c r="U58" s="467"/>
      <c r="V58" s="467"/>
      <c r="W58" s="467"/>
      <c r="X58" s="467"/>
      <c r="Y58" s="467"/>
      <c r="Z58" s="467"/>
    </row>
    <row r="59" spans="1:26" ht="15.75" customHeight="1">
      <c r="A59" s="409"/>
      <c r="B59" s="409"/>
      <c r="C59" s="409"/>
      <c r="D59" s="409"/>
      <c r="E59" s="409"/>
      <c r="F59" s="409"/>
      <c r="G59" s="409"/>
      <c r="H59" s="409"/>
      <c r="I59" s="409"/>
      <c r="J59" s="409"/>
      <c r="K59" s="409"/>
      <c r="L59" s="409"/>
      <c r="M59" s="409"/>
      <c r="N59" s="409"/>
      <c r="O59" s="467"/>
      <c r="P59" s="467"/>
      <c r="Q59" s="467"/>
      <c r="R59" s="467"/>
      <c r="S59" s="467"/>
      <c r="T59" s="467"/>
      <c r="U59" s="467"/>
      <c r="V59" s="467"/>
      <c r="W59" s="467"/>
      <c r="X59" s="467"/>
      <c r="Y59" s="467"/>
      <c r="Z59" s="467"/>
    </row>
    <row r="60" spans="1:26" ht="15.75" customHeight="1">
      <c r="A60" s="409"/>
      <c r="B60" s="409"/>
      <c r="C60" s="409"/>
      <c r="D60" s="409"/>
      <c r="E60" s="409"/>
      <c r="F60" s="409"/>
      <c r="G60" s="409"/>
      <c r="H60" s="409"/>
      <c r="I60" s="409"/>
      <c r="J60" s="409"/>
      <c r="K60" s="409"/>
      <c r="L60" s="409"/>
      <c r="M60" s="409"/>
      <c r="N60" s="409"/>
      <c r="O60" s="467"/>
      <c r="P60" s="467"/>
      <c r="Q60" s="467"/>
      <c r="R60" s="467"/>
      <c r="S60" s="467"/>
      <c r="T60" s="467"/>
      <c r="U60" s="467"/>
      <c r="V60" s="467"/>
      <c r="W60" s="467"/>
      <c r="X60" s="467"/>
      <c r="Y60" s="467"/>
      <c r="Z60" s="467"/>
    </row>
    <row r="61" spans="1:26" ht="15.75" customHeight="1">
      <c r="A61" s="409"/>
      <c r="B61" s="409"/>
      <c r="C61" s="409"/>
      <c r="D61" s="409"/>
      <c r="E61" s="409"/>
      <c r="F61" s="409"/>
      <c r="G61" s="409"/>
      <c r="H61" s="409"/>
      <c r="I61" s="409"/>
      <c r="J61" s="409"/>
      <c r="K61" s="409"/>
      <c r="L61" s="409"/>
      <c r="M61" s="409"/>
      <c r="N61" s="409"/>
      <c r="O61" s="467"/>
      <c r="P61" s="467"/>
      <c r="Q61" s="467"/>
      <c r="R61" s="467"/>
      <c r="S61" s="467"/>
      <c r="T61" s="467"/>
      <c r="U61" s="467"/>
      <c r="V61" s="467"/>
      <c r="W61" s="467"/>
      <c r="X61" s="467"/>
      <c r="Y61" s="467"/>
      <c r="Z61" s="467"/>
    </row>
    <row r="62" spans="1:26" ht="15.75" customHeight="1">
      <c r="A62" s="409"/>
      <c r="B62" s="409"/>
      <c r="C62" s="409"/>
      <c r="D62" s="409"/>
      <c r="E62" s="409"/>
      <c r="F62" s="409"/>
      <c r="G62" s="409"/>
      <c r="H62" s="409"/>
      <c r="I62" s="409"/>
      <c r="J62" s="409"/>
      <c r="K62" s="409"/>
      <c r="L62" s="409"/>
      <c r="M62" s="409"/>
      <c r="N62" s="409"/>
      <c r="O62" s="467"/>
      <c r="P62" s="467"/>
      <c r="Q62" s="467"/>
      <c r="R62" s="467"/>
      <c r="S62" s="467"/>
      <c r="T62" s="467"/>
      <c r="U62" s="467"/>
      <c r="V62" s="467"/>
      <c r="W62" s="467"/>
      <c r="X62" s="467"/>
      <c r="Y62" s="467"/>
      <c r="Z62" s="467"/>
    </row>
    <row r="63" spans="1:26" ht="15.75" customHeight="1">
      <c r="A63" s="409"/>
      <c r="B63" s="409"/>
      <c r="C63" s="409"/>
      <c r="D63" s="409"/>
      <c r="E63" s="409"/>
      <c r="F63" s="409"/>
      <c r="G63" s="409"/>
      <c r="H63" s="409"/>
      <c r="I63" s="409"/>
      <c r="J63" s="409"/>
      <c r="K63" s="409"/>
      <c r="L63" s="409"/>
      <c r="M63" s="409"/>
      <c r="N63" s="409"/>
      <c r="O63" s="467"/>
      <c r="P63" s="467"/>
      <c r="Q63" s="467"/>
      <c r="R63" s="467"/>
      <c r="S63" s="467"/>
      <c r="T63" s="467"/>
      <c r="U63" s="467"/>
      <c r="V63" s="467"/>
      <c r="W63" s="467"/>
      <c r="X63" s="467"/>
      <c r="Y63" s="467"/>
      <c r="Z63" s="467"/>
    </row>
    <row r="64" spans="1:26" ht="15.75" customHeight="1">
      <c r="A64" s="409"/>
      <c r="B64" s="409"/>
      <c r="C64" s="409"/>
      <c r="D64" s="409"/>
      <c r="E64" s="409"/>
      <c r="F64" s="409"/>
      <c r="G64" s="409"/>
      <c r="H64" s="409"/>
      <c r="I64" s="409"/>
      <c r="J64" s="409"/>
      <c r="K64" s="409"/>
      <c r="L64" s="409"/>
      <c r="M64" s="409"/>
      <c r="N64" s="409"/>
      <c r="O64" s="467"/>
      <c r="P64" s="467"/>
      <c r="Q64" s="467"/>
      <c r="R64" s="467"/>
      <c r="S64" s="467"/>
      <c r="T64" s="467"/>
      <c r="U64" s="467"/>
      <c r="V64" s="467"/>
      <c r="W64" s="467"/>
      <c r="X64" s="467"/>
      <c r="Y64" s="467"/>
      <c r="Z64" s="467"/>
    </row>
    <row r="65" spans="1:26" ht="15.75" customHeight="1">
      <c r="A65" s="409"/>
      <c r="B65" s="409"/>
      <c r="C65" s="409"/>
      <c r="D65" s="409"/>
      <c r="E65" s="409"/>
      <c r="F65" s="409"/>
      <c r="G65" s="409"/>
      <c r="H65" s="409"/>
      <c r="I65" s="409"/>
      <c r="J65" s="409"/>
      <c r="K65" s="409"/>
      <c r="L65" s="409"/>
      <c r="M65" s="409"/>
      <c r="N65" s="409"/>
      <c r="O65" s="467"/>
      <c r="P65" s="467"/>
      <c r="Q65" s="467"/>
      <c r="R65" s="467"/>
      <c r="S65" s="467"/>
      <c r="T65" s="467"/>
      <c r="U65" s="467"/>
      <c r="V65" s="467"/>
      <c r="W65" s="467"/>
      <c r="X65" s="467"/>
      <c r="Y65" s="467"/>
      <c r="Z65" s="467"/>
    </row>
    <row r="66" spans="1:26" ht="15.75" customHeight="1">
      <c r="A66" s="409"/>
      <c r="B66" s="409"/>
      <c r="C66" s="409"/>
      <c r="D66" s="409"/>
      <c r="E66" s="409"/>
      <c r="F66" s="409"/>
      <c r="G66" s="409"/>
      <c r="H66" s="409"/>
      <c r="I66" s="409"/>
      <c r="J66" s="409"/>
      <c r="K66" s="409"/>
      <c r="L66" s="409"/>
      <c r="M66" s="409"/>
      <c r="N66" s="409"/>
      <c r="O66" s="467"/>
      <c r="P66" s="467"/>
      <c r="Q66" s="467"/>
      <c r="R66" s="467"/>
      <c r="S66" s="467"/>
      <c r="T66" s="467"/>
      <c r="U66" s="467"/>
      <c r="V66" s="467"/>
      <c r="W66" s="467"/>
      <c r="X66" s="467"/>
      <c r="Y66" s="467"/>
      <c r="Z66" s="467"/>
    </row>
    <row r="67" spans="1:26" ht="15.75" customHeight="1">
      <c r="A67" s="409"/>
      <c r="B67" s="409"/>
      <c r="C67" s="409"/>
      <c r="D67" s="409"/>
      <c r="E67" s="409"/>
      <c r="F67" s="409"/>
      <c r="G67" s="409"/>
      <c r="H67" s="409"/>
      <c r="I67" s="409"/>
      <c r="J67" s="409"/>
      <c r="K67" s="409"/>
      <c r="L67" s="409"/>
      <c r="M67" s="409"/>
      <c r="N67" s="409"/>
      <c r="O67" s="467"/>
      <c r="P67" s="467"/>
      <c r="Q67" s="467"/>
      <c r="R67" s="467"/>
      <c r="S67" s="467"/>
      <c r="T67" s="467"/>
      <c r="U67" s="467"/>
      <c r="V67" s="467"/>
      <c r="W67" s="467"/>
      <c r="X67" s="467"/>
      <c r="Y67" s="467"/>
      <c r="Z67" s="467"/>
    </row>
    <row r="68" spans="1:26" ht="15.75" customHeight="1">
      <c r="A68" s="409"/>
      <c r="B68" s="409"/>
      <c r="C68" s="409"/>
      <c r="D68" s="409"/>
      <c r="E68" s="409"/>
      <c r="F68" s="409"/>
      <c r="G68" s="409"/>
      <c r="H68" s="409"/>
      <c r="I68" s="409"/>
      <c r="J68" s="409"/>
      <c r="K68" s="409"/>
      <c r="L68" s="409"/>
      <c r="M68" s="409"/>
      <c r="N68" s="409"/>
      <c r="O68" s="467"/>
      <c r="P68" s="467"/>
      <c r="Q68" s="467"/>
      <c r="R68" s="467"/>
      <c r="S68" s="467"/>
      <c r="T68" s="467"/>
      <c r="U68" s="467"/>
      <c r="V68" s="467"/>
      <c r="W68" s="467"/>
      <c r="X68" s="467"/>
      <c r="Y68" s="467"/>
      <c r="Z68" s="467"/>
    </row>
    <row r="69" spans="1:26" ht="15.75" customHeight="1">
      <c r="A69" s="409"/>
      <c r="B69" s="409"/>
      <c r="C69" s="409"/>
      <c r="D69" s="409"/>
      <c r="E69" s="409"/>
      <c r="F69" s="409"/>
      <c r="G69" s="409"/>
      <c r="H69" s="409"/>
      <c r="I69" s="409"/>
      <c r="J69" s="409"/>
      <c r="K69" s="409"/>
      <c r="L69" s="409"/>
      <c r="M69" s="409"/>
      <c r="N69" s="409"/>
      <c r="O69" s="467"/>
      <c r="P69" s="467"/>
      <c r="Q69" s="467"/>
      <c r="R69" s="467"/>
      <c r="S69" s="467"/>
      <c r="T69" s="467"/>
      <c r="U69" s="467"/>
      <c r="V69" s="467"/>
      <c r="W69" s="467"/>
      <c r="X69" s="467"/>
      <c r="Y69" s="467"/>
      <c r="Z69" s="467"/>
    </row>
    <row r="70" spans="1:26" ht="15.75" customHeight="1">
      <c r="A70" s="409"/>
      <c r="B70" s="409"/>
      <c r="C70" s="409"/>
      <c r="D70" s="409"/>
      <c r="E70" s="409"/>
      <c r="F70" s="409"/>
      <c r="G70" s="409"/>
      <c r="H70" s="409"/>
      <c r="I70" s="409"/>
      <c r="J70" s="409"/>
      <c r="K70" s="409"/>
      <c r="L70" s="409"/>
      <c r="M70" s="409"/>
      <c r="N70" s="409"/>
      <c r="O70" s="467"/>
      <c r="P70" s="467"/>
      <c r="Q70" s="467"/>
      <c r="R70" s="467"/>
      <c r="S70" s="467"/>
      <c r="T70" s="467"/>
      <c r="U70" s="467"/>
      <c r="V70" s="467"/>
      <c r="W70" s="467"/>
      <c r="X70" s="467"/>
      <c r="Y70" s="467"/>
      <c r="Z70" s="467"/>
    </row>
    <row r="71" spans="1:26" ht="15.75" customHeight="1">
      <c r="A71" s="409"/>
      <c r="B71" s="409"/>
      <c r="C71" s="409"/>
      <c r="D71" s="409"/>
      <c r="E71" s="409"/>
      <c r="F71" s="409"/>
      <c r="G71" s="409"/>
      <c r="H71" s="409"/>
      <c r="I71" s="409"/>
      <c r="J71" s="409"/>
      <c r="K71" s="409"/>
      <c r="L71" s="409"/>
      <c r="M71" s="409"/>
      <c r="N71" s="409"/>
      <c r="O71" s="467"/>
      <c r="P71" s="467"/>
      <c r="Q71" s="467"/>
      <c r="R71" s="467"/>
      <c r="S71" s="467"/>
      <c r="T71" s="467"/>
      <c r="U71" s="467"/>
      <c r="V71" s="467"/>
      <c r="W71" s="467"/>
      <c r="X71" s="467"/>
      <c r="Y71" s="467"/>
      <c r="Z71" s="467"/>
    </row>
    <row r="72" spans="1:26" ht="15.75" customHeight="1">
      <c r="A72" s="409"/>
      <c r="B72" s="409"/>
      <c r="C72" s="409"/>
      <c r="D72" s="409"/>
      <c r="E72" s="409"/>
      <c r="F72" s="409"/>
      <c r="G72" s="409"/>
      <c r="H72" s="409"/>
      <c r="I72" s="409"/>
      <c r="J72" s="409"/>
      <c r="K72" s="409"/>
      <c r="L72" s="409"/>
      <c r="M72" s="409"/>
      <c r="N72" s="409"/>
      <c r="O72" s="467"/>
      <c r="P72" s="467"/>
      <c r="Q72" s="467"/>
      <c r="R72" s="467"/>
      <c r="S72" s="467"/>
      <c r="T72" s="467"/>
      <c r="U72" s="467"/>
      <c r="V72" s="467"/>
      <c r="W72" s="467"/>
      <c r="X72" s="467"/>
      <c r="Y72" s="467"/>
      <c r="Z72" s="467"/>
    </row>
    <row r="73" spans="1:26" ht="15.75" customHeight="1">
      <c r="A73" s="409"/>
      <c r="B73" s="409"/>
      <c r="C73" s="409"/>
      <c r="D73" s="409"/>
      <c r="E73" s="409"/>
      <c r="F73" s="409"/>
      <c r="G73" s="409"/>
      <c r="H73" s="409"/>
      <c r="I73" s="409"/>
      <c r="J73" s="409"/>
      <c r="K73" s="409"/>
      <c r="L73" s="409"/>
      <c r="M73" s="409"/>
      <c r="N73" s="409"/>
      <c r="O73" s="467"/>
      <c r="P73" s="467"/>
      <c r="Q73" s="467"/>
      <c r="R73" s="467"/>
      <c r="S73" s="467"/>
      <c r="T73" s="467"/>
      <c r="U73" s="467"/>
      <c r="V73" s="467"/>
      <c r="W73" s="467"/>
      <c r="X73" s="467"/>
      <c r="Y73" s="467"/>
      <c r="Z73" s="467"/>
    </row>
    <row r="74" spans="1:26" ht="15.75" customHeight="1">
      <c r="A74" s="409"/>
      <c r="B74" s="409"/>
      <c r="C74" s="409"/>
      <c r="D74" s="409"/>
      <c r="E74" s="409"/>
      <c r="F74" s="409"/>
      <c r="G74" s="409"/>
      <c r="H74" s="409"/>
      <c r="I74" s="409"/>
      <c r="J74" s="409"/>
      <c r="K74" s="409"/>
      <c r="L74" s="409"/>
      <c r="M74" s="409"/>
      <c r="N74" s="409"/>
      <c r="O74" s="467"/>
      <c r="P74" s="467"/>
      <c r="Q74" s="467"/>
      <c r="R74" s="467"/>
      <c r="S74" s="467"/>
      <c r="T74" s="467"/>
      <c r="U74" s="467"/>
      <c r="V74" s="467"/>
      <c r="W74" s="467"/>
      <c r="X74" s="467"/>
      <c r="Y74" s="467"/>
      <c r="Z74" s="467"/>
    </row>
    <row r="75" spans="1:26" ht="15.75" customHeight="1">
      <c r="A75" s="409"/>
      <c r="B75" s="409"/>
      <c r="C75" s="409"/>
      <c r="D75" s="409"/>
      <c r="E75" s="409"/>
      <c r="F75" s="409"/>
      <c r="G75" s="409"/>
      <c r="H75" s="409"/>
      <c r="I75" s="409"/>
      <c r="J75" s="409"/>
      <c r="K75" s="409"/>
      <c r="L75" s="409"/>
      <c r="M75" s="409"/>
      <c r="N75" s="409"/>
      <c r="O75" s="467"/>
      <c r="P75" s="467"/>
      <c r="Q75" s="467"/>
      <c r="R75" s="467"/>
      <c r="S75" s="467"/>
      <c r="T75" s="467"/>
      <c r="U75" s="467"/>
      <c r="V75" s="467"/>
      <c r="W75" s="467"/>
      <c r="X75" s="467"/>
      <c r="Y75" s="467"/>
      <c r="Z75" s="467"/>
    </row>
    <row r="76" spans="1:26" ht="15.75" customHeight="1">
      <c r="A76" s="409"/>
      <c r="B76" s="409"/>
      <c r="C76" s="409"/>
      <c r="D76" s="409"/>
      <c r="E76" s="409"/>
      <c r="F76" s="409"/>
      <c r="G76" s="409"/>
      <c r="H76" s="409"/>
      <c r="I76" s="409"/>
      <c r="J76" s="409"/>
      <c r="K76" s="409"/>
      <c r="L76" s="409"/>
      <c r="M76" s="409"/>
      <c r="N76" s="409"/>
      <c r="O76" s="467"/>
      <c r="P76" s="467"/>
      <c r="Q76" s="467"/>
      <c r="R76" s="467"/>
      <c r="S76" s="467"/>
      <c r="T76" s="467"/>
      <c r="U76" s="467"/>
      <c r="V76" s="467"/>
      <c r="W76" s="467"/>
      <c r="X76" s="467"/>
      <c r="Y76" s="467"/>
      <c r="Z76" s="467"/>
    </row>
    <row r="77" spans="1:26" ht="15.75" customHeight="1">
      <c r="A77" s="409"/>
      <c r="B77" s="409"/>
      <c r="C77" s="409"/>
      <c r="D77" s="409"/>
      <c r="E77" s="409"/>
      <c r="F77" s="409"/>
      <c r="G77" s="409"/>
      <c r="H77" s="409"/>
      <c r="I77" s="409"/>
      <c r="J77" s="409"/>
      <c r="K77" s="409"/>
      <c r="L77" s="409"/>
      <c r="M77" s="409"/>
      <c r="N77" s="409"/>
      <c r="O77" s="467"/>
      <c r="P77" s="467"/>
      <c r="Q77" s="467"/>
      <c r="R77" s="467"/>
      <c r="S77" s="467"/>
      <c r="T77" s="467"/>
      <c r="U77" s="467"/>
      <c r="V77" s="467"/>
      <c r="W77" s="467"/>
      <c r="X77" s="467"/>
      <c r="Y77" s="467"/>
      <c r="Z77" s="467"/>
    </row>
    <row r="78" spans="1:26" ht="15.75" customHeight="1">
      <c r="A78" s="409"/>
      <c r="B78" s="409"/>
      <c r="C78" s="409"/>
      <c r="D78" s="409"/>
      <c r="E78" s="409"/>
      <c r="F78" s="409"/>
      <c r="G78" s="409"/>
      <c r="H78" s="409"/>
      <c r="I78" s="409"/>
      <c r="J78" s="409"/>
      <c r="K78" s="409"/>
      <c r="L78" s="409"/>
      <c r="M78" s="409"/>
      <c r="N78" s="409"/>
      <c r="O78" s="467"/>
      <c r="P78" s="467"/>
      <c r="Q78" s="467"/>
      <c r="R78" s="467"/>
      <c r="S78" s="467"/>
      <c r="T78" s="467"/>
      <c r="U78" s="467"/>
      <c r="V78" s="467"/>
      <c r="W78" s="467"/>
      <c r="X78" s="467"/>
      <c r="Y78" s="467"/>
      <c r="Z78" s="467"/>
    </row>
    <row r="79" spans="1:26" ht="15.75" customHeight="1">
      <c r="A79" s="409"/>
      <c r="B79" s="409"/>
      <c r="C79" s="409"/>
      <c r="D79" s="409"/>
      <c r="E79" s="409"/>
      <c r="F79" s="409"/>
      <c r="G79" s="409"/>
      <c r="H79" s="409"/>
      <c r="I79" s="409"/>
      <c r="J79" s="409"/>
      <c r="K79" s="409"/>
      <c r="L79" s="409"/>
      <c r="M79" s="409"/>
      <c r="N79" s="409"/>
      <c r="O79" s="467"/>
      <c r="P79" s="467"/>
      <c r="Q79" s="467"/>
      <c r="R79" s="467"/>
      <c r="S79" s="467"/>
      <c r="T79" s="467"/>
      <c r="U79" s="467"/>
      <c r="V79" s="467"/>
      <c r="W79" s="467"/>
      <c r="X79" s="467"/>
      <c r="Y79" s="467"/>
      <c r="Z79" s="467"/>
    </row>
    <row r="80" spans="1:26" ht="15.75" customHeight="1">
      <c r="A80" s="409"/>
      <c r="B80" s="409"/>
      <c r="C80" s="409"/>
      <c r="D80" s="409"/>
      <c r="E80" s="409"/>
      <c r="F80" s="409"/>
      <c r="G80" s="409"/>
      <c r="H80" s="409"/>
      <c r="I80" s="409"/>
      <c r="J80" s="409"/>
      <c r="K80" s="409"/>
      <c r="L80" s="409"/>
      <c r="M80" s="409"/>
      <c r="N80" s="409"/>
      <c r="O80" s="467"/>
      <c r="P80" s="467"/>
      <c r="Q80" s="467"/>
      <c r="R80" s="467"/>
      <c r="S80" s="467"/>
      <c r="T80" s="467"/>
      <c r="U80" s="467"/>
      <c r="V80" s="467"/>
      <c r="W80" s="467"/>
      <c r="X80" s="467"/>
      <c r="Y80" s="467"/>
      <c r="Z80" s="467"/>
    </row>
    <row r="81" spans="1:26" ht="15.75" customHeight="1">
      <c r="A81" s="409"/>
      <c r="B81" s="409"/>
      <c r="C81" s="409"/>
      <c r="D81" s="409"/>
      <c r="E81" s="409"/>
      <c r="F81" s="409"/>
      <c r="G81" s="409"/>
      <c r="H81" s="409"/>
      <c r="I81" s="409"/>
      <c r="J81" s="409"/>
      <c r="K81" s="409"/>
      <c r="L81" s="409"/>
      <c r="M81" s="409"/>
      <c r="N81" s="409"/>
      <c r="O81" s="467"/>
      <c r="P81" s="467"/>
      <c r="Q81" s="467"/>
      <c r="R81" s="467"/>
      <c r="S81" s="467"/>
      <c r="T81" s="467"/>
      <c r="U81" s="467"/>
      <c r="V81" s="467"/>
      <c r="W81" s="467"/>
      <c r="X81" s="467"/>
      <c r="Y81" s="467"/>
      <c r="Z81" s="467"/>
    </row>
    <row r="82" spans="1:26" ht="15.75" customHeight="1">
      <c r="A82" s="409"/>
      <c r="B82" s="409"/>
      <c r="C82" s="409"/>
      <c r="D82" s="409"/>
      <c r="E82" s="409"/>
      <c r="F82" s="409"/>
      <c r="G82" s="409"/>
      <c r="H82" s="409"/>
      <c r="I82" s="409"/>
      <c r="J82" s="409"/>
      <c r="K82" s="409"/>
      <c r="L82" s="409"/>
      <c r="M82" s="409"/>
      <c r="N82" s="409"/>
      <c r="O82" s="467"/>
      <c r="P82" s="467"/>
      <c r="Q82" s="467"/>
      <c r="R82" s="467"/>
      <c r="S82" s="467"/>
      <c r="T82" s="467"/>
      <c r="U82" s="467"/>
      <c r="V82" s="467"/>
      <c r="W82" s="467"/>
      <c r="X82" s="467"/>
      <c r="Y82" s="467"/>
      <c r="Z82" s="467"/>
    </row>
    <row r="83" spans="1:26" ht="15.75" customHeight="1">
      <c r="A83" s="409"/>
      <c r="B83" s="409"/>
      <c r="C83" s="409"/>
      <c r="D83" s="409"/>
      <c r="E83" s="409"/>
      <c r="F83" s="409"/>
      <c r="G83" s="409"/>
      <c r="H83" s="409"/>
      <c r="I83" s="409"/>
      <c r="J83" s="409"/>
      <c r="K83" s="409"/>
      <c r="L83" s="409"/>
      <c r="M83" s="409"/>
      <c r="N83" s="409"/>
      <c r="O83" s="467"/>
      <c r="P83" s="467"/>
      <c r="Q83" s="467"/>
      <c r="R83" s="467"/>
      <c r="S83" s="467"/>
      <c r="T83" s="467"/>
      <c r="U83" s="467"/>
      <c r="V83" s="467"/>
      <c r="W83" s="467"/>
      <c r="X83" s="467"/>
      <c r="Y83" s="467"/>
      <c r="Z83" s="467"/>
    </row>
    <row r="84" spans="1:26" ht="15.75" customHeight="1">
      <c r="A84" s="409"/>
      <c r="B84" s="409"/>
      <c r="C84" s="409"/>
      <c r="D84" s="409"/>
      <c r="E84" s="409"/>
      <c r="F84" s="409"/>
      <c r="G84" s="409"/>
      <c r="H84" s="409"/>
      <c r="I84" s="409"/>
      <c r="J84" s="409"/>
      <c r="K84" s="409"/>
      <c r="L84" s="409"/>
      <c r="M84" s="409"/>
      <c r="N84" s="409"/>
      <c r="O84" s="467"/>
      <c r="P84" s="467"/>
      <c r="Q84" s="467"/>
      <c r="R84" s="467"/>
      <c r="S84" s="467"/>
      <c r="T84" s="467"/>
      <c r="U84" s="467"/>
      <c r="V84" s="467"/>
      <c r="W84" s="467"/>
      <c r="X84" s="467"/>
      <c r="Y84" s="467"/>
      <c r="Z84" s="467"/>
    </row>
    <row r="85" spans="1:26" ht="15.75" customHeight="1">
      <c r="A85" s="409"/>
      <c r="B85" s="409"/>
      <c r="C85" s="409"/>
      <c r="D85" s="409"/>
      <c r="E85" s="409"/>
      <c r="F85" s="409"/>
      <c r="G85" s="409"/>
      <c r="H85" s="409"/>
      <c r="I85" s="409"/>
      <c r="J85" s="409"/>
      <c r="K85" s="409"/>
      <c r="L85" s="409"/>
      <c r="M85" s="409"/>
      <c r="N85" s="409"/>
      <c r="O85" s="467"/>
      <c r="P85" s="467"/>
      <c r="Q85" s="467"/>
      <c r="R85" s="467"/>
      <c r="S85" s="467"/>
      <c r="T85" s="467"/>
      <c r="U85" s="467"/>
      <c r="V85" s="467"/>
      <c r="W85" s="467"/>
      <c r="X85" s="467"/>
      <c r="Y85" s="467"/>
      <c r="Z85" s="467"/>
    </row>
    <row r="86" spans="1:26" ht="15.75" customHeight="1">
      <c r="A86" s="409"/>
      <c r="B86" s="409"/>
      <c r="C86" s="409"/>
      <c r="D86" s="409"/>
      <c r="E86" s="409"/>
      <c r="F86" s="409"/>
      <c r="G86" s="409"/>
      <c r="H86" s="409"/>
      <c r="I86" s="409"/>
      <c r="J86" s="409"/>
      <c r="K86" s="409"/>
      <c r="L86" s="409"/>
      <c r="M86" s="409"/>
      <c r="N86" s="409"/>
      <c r="O86" s="467"/>
      <c r="P86" s="467"/>
      <c r="Q86" s="467"/>
      <c r="R86" s="467"/>
      <c r="S86" s="467"/>
      <c r="T86" s="467"/>
      <c r="U86" s="467"/>
      <c r="V86" s="467"/>
      <c r="W86" s="467"/>
      <c r="X86" s="467"/>
      <c r="Y86" s="467"/>
      <c r="Z86" s="467"/>
    </row>
    <row r="87" spans="1:26" ht="15.75" customHeight="1">
      <c r="A87" s="409"/>
      <c r="B87" s="409"/>
      <c r="C87" s="409"/>
      <c r="D87" s="409"/>
      <c r="E87" s="409"/>
      <c r="F87" s="409"/>
      <c r="G87" s="409"/>
      <c r="H87" s="409"/>
      <c r="I87" s="409"/>
      <c r="J87" s="409"/>
      <c r="K87" s="409"/>
      <c r="L87" s="409"/>
      <c r="M87" s="409"/>
      <c r="N87" s="409"/>
      <c r="O87" s="467"/>
      <c r="P87" s="467"/>
      <c r="Q87" s="467"/>
      <c r="R87" s="467"/>
      <c r="S87" s="467"/>
      <c r="T87" s="467"/>
      <c r="U87" s="467"/>
      <c r="V87" s="467"/>
      <c r="W87" s="467"/>
      <c r="X87" s="467"/>
      <c r="Y87" s="467"/>
      <c r="Z87" s="467"/>
    </row>
    <row r="88" spans="1:26" ht="15.75" customHeight="1">
      <c r="A88" s="409"/>
      <c r="B88" s="409"/>
      <c r="C88" s="409"/>
      <c r="D88" s="409"/>
      <c r="E88" s="409"/>
      <c r="F88" s="409"/>
      <c r="G88" s="409"/>
      <c r="H88" s="409"/>
      <c r="I88" s="409"/>
      <c r="J88" s="409"/>
      <c r="K88" s="409"/>
      <c r="L88" s="409"/>
      <c r="M88" s="409"/>
      <c r="N88" s="409"/>
      <c r="O88" s="467"/>
      <c r="P88" s="467"/>
      <c r="Q88" s="467"/>
      <c r="R88" s="467"/>
      <c r="S88" s="467"/>
      <c r="T88" s="467"/>
      <c r="U88" s="467"/>
      <c r="V88" s="467"/>
      <c r="W88" s="467"/>
      <c r="X88" s="467"/>
      <c r="Y88" s="467"/>
      <c r="Z88" s="467"/>
    </row>
    <row r="89" spans="1:26" ht="15.75" customHeight="1">
      <c r="A89" s="409"/>
      <c r="B89" s="409"/>
      <c r="C89" s="409"/>
      <c r="D89" s="409"/>
      <c r="E89" s="409"/>
      <c r="F89" s="409"/>
      <c r="G89" s="409"/>
      <c r="H89" s="409"/>
      <c r="I89" s="409"/>
      <c r="J89" s="409"/>
      <c r="K89" s="409"/>
      <c r="L89" s="409"/>
      <c r="M89" s="409"/>
      <c r="N89" s="409"/>
      <c r="O89" s="467"/>
      <c r="P89" s="467"/>
      <c r="Q89" s="467"/>
      <c r="R89" s="467"/>
      <c r="S89" s="467"/>
      <c r="T89" s="467"/>
      <c r="U89" s="467"/>
      <c r="V89" s="467"/>
      <c r="W89" s="467"/>
      <c r="X89" s="467"/>
      <c r="Y89" s="467"/>
      <c r="Z89" s="467"/>
    </row>
    <row r="90" spans="1:26" ht="15.75" customHeight="1">
      <c r="A90" s="409"/>
      <c r="B90" s="409"/>
      <c r="C90" s="409"/>
      <c r="D90" s="409"/>
      <c r="E90" s="409"/>
      <c r="F90" s="409"/>
      <c r="G90" s="409"/>
      <c r="H90" s="409"/>
      <c r="I90" s="409"/>
      <c r="J90" s="409"/>
      <c r="K90" s="409"/>
      <c r="L90" s="409"/>
      <c r="M90" s="409"/>
      <c r="N90" s="409"/>
      <c r="O90" s="467"/>
      <c r="P90" s="467"/>
      <c r="Q90" s="467"/>
      <c r="R90" s="467"/>
      <c r="S90" s="467"/>
      <c r="T90" s="467"/>
      <c r="U90" s="467"/>
      <c r="V90" s="467"/>
      <c r="W90" s="467"/>
      <c r="X90" s="467"/>
      <c r="Y90" s="467"/>
      <c r="Z90" s="467"/>
    </row>
    <row r="91" spans="1:26" ht="15.75" customHeight="1">
      <c r="A91" s="409"/>
      <c r="B91" s="409"/>
      <c r="C91" s="409"/>
      <c r="D91" s="409"/>
      <c r="E91" s="409"/>
      <c r="F91" s="409"/>
      <c r="G91" s="409"/>
      <c r="H91" s="409"/>
      <c r="I91" s="409"/>
      <c r="J91" s="409"/>
      <c r="K91" s="409"/>
      <c r="L91" s="409"/>
      <c r="M91" s="409"/>
      <c r="N91" s="409"/>
      <c r="O91" s="467"/>
      <c r="P91" s="467"/>
      <c r="Q91" s="467"/>
      <c r="R91" s="467"/>
      <c r="S91" s="467"/>
      <c r="T91" s="467"/>
      <c r="U91" s="467"/>
      <c r="V91" s="467"/>
      <c r="W91" s="467"/>
      <c r="X91" s="467"/>
      <c r="Y91" s="467"/>
      <c r="Z91" s="467"/>
    </row>
    <row r="92" spans="1:26" ht="15.75" customHeight="1">
      <c r="A92" s="409"/>
      <c r="B92" s="409"/>
      <c r="C92" s="409"/>
      <c r="D92" s="409"/>
      <c r="E92" s="409"/>
      <c r="F92" s="409"/>
      <c r="G92" s="409"/>
      <c r="H92" s="409"/>
      <c r="I92" s="409"/>
      <c r="J92" s="409"/>
      <c r="K92" s="409"/>
      <c r="L92" s="409"/>
      <c r="M92" s="409"/>
      <c r="N92" s="409"/>
      <c r="O92" s="467"/>
      <c r="P92" s="467"/>
      <c r="Q92" s="467"/>
      <c r="R92" s="467"/>
      <c r="S92" s="467"/>
      <c r="T92" s="467"/>
      <c r="U92" s="467"/>
      <c r="V92" s="467"/>
      <c r="W92" s="467"/>
      <c r="X92" s="467"/>
      <c r="Y92" s="467"/>
      <c r="Z92" s="467"/>
    </row>
    <row r="93" spans="1:26" ht="15.75" customHeight="1">
      <c r="A93" s="409"/>
      <c r="B93" s="409"/>
      <c r="C93" s="409"/>
      <c r="D93" s="409"/>
      <c r="E93" s="409"/>
      <c r="F93" s="409"/>
      <c r="G93" s="409"/>
      <c r="H93" s="409"/>
      <c r="I93" s="409"/>
      <c r="J93" s="409"/>
      <c r="K93" s="409"/>
      <c r="L93" s="409"/>
      <c r="M93" s="409"/>
      <c r="N93" s="409"/>
      <c r="O93" s="467"/>
      <c r="P93" s="467"/>
      <c r="Q93" s="467"/>
      <c r="R93" s="467"/>
      <c r="S93" s="467"/>
      <c r="T93" s="467"/>
      <c r="U93" s="467"/>
      <c r="V93" s="467"/>
      <c r="W93" s="467"/>
      <c r="X93" s="467"/>
      <c r="Y93" s="467"/>
      <c r="Z93" s="467"/>
    </row>
    <row r="94" spans="1:26" ht="15.75" customHeight="1">
      <c r="A94" s="409"/>
      <c r="B94" s="409"/>
      <c r="C94" s="409"/>
      <c r="D94" s="409"/>
      <c r="E94" s="409"/>
      <c r="F94" s="409"/>
      <c r="G94" s="409"/>
      <c r="H94" s="409"/>
      <c r="I94" s="409"/>
      <c r="J94" s="409"/>
      <c r="K94" s="409"/>
      <c r="L94" s="409"/>
      <c r="M94" s="409"/>
      <c r="N94" s="409"/>
      <c r="O94" s="467"/>
      <c r="P94" s="467"/>
      <c r="Q94" s="467"/>
      <c r="R94" s="467"/>
      <c r="S94" s="467"/>
      <c r="T94" s="467"/>
      <c r="U94" s="467"/>
      <c r="V94" s="467"/>
      <c r="W94" s="467"/>
      <c r="X94" s="467"/>
      <c r="Y94" s="467"/>
      <c r="Z94" s="467"/>
    </row>
    <row r="95" spans="1:26" ht="15.75" customHeight="1">
      <c r="A95" s="409"/>
      <c r="B95" s="409"/>
      <c r="C95" s="409"/>
      <c r="D95" s="409"/>
      <c r="E95" s="409"/>
      <c r="F95" s="409"/>
      <c r="G95" s="409"/>
      <c r="H95" s="409"/>
      <c r="I95" s="409"/>
      <c r="J95" s="409"/>
      <c r="K95" s="409"/>
      <c r="L95" s="409"/>
      <c r="M95" s="409"/>
      <c r="N95" s="409"/>
      <c r="O95" s="467"/>
      <c r="P95" s="467"/>
      <c r="Q95" s="467"/>
      <c r="R95" s="467"/>
      <c r="S95" s="467"/>
      <c r="T95" s="467"/>
      <c r="U95" s="467"/>
      <c r="V95" s="467"/>
      <c r="W95" s="467"/>
      <c r="X95" s="467"/>
      <c r="Y95" s="467"/>
      <c r="Z95" s="467"/>
    </row>
    <row r="96" spans="1:26" ht="15.75" customHeight="1">
      <c r="A96" s="409"/>
      <c r="B96" s="409"/>
      <c r="C96" s="409"/>
      <c r="D96" s="409"/>
      <c r="E96" s="409"/>
      <c r="F96" s="409"/>
      <c r="G96" s="409"/>
      <c r="H96" s="409"/>
      <c r="I96" s="409"/>
      <c r="J96" s="409"/>
      <c r="K96" s="409"/>
      <c r="L96" s="409"/>
      <c r="M96" s="409"/>
      <c r="N96" s="409"/>
      <c r="O96" s="467"/>
      <c r="P96" s="467"/>
      <c r="Q96" s="467"/>
      <c r="R96" s="467"/>
      <c r="S96" s="467"/>
      <c r="T96" s="467"/>
      <c r="U96" s="467"/>
      <c r="V96" s="467"/>
      <c r="W96" s="467"/>
      <c r="X96" s="467"/>
      <c r="Y96" s="467"/>
      <c r="Z96" s="467"/>
    </row>
    <row r="97" spans="1:26" ht="15.75" customHeight="1">
      <c r="A97" s="409"/>
      <c r="B97" s="409"/>
      <c r="C97" s="409"/>
      <c r="D97" s="409"/>
      <c r="E97" s="409"/>
      <c r="F97" s="409"/>
      <c r="G97" s="409"/>
      <c r="H97" s="409"/>
      <c r="I97" s="409"/>
      <c r="J97" s="409"/>
      <c r="K97" s="409"/>
      <c r="L97" s="409"/>
      <c r="M97" s="409"/>
      <c r="N97" s="409"/>
      <c r="O97" s="467"/>
      <c r="P97" s="467"/>
      <c r="Q97" s="467"/>
      <c r="R97" s="467"/>
      <c r="S97" s="467"/>
      <c r="T97" s="467"/>
      <c r="U97" s="467"/>
      <c r="V97" s="467"/>
      <c r="W97" s="467"/>
      <c r="X97" s="467"/>
      <c r="Y97" s="467"/>
      <c r="Z97" s="467"/>
    </row>
    <row r="98" spans="1:26" ht="15.75" customHeight="1">
      <c r="A98" s="409"/>
      <c r="B98" s="409"/>
      <c r="C98" s="409"/>
      <c r="D98" s="409"/>
      <c r="E98" s="409"/>
      <c r="F98" s="409"/>
      <c r="G98" s="409"/>
      <c r="H98" s="409"/>
      <c r="I98" s="409"/>
      <c r="J98" s="409"/>
      <c r="K98" s="409"/>
      <c r="L98" s="409"/>
      <c r="M98" s="409"/>
      <c r="N98" s="409"/>
      <c r="O98" s="467"/>
      <c r="P98" s="467"/>
      <c r="Q98" s="467"/>
      <c r="R98" s="467"/>
      <c r="S98" s="467"/>
      <c r="T98" s="467"/>
      <c r="U98" s="467"/>
      <c r="V98" s="467"/>
      <c r="W98" s="467"/>
      <c r="X98" s="467"/>
      <c r="Y98" s="467"/>
      <c r="Z98" s="467"/>
    </row>
    <row r="99" spans="1:26" ht="15.75" customHeight="1">
      <c r="A99" s="409"/>
      <c r="B99" s="409"/>
      <c r="C99" s="409"/>
      <c r="D99" s="409"/>
      <c r="E99" s="409"/>
      <c r="F99" s="409"/>
      <c r="G99" s="409"/>
      <c r="H99" s="409"/>
      <c r="I99" s="409"/>
      <c r="J99" s="409"/>
      <c r="K99" s="409"/>
      <c r="L99" s="409"/>
      <c r="M99" s="409"/>
      <c r="N99" s="409"/>
      <c r="O99" s="467"/>
      <c r="P99" s="467"/>
      <c r="Q99" s="467"/>
      <c r="R99" s="467"/>
      <c r="S99" s="467"/>
      <c r="T99" s="467"/>
      <c r="U99" s="467"/>
      <c r="V99" s="467"/>
      <c r="W99" s="467"/>
      <c r="X99" s="467"/>
      <c r="Y99" s="467"/>
      <c r="Z99" s="467"/>
    </row>
    <row r="100" spans="1:26" ht="15.75" customHeight="1">
      <c r="A100" s="409"/>
      <c r="B100" s="409"/>
      <c r="C100" s="409"/>
      <c r="D100" s="409"/>
      <c r="E100" s="409"/>
      <c r="F100" s="409"/>
      <c r="G100" s="409"/>
      <c r="H100" s="409"/>
      <c r="I100" s="409"/>
      <c r="J100" s="409"/>
      <c r="K100" s="409"/>
      <c r="L100" s="409"/>
      <c r="M100" s="409"/>
      <c r="N100" s="409"/>
      <c r="O100" s="467"/>
      <c r="P100" s="467"/>
      <c r="Q100" s="467"/>
      <c r="R100" s="467"/>
      <c r="S100" s="467"/>
      <c r="T100" s="467"/>
      <c r="U100" s="467"/>
      <c r="V100" s="467"/>
      <c r="W100" s="467"/>
      <c r="X100" s="467"/>
      <c r="Y100" s="467"/>
      <c r="Z100" s="467"/>
    </row>
    <row r="101" spans="1:26" ht="15.75" customHeight="1">
      <c r="A101" s="409"/>
      <c r="B101" s="409"/>
      <c r="C101" s="409"/>
      <c r="D101" s="409"/>
      <c r="E101" s="409"/>
      <c r="F101" s="409"/>
      <c r="G101" s="409"/>
      <c r="H101" s="409"/>
      <c r="I101" s="409"/>
      <c r="J101" s="409"/>
      <c r="K101" s="409"/>
      <c r="L101" s="409"/>
      <c r="M101" s="409"/>
      <c r="N101" s="409"/>
      <c r="O101" s="467"/>
      <c r="P101" s="467"/>
      <c r="Q101" s="467"/>
      <c r="R101" s="467"/>
      <c r="S101" s="467"/>
      <c r="T101" s="467"/>
      <c r="U101" s="467"/>
      <c r="V101" s="467"/>
      <c r="W101" s="467"/>
      <c r="X101" s="467"/>
      <c r="Y101" s="467"/>
      <c r="Z101" s="467"/>
    </row>
    <row r="102" spans="1:26" ht="15.75" customHeight="1">
      <c r="A102" s="409"/>
      <c r="B102" s="409"/>
      <c r="C102" s="409"/>
      <c r="D102" s="409"/>
      <c r="E102" s="409"/>
      <c r="F102" s="409"/>
      <c r="G102" s="409"/>
      <c r="H102" s="409"/>
      <c r="I102" s="409"/>
      <c r="J102" s="409"/>
      <c r="K102" s="409"/>
      <c r="L102" s="409"/>
      <c r="M102" s="409"/>
      <c r="N102" s="409"/>
      <c r="O102" s="467"/>
      <c r="P102" s="467"/>
      <c r="Q102" s="467"/>
      <c r="R102" s="467"/>
      <c r="S102" s="467"/>
      <c r="T102" s="467"/>
      <c r="U102" s="467"/>
      <c r="V102" s="467"/>
      <c r="W102" s="467"/>
      <c r="X102" s="467"/>
      <c r="Y102" s="467"/>
      <c r="Z102" s="467"/>
    </row>
    <row r="103" spans="1:26" ht="15.75" customHeight="1">
      <c r="A103" s="409"/>
      <c r="B103" s="409"/>
      <c r="C103" s="409"/>
      <c r="D103" s="409"/>
      <c r="E103" s="409"/>
      <c r="F103" s="409"/>
      <c r="G103" s="409"/>
      <c r="H103" s="409"/>
      <c r="I103" s="409"/>
      <c r="J103" s="409"/>
      <c r="K103" s="409"/>
      <c r="L103" s="409"/>
      <c r="M103" s="409"/>
      <c r="N103" s="409"/>
      <c r="O103" s="467"/>
      <c r="P103" s="467"/>
      <c r="Q103" s="467"/>
      <c r="R103" s="467"/>
      <c r="S103" s="467"/>
      <c r="T103" s="467"/>
      <c r="U103" s="467"/>
      <c r="V103" s="467"/>
      <c r="W103" s="467"/>
      <c r="X103" s="467"/>
      <c r="Y103" s="467"/>
      <c r="Z103" s="467"/>
    </row>
    <row r="104" spans="1:26" ht="15.75" customHeight="1">
      <c r="A104" s="409"/>
      <c r="B104" s="409"/>
      <c r="C104" s="409"/>
      <c r="D104" s="409"/>
      <c r="E104" s="409"/>
      <c r="F104" s="409"/>
      <c r="G104" s="409"/>
      <c r="H104" s="409"/>
      <c r="I104" s="409"/>
      <c r="J104" s="409"/>
      <c r="K104" s="409"/>
      <c r="L104" s="409"/>
      <c r="M104" s="409"/>
      <c r="N104" s="409"/>
      <c r="O104" s="467"/>
      <c r="P104" s="467"/>
      <c r="Q104" s="467"/>
      <c r="R104" s="467"/>
      <c r="S104" s="467"/>
      <c r="T104" s="467"/>
      <c r="U104" s="467"/>
      <c r="V104" s="467"/>
      <c r="W104" s="467"/>
      <c r="X104" s="467"/>
      <c r="Y104" s="467"/>
      <c r="Z104" s="467"/>
    </row>
    <row r="105" spans="1:26" ht="15.75" customHeight="1">
      <c r="A105" s="409"/>
      <c r="B105" s="409"/>
      <c r="C105" s="409"/>
      <c r="D105" s="409"/>
      <c r="E105" s="409"/>
      <c r="F105" s="409"/>
      <c r="G105" s="409"/>
      <c r="H105" s="409"/>
      <c r="I105" s="409"/>
      <c r="J105" s="409"/>
      <c r="K105" s="409"/>
      <c r="L105" s="409"/>
      <c r="M105" s="409"/>
      <c r="N105" s="409"/>
      <c r="O105" s="467"/>
      <c r="P105" s="467"/>
      <c r="Q105" s="467"/>
      <c r="R105" s="467"/>
      <c r="S105" s="467"/>
      <c r="T105" s="467"/>
      <c r="U105" s="467"/>
      <c r="V105" s="467"/>
      <c r="W105" s="467"/>
      <c r="X105" s="467"/>
      <c r="Y105" s="467"/>
      <c r="Z105" s="467"/>
    </row>
    <row r="106" spans="1:26" ht="15.75" customHeight="1">
      <c r="A106" s="409"/>
      <c r="B106" s="409"/>
      <c r="C106" s="409"/>
      <c r="D106" s="409"/>
      <c r="E106" s="409"/>
      <c r="F106" s="409"/>
      <c r="G106" s="409"/>
      <c r="H106" s="409"/>
      <c r="I106" s="409"/>
      <c r="J106" s="409"/>
      <c r="K106" s="409"/>
      <c r="L106" s="409"/>
      <c r="M106" s="409"/>
      <c r="N106" s="409"/>
      <c r="O106" s="467"/>
      <c r="P106" s="467"/>
      <c r="Q106" s="467"/>
      <c r="R106" s="467"/>
      <c r="S106" s="467"/>
      <c r="T106" s="467"/>
      <c r="U106" s="467"/>
      <c r="V106" s="467"/>
      <c r="W106" s="467"/>
      <c r="X106" s="467"/>
      <c r="Y106" s="467"/>
      <c r="Z106" s="467"/>
    </row>
    <row r="107" spans="1:26" ht="15.75" customHeight="1">
      <c r="A107" s="409"/>
      <c r="B107" s="409"/>
      <c r="C107" s="409"/>
      <c r="D107" s="409"/>
      <c r="E107" s="409"/>
      <c r="F107" s="409"/>
      <c r="G107" s="409"/>
      <c r="H107" s="409"/>
      <c r="I107" s="409"/>
      <c r="J107" s="409"/>
      <c r="K107" s="409"/>
      <c r="L107" s="409"/>
      <c r="M107" s="409"/>
      <c r="N107" s="409"/>
      <c r="O107" s="467"/>
      <c r="P107" s="467"/>
      <c r="Q107" s="467"/>
      <c r="R107" s="467"/>
      <c r="S107" s="467"/>
      <c r="T107" s="467"/>
      <c r="U107" s="467"/>
      <c r="V107" s="467"/>
      <c r="W107" s="467"/>
      <c r="X107" s="467"/>
      <c r="Y107" s="467"/>
      <c r="Z107" s="467"/>
    </row>
    <row r="108" spans="1:26" ht="15.75" customHeight="1">
      <c r="A108" s="409"/>
      <c r="B108" s="409"/>
      <c r="C108" s="409"/>
      <c r="D108" s="409"/>
      <c r="E108" s="409"/>
      <c r="F108" s="409"/>
      <c r="G108" s="409"/>
      <c r="H108" s="409"/>
      <c r="I108" s="409"/>
      <c r="J108" s="409"/>
      <c r="K108" s="409"/>
      <c r="L108" s="409"/>
      <c r="M108" s="409"/>
      <c r="N108" s="409"/>
      <c r="O108" s="467"/>
      <c r="P108" s="467"/>
      <c r="Q108" s="467"/>
      <c r="R108" s="467"/>
      <c r="S108" s="467"/>
      <c r="T108" s="467"/>
      <c r="U108" s="467"/>
      <c r="V108" s="467"/>
      <c r="W108" s="467"/>
      <c r="X108" s="467"/>
      <c r="Y108" s="467"/>
      <c r="Z108" s="467"/>
    </row>
    <row r="109" spans="1:26" ht="15.75" customHeight="1">
      <c r="A109" s="409"/>
      <c r="B109" s="409"/>
      <c r="C109" s="409"/>
      <c r="D109" s="409"/>
      <c r="E109" s="409"/>
      <c r="F109" s="409"/>
      <c r="G109" s="409"/>
      <c r="H109" s="409"/>
      <c r="I109" s="409"/>
      <c r="J109" s="409"/>
      <c r="K109" s="409"/>
      <c r="L109" s="409"/>
      <c r="M109" s="409"/>
      <c r="N109" s="409"/>
      <c r="O109" s="467"/>
      <c r="P109" s="467"/>
      <c r="Q109" s="467"/>
      <c r="R109" s="467"/>
      <c r="S109" s="467"/>
      <c r="T109" s="467"/>
      <c r="U109" s="467"/>
      <c r="V109" s="467"/>
      <c r="W109" s="467"/>
      <c r="X109" s="467"/>
      <c r="Y109" s="467"/>
      <c r="Z109" s="467"/>
    </row>
    <row r="110" spans="1:26" ht="15.75" customHeight="1">
      <c r="A110" s="409"/>
      <c r="B110" s="409"/>
      <c r="C110" s="409"/>
      <c r="D110" s="409"/>
      <c r="E110" s="409"/>
      <c r="F110" s="409"/>
      <c r="G110" s="409"/>
      <c r="H110" s="409"/>
      <c r="I110" s="409"/>
      <c r="J110" s="409"/>
      <c r="K110" s="409"/>
      <c r="L110" s="409"/>
      <c r="M110" s="409"/>
      <c r="N110" s="409"/>
      <c r="O110" s="467"/>
      <c r="P110" s="467"/>
      <c r="Q110" s="467"/>
      <c r="R110" s="467"/>
      <c r="S110" s="467"/>
      <c r="T110" s="467"/>
      <c r="U110" s="467"/>
      <c r="V110" s="467"/>
      <c r="W110" s="467"/>
      <c r="X110" s="467"/>
      <c r="Y110" s="467"/>
      <c r="Z110" s="467"/>
    </row>
    <row r="111" spans="1:26" ht="15.75" customHeight="1">
      <c r="A111" s="409"/>
      <c r="B111" s="409"/>
      <c r="C111" s="409"/>
      <c r="D111" s="409"/>
      <c r="E111" s="409"/>
      <c r="F111" s="409"/>
      <c r="G111" s="409"/>
      <c r="H111" s="409"/>
      <c r="I111" s="409"/>
      <c r="J111" s="409"/>
      <c r="K111" s="409"/>
      <c r="L111" s="409"/>
      <c r="M111" s="409"/>
      <c r="N111" s="409"/>
      <c r="O111" s="467"/>
      <c r="P111" s="467"/>
      <c r="Q111" s="467"/>
      <c r="R111" s="467"/>
      <c r="S111" s="467"/>
      <c r="T111" s="467"/>
      <c r="U111" s="467"/>
      <c r="V111" s="467"/>
      <c r="W111" s="467"/>
      <c r="X111" s="467"/>
      <c r="Y111" s="467"/>
      <c r="Z111" s="467"/>
    </row>
    <row r="112" spans="1:26" ht="15.75" customHeight="1">
      <c r="A112" s="409"/>
      <c r="B112" s="409"/>
      <c r="C112" s="409"/>
      <c r="D112" s="409"/>
      <c r="E112" s="409"/>
      <c r="F112" s="409"/>
      <c r="G112" s="409"/>
      <c r="H112" s="409"/>
      <c r="I112" s="409"/>
      <c r="J112" s="409"/>
      <c r="K112" s="409"/>
      <c r="L112" s="409"/>
      <c r="M112" s="409"/>
      <c r="N112" s="409"/>
      <c r="O112" s="467"/>
      <c r="P112" s="467"/>
      <c r="Q112" s="467"/>
      <c r="R112" s="467"/>
      <c r="S112" s="467"/>
      <c r="T112" s="467"/>
      <c r="U112" s="467"/>
      <c r="V112" s="467"/>
      <c r="W112" s="467"/>
      <c r="X112" s="467"/>
      <c r="Y112" s="467"/>
      <c r="Z112" s="467"/>
    </row>
    <row r="113" spans="1:26" ht="15.75" customHeight="1">
      <c r="A113" s="409"/>
      <c r="B113" s="409"/>
      <c r="C113" s="409"/>
      <c r="D113" s="409"/>
      <c r="E113" s="409"/>
      <c r="F113" s="409"/>
      <c r="G113" s="409"/>
      <c r="H113" s="409"/>
      <c r="I113" s="409"/>
      <c r="J113" s="409"/>
      <c r="K113" s="409"/>
      <c r="L113" s="409"/>
      <c r="M113" s="409"/>
      <c r="N113" s="409"/>
      <c r="O113" s="467"/>
      <c r="P113" s="467"/>
      <c r="Q113" s="467"/>
      <c r="R113" s="467"/>
      <c r="S113" s="467"/>
      <c r="T113" s="467"/>
      <c r="U113" s="467"/>
      <c r="V113" s="467"/>
      <c r="W113" s="467"/>
      <c r="X113" s="467"/>
      <c r="Y113" s="467"/>
      <c r="Z113" s="467"/>
    </row>
    <row r="114" spans="1:26" ht="15.75" customHeight="1">
      <c r="A114" s="409"/>
      <c r="B114" s="409"/>
      <c r="C114" s="409"/>
      <c r="D114" s="409"/>
      <c r="E114" s="409"/>
      <c r="F114" s="409"/>
      <c r="G114" s="409"/>
      <c r="H114" s="409"/>
      <c r="I114" s="409"/>
      <c r="J114" s="409"/>
      <c r="K114" s="409"/>
      <c r="L114" s="409"/>
      <c r="M114" s="409"/>
      <c r="N114" s="409"/>
      <c r="O114" s="467"/>
      <c r="P114" s="467"/>
      <c r="Q114" s="467"/>
      <c r="R114" s="467"/>
      <c r="S114" s="467"/>
      <c r="T114" s="467"/>
      <c r="U114" s="467"/>
      <c r="V114" s="467"/>
      <c r="W114" s="467"/>
      <c r="X114" s="467"/>
      <c r="Y114" s="467"/>
      <c r="Z114" s="467"/>
    </row>
    <row r="115" spans="1:26" ht="15.75" customHeight="1">
      <c r="A115" s="409"/>
      <c r="B115" s="409"/>
      <c r="C115" s="409"/>
      <c r="D115" s="409"/>
      <c r="E115" s="409"/>
      <c r="F115" s="409"/>
      <c r="G115" s="409"/>
      <c r="H115" s="409"/>
      <c r="I115" s="409"/>
      <c r="J115" s="409"/>
      <c r="K115" s="409"/>
      <c r="L115" s="409"/>
      <c r="M115" s="409"/>
      <c r="N115" s="409"/>
      <c r="O115" s="467"/>
      <c r="P115" s="467"/>
      <c r="Q115" s="467"/>
      <c r="R115" s="467"/>
      <c r="S115" s="467"/>
      <c r="T115" s="467"/>
      <c r="U115" s="467"/>
      <c r="V115" s="467"/>
      <c r="W115" s="467"/>
      <c r="X115" s="467"/>
      <c r="Y115" s="467"/>
      <c r="Z115" s="467"/>
    </row>
    <row r="116" spans="1:26" ht="15.75" customHeight="1">
      <c r="A116" s="409"/>
      <c r="B116" s="409"/>
      <c r="C116" s="409"/>
      <c r="D116" s="409"/>
      <c r="E116" s="409"/>
      <c r="F116" s="409"/>
      <c r="G116" s="409"/>
      <c r="H116" s="409"/>
      <c r="I116" s="409"/>
      <c r="J116" s="409"/>
      <c r="K116" s="409"/>
      <c r="L116" s="409"/>
      <c r="M116" s="409"/>
      <c r="N116" s="409"/>
      <c r="O116" s="467"/>
      <c r="P116" s="467"/>
      <c r="Q116" s="467"/>
      <c r="R116" s="467"/>
      <c r="S116" s="467"/>
      <c r="T116" s="467"/>
      <c r="U116" s="467"/>
      <c r="V116" s="467"/>
      <c r="W116" s="467"/>
      <c r="X116" s="467"/>
      <c r="Y116" s="467"/>
      <c r="Z116" s="467"/>
    </row>
    <row r="117" spans="1:26" ht="15.75" customHeight="1">
      <c r="A117" s="409"/>
      <c r="B117" s="409"/>
      <c r="C117" s="409"/>
      <c r="D117" s="409"/>
      <c r="E117" s="409"/>
      <c r="F117" s="409"/>
      <c r="G117" s="409"/>
      <c r="H117" s="409"/>
      <c r="I117" s="409"/>
      <c r="J117" s="409"/>
      <c r="K117" s="409"/>
      <c r="L117" s="409"/>
      <c r="M117" s="409"/>
      <c r="N117" s="409"/>
      <c r="O117" s="467"/>
      <c r="P117" s="467"/>
      <c r="Q117" s="467"/>
      <c r="R117" s="467"/>
      <c r="S117" s="467"/>
      <c r="T117" s="467"/>
      <c r="U117" s="467"/>
      <c r="V117" s="467"/>
      <c r="W117" s="467"/>
      <c r="X117" s="467"/>
      <c r="Y117" s="467"/>
      <c r="Z117" s="467"/>
    </row>
    <row r="118" spans="1:26" ht="15.75" customHeight="1">
      <c r="A118" s="409"/>
      <c r="B118" s="409"/>
      <c r="C118" s="409"/>
      <c r="D118" s="409"/>
      <c r="E118" s="409"/>
      <c r="F118" s="409"/>
      <c r="G118" s="409"/>
      <c r="H118" s="409"/>
      <c r="I118" s="409"/>
      <c r="J118" s="409"/>
      <c r="K118" s="409"/>
      <c r="L118" s="409"/>
      <c r="M118" s="409"/>
      <c r="N118" s="409"/>
      <c r="O118" s="467"/>
      <c r="P118" s="467"/>
      <c r="Q118" s="467"/>
      <c r="R118" s="467"/>
      <c r="S118" s="467"/>
      <c r="T118" s="467"/>
      <c r="U118" s="467"/>
      <c r="V118" s="467"/>
      <c r="W118" s="467"/>
      <c r="X118" s="467"/>
      <c r="Y118" s="467"/>
      <c r="Z118" s="467"/>
    </row>
    <row r="119" spans="1:26" ht="15.75" customHeight="1">
      <c r="A119" s="409"/>
      <c r="B119" s="409"/>
      <c r="C119" s="409"/>
      <c r="D119" s="409"/>
      <c r="E119" s="409"/>
      <c r="F119" s="409"/>
      <c r="G119" s="409"/>
      <c r="H119" s="409"/>
      <c r="I119" s="409"/>
      <c r="J119" s="409"/>
      <c r="K119" s="409"/>
      <c r="L119" s="409"/>
      <c r="M119" s="409"/>
      <c r="N119" s="409"/>
      <c r="O119" s="467"/>
      <c r="P119" s="467"/>
      <c r="Q119" s="467"/>
      <c r="R119" s="467"/>
      <c r="S119" s="467"/>
      <c r="T119" s="467"/>
      <c r="U119" s="467"/>
      <c r="V119" s="467"/>
      <c r="W119" s="467"/>
      <c r="X119" s="467"/>
      <c r="Y119" s="467"/>
      <c r="Z119" s="467"/>
    </row>
    <row r="120" spans="1:26" ht="15.75" customHeight="1">
      <c r="A120" s="409"/>
      <c r="B120" s="409"/>
      <c r="C120" s="409"/>
      <c r="D120" s="409"/>
      <c r="E120" s="409"/>
      <c r="F120" s="409"/>
      <c r="G120" s="409"/>
      <c r="H120" s="409"/>
      <c r="I120" s="409"/>
      <c r="J120" s="409"/>
      <c r="K120" s="409"/>
      <c r="L120" s="409"/>
      <c r="M120" s="409"/>
      <c r="N120" s="409"/>
      <c r="O120" s="467"/>
      <c r="P120" s="467"/>
      <c r="Q120" s="467"/>
      <c r="R120" s="467"/>
      <c r="S120" s="467"/>
      <c r="T120" s="467"/>
      <c r="U120" s="467"/>
      <c r="V120" s="467"/>
      <c r="W120" s="467"/>
      <c r="X120" s="467"/>
      <c r="Y120" s="467"/>
      <c r="Z120" s="467"/>
    </row>
    <row r="121" spans="1:26" ht="15.75" customHeight="1">
      <c r="A121" s="409"/>
      <c r="B121" s="409"/>
      <c r="C121" s="409"/>
      <c r="D121" s="409"/>
      <c r="E121" s="409"/>
      <c r="F121" s="409"/>
      <c r="G121" s="409"/>
      <c r="H121" s="409"/>
      <c r="I121" s="409"/>
      <c r="J121" s="409"/>
      <c r="K121" s="409"/>
      <c r="L121" s="409"/>
      <c r="M121" s="409"/>
      <c r="N121" s="409"/>
      <c r="O121" s="467"/>
      <c r="P121" s="467"/>
      <c r="Q121" s="467"/>
      <c r="R121" s="467"/>
      <c r="S121" s="467"/>
      <c r="T121" s="467"/>
      <c r="U121" s="467"/>
      <c r="V121" s="467"/>
      <c r="W121" s="467"/>
      <c r="X121" s="467"/>
      <c r="Y121" s="467"/>
      <c r="Z121" s="467"/>
    </row>
    <row r="122" spans="1:26" ht="15.75" customHeight="1">
      <c r="A122" s="409"/>
      <c r="B122" s="409"/>
      <c r="C122" s="409"/>
      <c r="D122" s="409"/>
      <c r="E122" s="409"/>
      <c r="F122" s="409"/>
      <c r="G122" s="409"/>
      <c r="H122" s="409"/>
      <c r="I122" s="409"/>
      <c r="J122" s="409"/>
      <c r="K122" s="409"/>
      <c r="L122" s="409"/>
      <c r="M122" s="409"/>
      <c r="N122" s="409"/>
      <c r="O122" s="467"/>
      <c r="P122" s="467"/>
      <c r="Q122" s="467"/>
      <c r="R122" s="467"/>
      <c r="S122" s="467"/>
      <c r="T122" s="467"/>
      <c r="U122" s="467"/>
      <c r="V122" s="467"/>
      <c r="W122" s="467"/>
      <c r="X122" s="467"/>
      <c r="Y122" s="467"/>
      <c r="Z122" s="467"/>
    </row>
    <row r="123" spans="1:26" ht="15.75" customHeight="1">
      <c r="A123" s="409"/>
      <c r="B123" s="409"/>
      <c r="C123" s="409"/>
      <c r="D123" s="409"/>
      <c r="E123" s="409"/>
      <c r="F123" s="409"/>
      <c r="G123" s="409"/>
      <c r="H123" s="409"/>
      <c r="I123" s="409"/>
      <c r="J123" s="409"/>
      <c r="K123" s="409"/>
      <c r="L123" s="409"/>
      <c r="M123" s="409"/>
      <c r="N123" s="409"/>
      <c r="O123" s="467"/>
      <c r="P123" s="467"/>
      <c r="Q123" s="467"/>
      <c r="R123" s="467"/>
      <c r="S123" s="467"/>
      <c r="T123" s="467"/>
      <c r="U123" s="467"/>
      <c r="V123" s="467"/>
      <c r="W123" s="467"/>
      <c r="X123" s="467"/>
      <c r="Y123" s="467"/>
      <c r="Z123" s="467"/>
    </row>
    <row r="124" spans="1:26" ht="15.75" customHeight="1">
      <c r="A124" s="409"/>
      <c r="B124" s="409"/>
      <c r="C124" s="409"/>
      <c r="D124" s="409"/>
      <c r="E124" s="409"/>
      <c r="F124" s="409"/>
      <c r="G124" s="409"/>
      <c r="H124" s="409"/>
      <c r="I124" s="409"/>
      <c r="J124" s="409"/>
      <c r="K124" s="409"/>
      <c r="L124" s="409"/>
      <c r="M124" s="409"/>
      <c r="N124" s="409"/>
      <c r="O124" s="467"/>
      <c r="P124" s="467"/>
      <c r="Q124" s="467"/>
      <c r="R124" s="467"/>
      <c r="S124" s="467"/>
      <c r="T124" s="467"/>
      <c r="U124" s="467"/>
      <c r="V124" s="467"/>
      <c r="W124" s="467"/>
      <c r="X124" s="467"/>
      <c r="Y124" s="467"/>
      <c r="Z124" s="467"/>
    </row>
    <row r="125" spans="1:26" ht="15.75" customHeight="1">
      <c r="A125" s="409"/>
      <c r="B125" s="409"/>
      <c r="C125" s="409"/>
      <c r="D125" s="409"/>
      <c r="E125" s="409"/>
      <c r="F125" s="409"/>
      <c r="G125" s="409"/>
      <c r="H125" s="409"/>
      <c r="I125" s="409"/>
      <c r="J125" s="409"/>
      <c r="K125" s="409"/>
      <c r="L125" s="409"/>
      <c r="M125" s="409"/>
      <c r="N125" s="409"/>
      <c r="O125" s="467"/>
      <c r="P125" s="467"/>
      <c r="Q125" s="467"/>
      <c r="R125" s="467"/>
      <c r="S125" s="467"/>
      <c r="T125" s="467"/>
      <c r="U125" s="467"/>
      <c r="V125" s="467"/>
      <c r="W125" s="467"/>
      <c r="X125" s="467"/>
      <c r="Y125" s="467"/>
      <c r="Z125" s="467"/>
    </row>
    <row r="126" spans="1:26" ht="15.75" customHeight="1">
      <c r="A126" s="409"/>
      <c r="B126" s="409"/>
      <c r="C126" s="409"/>
      <c r="D126" s="409"/>
      <c r="E126" s="409"/>
      <c r="F126" s="409"/>
      <c r="G126" s="409"/>
      <c r="H126" s="409"/>
      <c r="I126" s="409"/>
      <c r="J126" s="409"/>
      <c r="K126" s="409"/>
      <c r="L126" s="409"/>
      <c r="M126" s="409"/>
      <c r="N126" s="409"/>
      <c r="O126" s="467"/>
      <c r="P126" s="467"/>
      <c r="Q126" s="467"/>
      <c r="R126" s="467"/>
      <c r="S126" s="467"/>
      <c r="T126" s="467"/>
      <c r="U126" s="467"/>
      <c r="V126" s="467"/>
      <c r="W126" s="467"/>
      <c r="X126" s="467"/>
      <c r="Y126" s="467"/>
      <c r="Z126" s="467"/>
    </row>
    <row r="127" spans="1:26" ht="15.75" customHeight="1">
      <c r="A127" s="409"/>
      <c r="B127" s="409"/>
      <c r="C127" s="409"/>
      <c r="D127" s="409"/>
      <c r="E127" s="409"/>
      <c r="F127" s="409"/>
      <c r="G127" s="409"/>
      <c r="H127" s="409"/>
      <c r="I127" s="409"/>
      <c r="J127" s="409"/>
      <c r="K127" s="409"/>
      <c r="L127" s="409"/>
      <c r="M127" s="409"/>
      <c r="N127" s="409"/>
      <c r="O127" s="467"/>
      <c r="P127" s="467"/>
      <c r="Q127" s="467"/>
      <c r="R127" s="467"/>
      <c r="S127" s="467"/>
      <c r="T127" s="467"/>
      <c r="U127" s="467"/>
      <c r="V127" s="467"/>
      <c r="W127" s="467"/>
      <c r="X127" s="467"/>
      <c r="Y127" s="467"/>
      <c r="Z127" s="467"/>
    </row>
    <row r="128" spans="1:26" ht="15.75" customHeight="1">
      <c r="A128" s="409"/>
      <c r="B128" s="409"/>
      <c r="C128" s="409"/>
      <c r="D128" s="409"/>
      <c r="E128" s="409"/>
      <c r="F128" s="409"/>
      <c r="G128" s="409"/>
      <c r="H128" s="409"/>
      <c r="I128" s="409"/>
      <c r="J128" s="409"/>
      <c r="K128" s="409"/>
      <c r="L128" s="409"/>
      <c r="M128" s="409"/>
      <c r="N128" s="409"/>
      <c r="O128" s="467"/>
      <c r="P128" s="467"/>
      <c r="Q128" s="467"/>
      <c r="R128" s="467"/>
      <c r="S128" s="467"/>
      <c r="T128" s="467"/>
      <c r="U128" s="467"/>
      <c r="V128" s="467"/>
      <c r="W128" s="467"/>
      <c r="X128" s="467"/>
      <c r="Y128" s="467"/>
      <c r="Z128" s="467"/>
    </row>
    <row r="129" spans="1:26" ht="15.75" customHeight="1">
      <c r="A129" s="409"/>
      <c r="B129" s="409"/>
      <c r="C129" s="409"/>
      <c r="D129" s="409"/>
      <c r="E129" s="409"/>
      <c r="F129" s="409"/>
      <c r="G129" s="409"/>
      <c r="H129" s="409"/>
      <c r="I129" s="409"/>
      <c r="J129" s="409"/>
      <c r="K129" s="409"/>
      <c r="L129" s="409"/>
      <c r="M129" s="409"/>
      <c r="N129" s="409"/>
      <c r="O129" s="467"/>
      <c r="P129" s="467"/>
      <c r="Q129" s="467"/>
      <c r="R129" s="467"/>
      <c r="S129" s="467"/>
      <c r="T129" s="467"/>
      <c r="U129" s="467"/>
      <c r="V129" s="467"/>
      <c r="W129" s="467"/>
      <c r="X129" s="467"/>
      <c r="Y129" s="467"/>
      <c r="Z129" s="467"/>
    </row>
    <row r="130" spans="1:26" ht="15.75" customHeight="1">
      <c r="A130" s="409"/>
      <c r="B130" s="409"/>
      <c r="C130" s="409"/>
      <c r="D130" s="409"/>
      <c r="E130" s="409"/>
      <c r="F130" s="409"/>
      <c r="G130" s="409"/>
      <c r="H130" s="409"/>
      <c r="I130" s="409"/>
      <c r="J130" s="409"/>
      <c r="K130" s="409"/>
      <c r="L130" s="409"/>
      <c r="M130" s="409"/>
      <c r="N130" s="409"/>
      <c r="O130" s="467"/>
      <c r="P130" s="467"/>
      <c r="Q130" s="467"/>
      <c r="R130" s="467"/>
      <c r="S130" s="467"/>
      <c r="T130" s="467"/>
      <c r="U130" s="467"/>
      <c r="V130" s="467"/>
      <c r="W130" s="467"/>
      <c r="X130" s="467"/>
      <c r="Y130" s="467"/>
      <c r="Z130" s="467"/>
    </row>
    <row r="131" spans="1:26" ht="15.75" customHeight="1">
      <c r="A131" s="409"/>
      <c r="B131" s="409"/>
      <c r="C131" s="409"/>
      <c r="D131" s="409"/>
      <c r="E131" s="409"/>
      <c r="F131" s="409"/>
      <c r="G131" s="409"/>
      <c r="H131" s="409"/>
      <c r="I131" s="409"/>
      <c r="J131" s="409"/>
      <c r="K131" s="409"/>
      <c r="L131" s="409"/>
      <c r="M131" s="409"/>
      <c r="N131" s="409"/>
      <c r="O131" s="467"/>
      <c r="P131" s="467"/>
      <c r="Q131" s="467"/>
      <c r="R131" s="467"/>
      <c r="S131" s="467"/>
      <c r="T131" s="467"/>
      <c r="U131" s="467"/>
      <c r="V131" s="467"/>
      <c r="W131" s="467"/>
      <c r="X131" s="467"/>
      <c r="Y131" s="467"/>
      <c r="Z131" s="467"/>
    </row>
    <row r="132" spans="1:26" ht="15.75" customHeight="1">
      <c r="A132" s="409"/>
      <c r="B132" s="409"/>
      <c r="C132" s="409"/>
      <c r="D132" s="409"/>
      <c r="E132" s="409"/>
      <c r="F132" s="409"/>
      <c r="G132" s="409"/>
      <c r="H132" s="409"/>
      <c r="I132" s="409"/>
      <c r="J132" s="409"/>
      <c r="K132" s="409"/>
      <c r="L132" s="409"/>
      <c r="M132" s="409"/>
      <c r="N132" s="409"/>
      <c r="O132" s="467"/>
      <c r="P132" s="467"/>
      <c r="Q132" s="467"/>
      <c r="R132" s="467"/>
      <c r="S132" s="467"/>
      <c r="T132" s="467"/>
      <c r="U132" s="467"/>
      <c r="V132" s="467"/>
      <c r="W132" s="467"/>
      <c r="X132" s="467"/>
      <c r="Y132" s="467"/>
      <c r="Z132" s="467"/>
    </row>
    <row r="133" spans="1:26" ht="15.75" customHeight="1">
      <c r="A133" s="409"/>
      <c r="B133" s="409"/>
      <c r="C133" s="409"/>
      <c r="D133" s="409"/>
      <c r="E133" s="409"/>
      <c r="F133" s="409"/>
      <c r="G133" s="409"/>
      <c r="H133" s="409"/>
      <c r="I133" s="409"/>
      <c r="J133" s="409"/>
      <c r="K133" s="409"/>
      <c r="L133" s="409"/>
      <c r="M133" s="409"/>
      <c r="N133" s="409"/>
      <c r="O133" s="467"/>
      <c r="P133" s="467"/>
      <c r="Q133" s="467"/>
      <c r="R133" s="467"/>
      <c r="S133" s="467"/>
      <c r="T133" s="467"/>
      <c r="U133" s="467"/>
      <c r="V133" s="467"/>
      <c r="W133" s="467"/>
      <c r="X133" s="467"/>
      <c r="Y133" s="467"/>
      <c r="Z133" s="467"/>
    </row>
    <row r="134" spans="1:26" ht="15.75" customHeight="1">
      <c r="A134" s="409"/>
      <c r="B134" s="409"/>
      <c r="C134" s="409"/>
      <c r="D134" s="409"/>
      <c r="E134" s="409"/>
      <c r="F134" s="409"/>
      <c r="G134" s="409"/>
      <c r="H134" s="409"/>
      <c r="I134" s="409"/>
      <c r="J134" s="409"/>
      <c r="K134" s="409"/>
      <c r="L134" s="409"/>
      <c r="M134" s="409"/>
      <c r="N134" s="409"/>
      <c r="O134" s="467"/>
      <c r="P134" s="467"/>
      <c r="Q134" s="467"/>
      <c r="R134" s="467"/>
      <c r="S134" s="467"/>
      <c r="T134" s="467"/>
      <c r="U134" s="467"/>
      <c r="V134" s="467"/>
      <c r="W134" s="467"/>
      <c r="X134" s="467"/>
      <c r="Y134" s="467"/>
      <c r="Z134" s="467"/>
    </row>
    <row r="135" spans="1:26" ht="15.75" customHeight="1">
      <c r="A135" s="409"/>
      <c r="B135" s="409"/>
      <c r="C135" s="409"/>
      <c r="D135" s="409"/>
      <c r="E135" s="409"/>
      <c r="F135" s="409"/>
      <c r="G135" s="409"/>
      <c r="H135" s="409"/>
      <c r="I135" s="409"/>
      <c r="J135" s="409"/>
      <c r="K135" s="409"/>
      <c r="L135" s="409"/>
      <c r="M135" s="409"/>
      <c r="N135" s="409"/>
      <c r="O135" s="467"/>
      <c r="P135" s="467"/>
      <c r="Q135" s="467"/>
      <c r="R135" s="467"/>
      <c r="S135" s="467"/>
      <c r="T135" s="467"/>
      <c r="U135" s="467"/>
      <c r="V135" s="467"/>
      <c r="W135" s="467"/>
      <c r="X135" s="467"/>
      <c r="Y135" s="467"/>
      <c r="Z135" s="467"/>
    </row>
    <row r="136" spans="1:26" ht="15.75" customHeight="1">
      <c r="A136" s="409"/>
      <c r="B136" s="409"/>
      <c r="C136" s="409"/>
      <c r="D136" s="409"/>
      <c r="E136" s="409"/>
      <c r="F136" s="409"/>
      <c r="G136" s="409"/>
      <c r="H136" s="409"/>
      <c r="I136" s="409"/>
      <c r="J136" s="409"/>
      <c r="K136" s="409"/>
      <c r="L136" s="409"/>
      <c r="M136" s="409"/>
      <c r="N136" s="409"/>
      <c r="O136" s="467"/>
      <c r="P136" s="467"/>
      <c r="Q136" s="467"/>
      <c r="R136" s="467"/>
      <c r="S136" s="467"/>
      <c r="T136" s="467"/>
      <c r="U136" s="467"/>
      <c r="V136" s="467"/>
      <c r="W136" s="467"/>
      <c r="X136" s="467"/>
      <c r="Y136" s="467"/>
      <c r="Z136" s="467"/>
    </row>
    <row r="137" spans="1:26" ht="15.75" customHeight="1">
      <c r="A137" s="409"/>
      <c r="B137" s="409"/>
      <c r="C137" s="409"/>
      <c r="D137" s="409"/>
      <c r="E137" s="409"/>
      <c r="F137" s="409"/>
      <c r="G137" s="409"/>
      <c r="H137" s="409"/>
      <c r="I137" s="409"/>
      <c r="J137" s="409"/>
      <c r="K137" s="409"/>
      <c r="L137" s="409"/>
      <c r="M137" s="409"/>
      <c r="N137" s="409"/>
      <c r="O137" s="467"/>
      <c r="P137" s="467"/>
      <c r="Q137" s="467"/>
      <c r="R137" s="467"/>
      <c r="S137" s="467"/>
      <c r="T137" s="467"/>
      <c r="U137" s="467"/>
      <c r="V137" s="467"/>
      <c r="W137" s="467"/>
      <c r="X137" s="467"/>
      <c r="Y137" s="467"/>
      <c r="Z137" s="467"/>
    </row>
    <row r="138" spans="1:26" ht="15.75" customHeight="1">
      <c r="A138" s="409"/>
      <c r="B138" s="409"/>
      <c r="C138" s="409"/>
      <c r="D138" s="409"/>
      <c r="E138" s="409"/>
      <c r="F138" s="409"/>
      <c r="G138" s="409"/>
      <c r="H138" s="409"/>
      <c r="I138" s="409"/>
      <c r="J138" s="409"/>
      <c r="K138" s="409"/>
      <c r="L138" s="409"/>
      <c r="M138" s="409"/>
      <c r="N138" s="409"/>
      <c r="O138" s="467"/>
      <c r="P138" s="467"/>
      <c r="Q138" s="467"/>
      <c r="R138" s="467"/>
      <c r="S138" s="467"/>
      <c r="T138" s="467"/>
      <c r="U138" s="467"/>
      <c r="V138" s="467"/>
      <c r="W138" s="467"/>
      <c r="X138" s="467"/>
      <c r="Y138" s="467"/>
      <c r="Z138" s="467"/>
    </row>
    <row r="139" spans="1:26" ht="15.75" customHeight="1">
      <c r="A139" s="409"/>
      <c r="B139" s="409"/>
      <c r="C139" s="409"/>
      <c r="D139" s="409"/>
      <c r="E139" s="409"/>
      <c r="F139" s="409"/>
      <c r="G139" s="409"/>
      <c r="H139" s="409"/>
      <c r="I139" s="409"/>
      <c r="J139" s="409"/>
      <c r="K139" s="409"/>
      <c r="L139" s="409"/>
      <c r="M139" s="409"/>
      <c r="N139" s="409"/>
      <c r="O139" s="467"/>
      <c r="P139" s="467"/>
      <c r="Q139" s="467"/>
      <c r="R139" s="467"/>
      <c r="S139" s="467"/>
      <c r="T139" s="467"/>
      <c r="U139" s="467"/>
      <c r="V139" s="467"/>
      <c r="W139" s="467"/>
      <c r="X139" s="467"/>
      <c r="Y139" s="467"/>
      <c r="Z139" s="467"/>
    </row>
    <row r="140" spans="1:26" ht="15.75" customHeight="1">
      <c r="A140" s="409"/>
      <c r="B140" s="409"/>
      <c r="C140" s="409"/>
      <c r="D140" s="409"/>
      <c r="E140" s="409"/>
      <c r="F140" s="409"/>
      <c r="G140" s="409"/>
      <c r="H140" s="409"/>
      <c r="I140" s="409"/>
      <c r="J140" s="409"/>
      <c r="K140" s="409"/>
      <c r="L140" s="409"/>
      <c r="M140" s="409"/>
      <c r="N140" s="409"/>
      <c r="O140" s="467"/>
      <c r="P140" s="467"/>
      <c r="Q140" s="467"/>
      <c r="R140" s="467"/>
      <c r="S140" s="467"/>
      <c r="T140" s="467"/>
      <c r="U140" s="467"/>
      <c r="V140" s="467"/>
      <c r="W140" s="467"/>
      <c r="X140" s="467"/>
      <c r="Y140" s="467"/>
      <c r="Z140" s="467"/>
    </row>
    <row r="141" spans="1:26" ht="15.75" customHeight="1">
      <c r="A141" s="409"/>
      <c r="B141" s="409"/>
      <c r="C141" s="409"/>
      <c r="D141" s="409"/>
      <c r="E141" s="409"/>
      <c r="F141" s="409"/>
      <c r="G141" s="409"/>
      <c r="H141" s="409"/>
      <c r="I141" s="409"/>
      <c r="J141" s="409"/>
      <c r="K141" s="409"/>
      <c r="L141" s="409"/>
      <c r="M141" s="409"/>
      <c r="N141" s="409"/>
      <c r="O141" s="467"/>
      <c r="P141" s="467"/>
      <c r="Q141" s="467"/>
      <c r="R141" s="467"/>
      <c r="S141" s="467"/>
      <c r="T141" s="467"/>
      <c r="U141" s="467"/>
      <c r="V141" s="467"/>
      <c r="W141" s="467"/>
      <c r="X141" s="467"/>
      <c r="Y141" s="467"/>
      <c r="Z141" s="467"/>
    </row>
    <row r="142" spans="1:26" ht="15.75" customHeight="1">
      <c r="A142" s="409"/>
      <c r="B142" s="409"/>
      <c r="C142" s="409"/>
      <c r="D142" s="409"/>
      <c r="E142" s="409"/>
      <c r="F142" s="409"/>
      <c r="G142" s="409"/>
      <c r="H142" s="409"/>
      <c r="I142" s="409"/>
      <c r="J142" s="409"/>
      <c r="K142" s="409"/>
      <c r="L142" s="409"/>
      <c r="M142" s="409"/>
      <c r="N142" s="409"/>
      <c r="O142" s="467"/>
      <c r="P142" s="467"/>
      <c r="Q142" s="467"/>
      <c r="R142" s="467"/>
      <c r="S142" s="467"/>
      <c r="T142" s="467"/>
      <c r="U142" s="467"/>
      <c r="V142" s="467"/>
      <c r="W142" s="467"/>
      <c r="X142" s="467"/>
      <c r="Y142" s="467"/>
      <c r="Z142" s="467"/>
    </row>
    <row r="143" spans="1:26" ht="15.75" customHeight="1">
      <c r="A143" s="409"/>
      <c r="B143" s="409"/>
      <c r="C143" s="409"/>
      <c r="D143" s="409"/>
      <c r="E143" s="409"/>
      <c r="F143" s="409"/>
      <c r="G143" s="409"/>
      <c r="H143" s="409"/>
      <c r="I143" s="409"/>
      <c r="J143" s="409"/>
      <c r="K143" s="409"/>
      <c r="L143" s="409"/>
      <c r="M143" s="409"/>
      <c r="N143" s="409"/>
      <c r="O143" s="467"/>
      <c r="P143" s="467"/>
      <c r="Q143" s="467"/>
      <c r="R143" s="467"/>
      <c r="S143" s="467"/>
      <c r="T143" s="467"/>
      <c r="U143" s="467"/>
      <c r="V143" s="467"/>
      <c r="W143" s="467"/>
      <c r="X143" s="467"/>
      <c r="Y143" s="467"/>
      <c r="Z143" s="467"/>
    </row>
    <row r="144" spans="1:26" ht="15.75" customHeight="1">
      <c r="A144" s="409"/>
      <c r="B144" s="409"/>
      <c r="C144" s="409"/>
      <c r="D144" s="409"/>
      <c r="E144" s="409"/>
      <c r="F144" s="409"/>
      <c r="G144" s="409"/>
      <c r="H144" s="409"/>
      <c r="I144" s="409"/>
      <c r="J144" s="409"/>
      <c r="K144" s="409"/>
      <c r="L144" s="409"/>
      <c r="M144" s="409"/>
      <c r="N144" s="409"/>
      <c r="O144" s="467"/>
      <c r="P144" s="467"/>
      <c r="Q144" s="467"/>
      <c r="R144" s="467"/>
      <c r="S144" s="467"/>
      <c r="T144" s="467"/>
      <c r="U144" s="467"/>
      <c r="V144" s="467"/>
      <c r="W144" s="467"/>
      <c r="X144" s="467"/>
      <c r="Y144" s="467"/>
      <c r="Z144" s="467"/>
    </row>
    <row r="145" spans="1:26" ht="15.75" customHeight="1">
      <c r="A145" s="409"/>
      <c r="B145" s="409"/>
      <c r="C145" s="409"/>
      <c r="D145" s="409"/>
      <c r="E145" s="409"/>
      <c r="F145" s="409"/>
      <c r="G145" s="409"/>
      <c r="H145" s="409"/>
      <c r="I145" s="409"/>
      <c r="J145" s="409"/>
      <c r="K145" s="409"/>
      <c r="L145" s="409"/>
      <c r="M145" s="409"/>
      <c r="N145" s="409"/>
      <c r="O145" s="467"/>
      <c r="P145" s="467"/>
      <c r="Q145" s="467"/>
      <c r="R145" s="467"/>
      <c r="S145" s="467"/>
      <c r="T145" s="467"/>
      <c r="U145" s="467"/>
      <c r="V145" s="467"/>
      <c r="W145" s="467"/>
      <c r="X145" s="467"/>
      <c r="Y145" s="467"/>
      <c r="Z145" s="467"/>
    </row>
    <row r="146" spans="1:26" ht="15.75" customHeight="1">
      <c r="A146" s="409"/>
      <c r="B146" s="409"/>
      <c r="C146" s="409"/>
      <c r="D146" s="409"/>
      <c r="E146" s="409"/>
      <c r="F146" s="409"/>
      <c r="G146" s="409"/>
      <c r="H146" s="409"/>
      <c r="I146" s="409"/>
      <c r="J146" s="409"/>
      <c r="K146" s="409"/>
      <c r="L146" s="409"/>
      <c r="M146" s="409"/>
      <c r="N146" s="409"/>
      <c r="O146" s="467"/>
      <c r="P146" s="467"/>
      <c r="Q146" s="467"/>
      <c r="R146" s="467"/>
      <c r="S146" s="467"/>
      <c r="T146" s="467"/>
      <c r="U146" s="467"/>
      <c r="V146" s="467"/>
      <c r="W146" s="467"/>
      <c r="X146" s="467"/>
      <c r="Y146" s="467"/>
      <c r="Z146" s="467"/>
    </row>
    <row r="147" spans="1:26" ht="15.75" customHeight="1">
      <c r="A147" s="409"/>
      <c r="B147" s="409"/>
      <c r="C147" s="409"/>
      <c r="D147" s="409"/>
      <c r="E147" s="409"/>
      <c r="F147" s="409"/>
      <c r="G147" s="409"/>
      <c r="H147" s="409"/>
      <c r="I147" s="409"/>
      <c r="J147" s="409"/>
      <c r="K147" s="409"/>
      <c r="L147" s="409"/>
      <c r="M147" s="409"/>
      <c r="N147" s="409"/>
      <c r="O147" s="467"/>
      <c r="P147" s="467"/>
      <c r="Q147" s="467"/>
      <c r="R147" s="467"/>
      <c r="S147" s="467"/>
      <c r="T147" s="467"/>
      <c r="U147" s="467"/>
      <c r="V147" s="467"/>
      <c r="W147" s="467"/>
      <c r="X147" s="467"/>
      <c r="Y147" s="467"/>
      <c r="Z147" s="467"/>
    </row>
    <row r="148" spans="1:26" ht="15.75" customHeight="1">
      <c r="A148" s="409"/>
      <c r="B148" s="409"/>
      <c r="C148" s="409"/>
      <c r="D148" s="409"/>
      <c r="E148" s="409"/>
      <c r="F148" s="409"/>
      <c r="G148" s="409"/>
      <c r="H148" s="409"/>
      <c r="I148" s="409"/>
      <c r="J148" s="409"/>
      <c r="K148" s="409"/>
      <c r="L148" s="409"/>
      <c r="M148" s="409"/>
      <c r="N148" s="409"/>
      <c r="O148" s="467"/>
      <c r="P148" s="467"/>
      <c r="Q148" s="467"/>
      <c r="R148" s="467"/>
      <c r="S148" s="467"/>
      <c r="T148" s="467"/>
      <c r="U148" s="467"/>
      <c r="V148" s="467"/>
      <c r="W148" s="467"/>
      <c r="X148" s="467"/>
      <c r="Y148" s="467"/>
      <c r="Z148" s="467"/>
    </row>
    <row r="149" spans="1:26" ht="15.75" customHeight="1">
      <c r="A149" s="409"/>
      <c r="B149" s="409"/>
      <c r="C149" s="409"/>
      <c r="D149" s="409"/>
      <c r="E149" s="409"/>
      <c r="F149" s="409"/>
      <c r="G149" s="409"/>
      <c r="H149" s="409"/>
      <c r="I149" s="409"/>
      <c r="J149" s="409"/>
      <c r="K149" s="409"/>
      <c r="L149" s="409"/>
      <c r="M149" s="409"/>
      <c r="N149" s="409"/>
      <c r="O149" s="467"/>
      <c r="P149" s="467"/>
      <c r="Q149" s="467"/>
      <c r="R149" s="467"/>
      <c r="S149" s="467"/>
      <c r="T149" s="467"/>
      <c r="U149" s="467"/>
      <c r="V149" s="467"/>
      <c r="W149" s="467"/>
      <c r="X149" s="467"/>
      <c r="Y149" s="467"/>
      <c r="Z149" s="467"/>
    </row>
    <row r="150" spans="1:26" ht="15.75" customHeight="1">
      <c r="A150" s="409"/>
      <c r="B150" s="409"/>
      <c r="C150" s="409"/>
      <c r="D150" s="409"/>
      <c r="E150" s="409"/>
      <c r="F150" s="409"/>
      <c r="G150" s="409"/>
      <c r="H150" s="409"/>
      <c r="I150" s="409"/>
      <c r="J150" s="409"/>
      <c r="K150" s="409"/>
      <c r="L150" s="409"/>
      <c r="M150" s="409"/>
      <c r="N150" s="409"/>
      <c r="O150" s="467"/>
      <c r="P150" s="467"/>
      <c r="Q150" s="467"/>
      <c r="R150" s="467"/>
      <c r="S150" s="467"/>
      <c r="T150" s="467"/>
      <c r="U150" s="467"/>
      <c r="V150" s="467"/>
      <c r="W150" s="467"/>
      <c r="X150" s="467"/>
      <c r="Y150" s="467"/>
      <c r="Z150" s="467"/>
    </row>
    <row r="151" spans="1:26" ht="15.75" customHeight="1">
      <c r="A151" s="409"/>
      <c r="B151" s="409"/>
      <c r="C151" s="409"/>
      <c r="D151" s="409"/>
      <c r="E151" s="409"/>
      <c r="F151" s="409"/>
      <c r="G151" s="409"/>
      <c r="H151" s="409"/>
      <c r="I151" s="409"/>
      <c r="J151" s="409"/>
      <c r="K151" s="409"/>
      <c r="L151" s="409"/>
      <c r="M151" s="409"/>
      <c r="N151" s="409"/>
      <c r="O151" s="467"/>
      <c r="P151" s="467"/>
      <c r="Q151" s="467"/>
      <c r="R151" s="467"/>
      <c r="S151" s="467"/>
      <c r="T151" s="467"/>
      <c r="U151" s="467"/>
      <c r="V151" s="467"/>
      <c r="W151" s="467"/>
      <c r="X151" s="467"/>
      <c r="Y151" s="467"/>
      <c r="Z151" s="467"/>
    </row>
    <row r="152" spans="1:26" ht="15.75" customHeight="1">
      <c r="A152" s="409"/>
      <c r="B152" s="409"/>
      <c r="C152" s="409"/>
      <c r="D152" s="409"/>
      <c r="E152" s="409"/>
      <c r="F152" s="409"/>
      <c r="G152" s="409"/>
      <c r="H152" s="409"/>
      <c r="I152" s="409"/>
      <c r="J152" s="409"/>
      <c r="K152" s="409"/>
      <c r="L152" s="409"/>
      <c r="M152" s="409"/>
      <c r="N152" s="409"/>
      <c r="O152" s="467"/>
      <c r="P152" s="467"/>
      <c r="Q152" s="467"/>
      <c r="R152" s="467"/>
      <c r="S152" s="467"/>
      <c r="T152" s="467"/>
      <c r="U152" s="467"/>
      <c r="V152" s="467"/>
      <c r="W152" s="467"/>
      <c r="X152" s="467"/>
      <c r="Y152" s="467"/>
      <c r="Z152" s="467"/>
    </row>
    <row r="153" spans="1:26" ht="15.75" customHeight="1">
      <c r="A153" s="409"/>
      <c r="B153" s="409"/>
      <c r="C153" s="409"/>
      <c r="D153" s="409"/>
      <c r="E153" s="409"/>
      <c r="F153" s="409"/>
      <c r="G153" s="409"/>
      <c r="H153" s="409"/>
      <c r="I153" s="409"/>
      <c r="J153" s="409"/>
      <c r="K153" s="409"/>
      <c r="L153" s="409"/>
      <c r="M153" s="409"/>
      <c r="N153" s="409"/>
      <c r="O153" s="467"/>
      <c r="P153" s="467"/>
      <c r="Q153" s="467"/>
      <c r="R153" s="467"/>
      <c r="S153" s="467"/>
      <c r="T153" s="467"/>
      <c r="U153" s="467"/>
      <c r="V153" s="467"/>
      <c r="W153" s="467"/>
      <c r="X153" s="467"/>
      <c r="Y153" s="467"/>
      <c r="Z153" s="467"/>
    </row>
    <row r="154" spans="1:26" ht="15.75" customHeight="1">
      <c r="A154" s="409"/>
      <c r="B154" s="409"/>
      <c r="C154" s="409"/>
      <c r="D154" s="409"/>
      <c r="E154" s="409"/>
      <c r="F154" s="409"/>
      <c r="G154" s="409"/>
      <c r="H154" s="409"/>
      <c r="I154" s="409"/>
      <c r="J154" s="409"/>
      <c r="K154" s="409"/>
      <c r="L154" s="409"/>
      <c r="M154" s="409"/>
      <c r="N154" s="409"/>
      <c r="O154" s="467"/>
      <c r="P154" s="467"/>
      <c r="Q154" s="467"/>
      <c r="R154" s="467"/>
      <c r="S154" s="467"/>
      <c r="T154" s="467"/>
      <c r="U154" s="467"/>
      <c r="V154" s="467"/>
      <c r="W154" s="467"/>
      <c r="X154" s="467"/>
      <c r="Y154" s="467"/>
      <c r="Z154" s="467"/>
    </row>
    <row r="155" spans="1:26" ht="15.75" customHeight="1">
      <c r="A155" s="409"/>
      <c r="B155" s="409"/>
      <c r="C155" s="409"/>
      <c r="D155" s="409"/>
      <c r="E155" s="409"/>
      <c r="F155" s="409"/>
      <c r="G155" s="409"/>
      <c r="H155" s="409"/>
      <c r="I155" s="409"/>
      <c r="J155" s="409"/>
      <c r="K155" s="409"/>
      <c r="L155" s="409"/>
      <c r="M155" s="409"/>
      <c r="N155" s="409"/>
      <c r="O155" s="467"/>
      <c r="P155" s="467"/>
      <c r="Q155" s="467"/>
      <c r="R155" s="467"/>
      <c r="S155" s="467"/>
      <c r="T155" s="467"/>
      <c r="U155" s="467"/>
      <c r="V155" s="467"/>
      <c r="W155" s="467"/>
      <c r="X155" s="467"/>
      <c r="Y155" s="467"/>
      <c r="Z155" s="467"/>
    </row>
    <row r="156" spans="1:26" ht="15.75" customHeight="1">
      <c r="A156" s="409"/>
      <c r="B156" s="409"/>
      <c r="C156" s="409"/>
      <c r="D156" s="409"/>
      <c r="E156" s="409"/>
      <c r="F156" s="409"/>
      <c r="G156" s="409"/>
      <c r="H156" s="409"/>
      <c r="I156" s="409"/>
      <c r="J156" s="409"/>
      <c r="K156" s="409"/>
      <c r="L156" s="409"/>
      <c r="M156" s="409"/>
      <c r="N156" s="409"/>
      <c r="O156" s="467"/>
      <c r="P156" s="467"/>
      <c r="Q156" s="467"/>
      <c r="R156" s="467"/>
      <c r="S156" s="467"/>
      <c r="T156" s="467"/>
      <c r="U156" s="467"/>
      <c r="V156" s="467"/>
      <c r="W156" s="467"/>
      <c r="X156" s="467"/>
      <c r="Y156" s="467"/>
      <c r="Z156" s="467"/>
    </row>
    <row r="157" spans="1:26" ht="15.75" customHeight="1">
      <c r="A157" s="409"/>
      <c r="B157" s="409"/>
      <c r="C157" s="409"/>
      <c r="D157" s="409"/>
      <c r="E157" s="409"/>
      <c r="F157" s="409"/>
      <c r="G157" s="409"/>
      <c r="H157" s="409"/>
      <c r="I157" s="409"/>
      <c r="J157" s="409"/>
      <c r="K157" s="409"/>
      <c r="L157" s="409"/>
      <c r="M157" s="409"/>
      <c r="N157" s="409"/>
      <c r="O157" s="467"/>
      <c r="P157" s="467"/>
      <c r="Q157" s="467"/>
      <c r="R157" s="467"/>
      <c r="S157" s="467"/>
      <c r="T157" s="467"/>
      <c r="U157" s="467"/>
      <c r="V157" s="467"/>
      <c r="W157" s="467"/>
      <c r="X157" s="467"/>
      <c r="Y157" s="467"/>
      <c r="Z157" s="467"/>
    </row>
    <row r="158" spans="1:26" ht="15.75" customHeight="1">
      <c r="A158" s="409"/>
      <c r="B158" s="409"/>
      <c r="C158" s="409"/>
      <c r="D158" s="409"/>
      <c r="E158" s="409"/>
      <c r="F158" s="409"/>
      <c r="G158" s="409"/>
      <c r="H158" s="409"/>
      <c r="I158" s="409"/>
      <c r="J158" s="409"/>
      <c r="K158" s="409"/>
      <c r="L158" s="409"/>
      <c r="M158" s="409"/>
      <c r="N158" s="409"/>
      <c r="O158" s="467"/>
      <c r="P158" s="467"/>
      <c r="Q158" s="467"/>
      <c r="R158" s="467"/>
      <c r="S158" s="467"/>
      <c r="T158" s="467"/>
      <c r="U158" s="467"/>
      <c r="V158" s="467"/>
      <c r="W158" s="467"/>
      <c r="X158" s="467"/>
      <c r="Y158" s="467"/>
      <c r="Z158" s="467"/>
    </row>
    <row r="159" spans="1:26" ht="15.75" customHeight="1">
      <c r="A159" s="409"/>
      <c r="B159" s="409"/>
      <c r="C159" s="409"/>
      <c r="D159" s="409"/>
      <c r="E159" s="409"/>
      <c r="F159" s="409"/>
      <c r="G159" s="409"/>
      <c r="H159" s="409"/>
      <c r="I159" s="409"/>
      <c r="J159" s="409"/>
      <c r="K159" s="409"/>
      <c r="L159" s="409"/>
      <c r="M159" s="409"/>
      <c r="N159" s="409"/>
      <c r="O159" s="467"/>
      <c r="P159" s="467"/>
      <c r="Q159" s="467"/>
      <c r="R159" s="467"/>
      <c r="S159" s="467"/>
      <c r="T159" s="467"/>
      <c r="U159" s="467"/>
      <c r="V159" s="467"/>
      <c r="W159" s="467"/>
      <c r="X159" s="467"/>
      <c r="Y159" s="467"/>
      <c r="Z159" s="467"/>
    </row>
    <row r="160" spans="1:26" ht="15.75" customHeight="1">
      <c r="A160" s="409"/>
      <c r="B160" s="409"/>
      <c r="C160" s="409"/>
      <c r="D160" s="409"/>
      <c r="E160" s="409"/>
      <c r="F160" s="409"/>
      <c r="G160" s="409"/>
      <c r="H160" s="409"/>
      <c r="I160" s="409"/>
      <c r="J160" s="409"/>
      <c r="K160" s="409"/>
      <c r="L160" s="409"/>
      <c r="M160" s="409"/>
      <c r="N160" s="409"/>
      <c r="O160" s="467"/>
      <c r="P160" s="467"/>
      <c r="Q160" s="467"/>
      <c r="R160" s="467"/>
      <c r="S160" s="467"/>
      <c r="T160" s="467"/>
      <c r="U160" s="467"/>
      <c r="V160" s="467"/>
      <c r="W160" s="467"/>
      <c r="X160" s="467"/>
      <c r="Y160" s="467"/>
      <c r="Z160" s="467"/>
    </row>
    <row r="161" spans="1:26" ht="15.75" customHeight="1">
      <c r="A161" s="409"/>
      <c r="B161" s="409"/>
      <c r="C161" s="409"/>
      <c r="D161" s="409"/>
      <c r="E161" s="409"/>
      <c r="F161" s="409"/>
      <c r="G161" s="409"/>
      <c r="H161" s="409"/>
      <c r="I161" s="409"/>
      <c r="J161" s="409"/>
      <c r="K161" s="409"/>
      <c r="L161" s="409"/>
      <c r="M161" s="409"/>
      <c r="N161" s="409"/>
      <c r="O161" s="467"/>
      <c r="P161" s="467"/>
      <c r="Q161" s="467"/>
      <c r="R161" s="467"/>
      <c r="S161" s="467"/>
      <c r="T161" s="467"/>
      <c r="U161" s="467"/>
      <c r="V161" s="467"/>
      <c r="W161" s="467"/>
      <c r="X161" s="467"/>
      <c r="Y161" s="467"/>
      <c r="Z161" s="467"/>
    </row>
    <row r="162" spans="1:26" ht="15.75" customHeight="1">
      <c r="A162" s="409"/>
      <c r="B162" s="409"/>
      <c r="C162" s="409"/>
      <c r="D162" s="409"/>
      <c r="E162" s="409"/>
      <c r="F162" s="409"/>
      <c r="G162" s="409"/>
      <c r="H162" s="409"/>
      <c r="I162" s="409"/>
      <c r="J162" s="409"/>
      <c r="K162" s="409"/>
      <c r="L162" s="409"/>
      <c r="M162" s="409"/>
      <c r="N162" s="409"/>
      <c r="O162" s="467"/>
      <c r="P162" s="467"/>
      <c r="Q162" s="467"/>
      <c r="R162" s="467"/>
      <c r="S162" s="467"/>
      <c r="T162" s="467"/>
      <c r="U162" s="467"/>
      <c r="V162" s="467"/>
      <c r="W162" s="467"/>
      <c r="X162" s="467"/>
      <c r="Y162" s="467"/>
      <c r="Z162" s="467"/>
    </row>
    <row r="163" spans="1:26" ht="15.75" customHeight="1">
      <c r="A163" s="409"/>
      <c r="B163" s="409"/>
      <c r="C163" s="409"/>
      <c r="D163" s="409"/>
      <c r="E163" s="409"/>
      <c r="F163" s="409"/>
      <c r="G163" s="409"/>
      <c r="H163" s="409"/>
      <c r="I163" s="409"/>
      <c r="J163" s="409"/>
      <c r="K163" s="409"/>
      <c r="L163" s="409"/>
      <c r="M163" s="409"/>
      <c r="N163" s="409"/>
      <c r="O163" s="467"/>
      <c r="P163" s="467"/>
      <c r="Q163" s="467"/>
      <c r="R163" s="467"/>
      <c r="S163" s="467"/>
      <c r="T163" s="467"/>
      <c r="U163" s="467"/>
      <c r="V163" s="467"/>
      <c r="W163" s="467"/>
      <c r="X163" s="467"/>
      <c r="Y163" s="467"/>
      <c r="Z163" s="467"/>
    </row>
    <row r="164" spans="1:26" ht="15.75" customHeight="1">
      <c r="A164" s="409"/>
      <c r="B164" s="409"/>
      <c r="C164" s="409"/>
      <c r="D164" s="409"/>
      <c r="E164" s="409"/>
      <c r="F164" s="409"/>
      <c r="G164" s="409"/>
      <c r="H164" s="409"/>
      <c r="I164" s="409"/>
      <c r="J164" s="409"/>
      <c r="K164" s="409"/>
      <c r="L164" s="409"/>
      <c r="M164" s="409"/>
      <c r="N164" s="409"/>
      <c r="O164" s="467"/>
      <c r="P164" s="467"/>
      <c r="Q164" s="467"/>
      <c r="R164" s="467"/>
      <c r="S164" s="467"/>
      <c r="T164" s="467"/>
      <c r="U164" s="467"/>
      <c r="V164" s="467"/>
      <c r="W164" s="467"/>
      <c r="X164" s="467"/>
      <c r="Y164" s="467"/>
      <c r="Z164" s="467"/>
    </row>
    <row r="165" spans="1:26" ht="15.75" customHeight="1">
      <c r="A165" s="409"/>
      <c r="B165" s="409"/>
      <c r="C165" s="409"/>
      <c r="D165" s="409"/>
      <c r="E165" s="409"/>
      <c r="F165" s="409"/>
      <c r="G165" s="409"/>
      <c r="H165" s="409"/>
      <c r="I165" s="409"/>
      <c r="J165" s="409"/>
      <c r="K165" s="409"/>
      <c r="L165" s="409"/>
      <c r="M165" s="409"/>
      <c r="N165" s="409"/>
      <c r="O165" s="467"/>
      <c r="P165" s="467"/>
      <c r="Q165" s="467"/>
      <c r="R165" s="467"/>
      <c r="S165" s="467"/>
      <c r="T165" s="467"/>
      <c r="U165" s="467"/>
      <c r="V165" s="467"/>
      <c r="W165" s="467"/>
      <c r="X165" s="467"/>
      <c r="Y165" s="467"/>
      <c r="Z165" s="467"/>
    </row>
    <row r="166" spans="1:26" ht="15.75" customHeight="1">
      <c r="A166" s="409"/>
      <c r="B166" s="409"/>
      <c r="C166" s="409"/>
      <c r="D166" s="409"/>
      <c r="E166" s="409"/>
      <c r="F166" s="409"/>
      <c r="G166" s="409"/>
      <c r="H166" s="409"/>
      <c r="I166" s="409"/>
      <c r="J166" s="409"/>
      <c r="K166" s="409"/>
      <c r="L166" s="409"/>
      <c r="M166" s="409"/>
      <c r="N166" s="409"/>
      <c r="O166" s="467"/>
      <c r="P166" s="467"/>
      <c r="Q166" s="467"/>
      <c r="R166" s="467"/>
      <c r="S166" s="467"/>
      <c r="T166" s="467"/>
      <c r="U166" s="467"/>
      <c r="V166" s="467"/>
      <c r="W166" s="467"/>
      <c r="X166" s="467"/>
      <c r="Y166" s="467"/>
      <c r="Z166" s="467"/>
    </row>
    <row r="167" spans="1:26" ht="15.75" customHeight="1">
      <c r="A167" s="409"/>
      <c r="B167" s="409"/>
      <c r="C167" s="409"/>
      <c r="D167" s="409"/>
      <c r="E167" s="409"/>
      <c r="F167" s="409"/>
      <c r="G167" s="409"/>
      <c r="H167" s="409"/>
      <c r="I167" s="409"/>
      <c r="J167" s="409"/>
      <c r="K167" s="409"/>
      <c r="L167" s="409"/>
      <c r="M167" s="409"/>
      <c r="N167" s="409"/>
      <c r="O167" s="467"/>
      <c r="P167" s="467"/>
      <c r="Q167" s="467"/>
      <c r="R167" s="467"/>
      <c r="S167" s="467"/>
      <c r="T167" s="467"/>
      <c r="U167" s="467"/>
      <c r="V167" s="467"/>
      <c r="W167" s="467"/>
      <c r="X167" s="467"/>
      <c r="Y167" s="467"/>
      <c r="Z167" s="467"/>
    </row>
    <row r="168" spans="1:26" ht="15.75" customHeight="1">
      <c r="A168" s="409"/>
      <c r="B168" s="409"/>
      <c r="C168" s="409"/>
      <c r="D168" s="409"/>
      <c r="E168" s="409"/>
      <c r="F168" s="409"/>
      <c r="G168" s="409"/>
      <c r="H168" s="409"/>
      <c r="I168" s="409"/>
      <c r="J168" s="409"/>
      <c r="K168" s="409"/>
      <c r="L168" s="409"/>
      <c r="M168" s="409"/>
      <c r="N168" s="409"/>
      <c r="O168" s="467"/>
      <c r="P168" s="467"/>
      <c r="Q168" s="467"/>
      <c r="R168" s="467"/>
      <c r="S168" s="467"/>
      <c r="T168" s="467"/>
      <c r="U168" s="467"/>
      <c r="V168" s="467"/>
      <c r="W168" s="467"/>
      <c r="X168" s="467"/>
      <c r="Y168" s="467"/>
      <c r="Z168" s="467"/>
    </row>
    <row r="169" spans="1:26" ht="15.75" customHeight="1">
      <c r="A169" s="409"/>
      <c r="B169" s="409"/>
      <c r="C169" s="409"/>
      <c r="D169" s="409"/>
      <c r="E169" s="409"/>
      <c r="F169" s="409"/>
      <c r="G169" s="409"/>
      <c r="H169" s="409"/>
      <c r="I169" s="409"/>
      <c r="J169" s="409"/>
      <c r="K169" s="409"/>
      <c r="L169" s="409"/>
      <c r="M169" s="409"/>
      <c r="N169" s="409"/>
      <c r="O169" s="467"/>
      <c r="P169" s="467"/>
      <c r="Q169" s="467"/>
      <c r="R169" s="467"/>
      <c r="S169" s="467"/>
      <c r="T169" s="467"/>
      <c r="U169" s="467"/>
      <c r="V169" s="467"/>
      <c r="W169" s="467"/>
      <c r="X169" s="467"/>
      <c r="Y169" s="467"/>
      <c r="Z169" s="467"/>
    </row>
    <row r="170" spans="1:26" ht="15.75" customHeight="1">
      <c r="A170" s="409"/>
      <c r="B170" s="409"/>
      <c r="C170" s="409"/>
      <c r="D170" s="409"/>
      <c r="E170" s="409"/>
      <c r="F170" s="409"/>
      <c r="G170" s="409"/>
      <c r="H170" s="409"/>
      <c r="I170" s="409"/>
      <c r="J170" s="409"/>
      <c r="K170" s="409"/>
      <c r="L170" s="409"/>
      <c r="M170" s="409"/>
      <c r="N170" s="409"/>
      <c r="O170" s="467"/>
      <c r="P170" s="467"/>
      <c r="Q170" s="467"/>
      <c r="R170" s="467"/>
      <c r="S170" s="467"/>
      <c r="T170" s="467"/>
      <c r="U170" s="467"/>
      <c r="V170" s="467"/>
      <c r="W170" s="467"/>
      <c r="X170" s="467"/>
      <c r="Y170" s="467"/>
      <c r="Z170" s="467"/>
    </row>
    <row r="171" spans="1:26" ht="15.75" customHeight="1">
      <c r="A171" s="409"/>
      <c r="B171" s="409"/>
      <c r="C171" s="409"/>
      <c r="D171" s="409"/>
      <c r="E171" s="409"/>
      <c r="F171" s="409"/>
      <c r="G171" s="409"/>
      <c r="H171" s="409"/>
      <c r="I171" s="409"/>
      <c r="J171" s="409"/>
      <c r="K171" s="409"/>
      <c r="L171" s="409"/>
      <c r="M171" s="409"/>
      <c r="N171" s="409"/>
      <c r="O171" s="467"/>
      <c r="P171" s="467"/>
      <c r="Q171" s="467"/>
      <c r="R171" s="467"/>
      <c r="S171" s="467"/>
      <c r="T171" s="467"/>
      <c r="U171" s="467"/>
      <c r="V171" s="467"/>
      <c r="W171" s="467"/>
      <c r="X171" s="467"/>
      <c r="Y171" s="467"/>
      <c r="Z171" s="467"/>
    </row>
    <row r="172" spans="1:26" ht="15.75" customHeight="1">
      <c r="A172" s="409"/>
      <c r="B172" s="409"/>
      <c r="C172" s="409"/>
      <c r="D172" s="409"/>
      <c r="E172" s="409"/>
      <c r="F172" s="409"/>
      <c r="G172" s="409"/>
      <c r="H172" s="409"/>
      <c r="I172" s="409"/>
      <c r="J172" s="409"/>
      <c r="K172" s="409"/>
      <c r="L172" s="409"/>
      <c r="M172" s="409"/>
      <c r="N172" s="409"/>
      <c r="O172" s="467"/>
      <c r="P172" s="467"/>
      <c r="Q172" s="467"/>
      <c r="R172" s="467"/>
      <c r="S172" s="467"/>
      <c r="T172" s="467"/>
      <c r="U172" s="467"/>
      <c r="V172" s="467"/>
      <c r="W172" s="467"/>
      <c r="X172" s="467"/>
      <c r="Y172" s="467"/>
      <c r="Z172" s="467"/>
    </row>
    <row r="173" spans="1:26" ht="15.75" customHeight="1">
      <c r="A173" s="409"/>
      <c r="B173" s="409"/>
      <c r="C173" s="409"/>
      <c r="D173" s="409"/>
      <c r="E173" s="409"/>
      <c r="F173" s="409"/>
      <c r="G173" s="409"/>
      <c r="H173" s="409"/>
      <c r="I173" s="409"/>
      <c r="J173" s="409"/>
      <c r="K173" s="409"/>
      <c r="L173" s="409"/>
      <c r="M173" s="409"/>
      <c r="N173" s="409"/>
      <c r="O173" s="467"/>
      <c r="P173" s="467"/>
      <c r="Q173" s="467"/>
      <c r="R173" s="467"/>
      <c r="S173" s="467"/>
      <c r="T173" s="467"/>
      <c r="U173" s="467"/>
      <c r="V173" s="467"/>
      <c r="W173" s="467"/>
      <c r="X173" s="467"/>
      <c r="Y173" s="467"/>
      <c r="Z173" s="467"/>
    </row>
    <row r="174" spans="1:26" ht="15.75" customHeight="1">
      <c r="A174" s="409"/>
      <c r="B174" s="409"/>
      <c r="C174" s="409"/>
      <c r="D174" s="409"/>
      <c r="E174" s="409"/>
      <c r="F174" s="409"/>
      <c r="G174" s="409"/>
      <c r="H174" s="409"/>
      <c r="I174" s="409"/>
      <c r="J174" s="409"/>
      <c r="K174" s="409"/>
      <c r="L174" s="409"/>
      <c r="M174" s="409"/>
      <c r="N174" s="409"/>
      <c r="O174" s="467"/>
      <c r="P174" s="467"/>
      <c r="Q174" s="467"/>
      <c r="R174" s="467"/>
      <c r="S174" s="467"/>
      <c r="T174" s="467"/>
      <c r="U174" s="467"/>
      <c r="V174" s="467"/>
      <c r="W174" s="467"/>
      <c r="X174" s="467"/>
      <c r="Y174" s="467"/>
      <c r="Z174" s="467"/>
    </row>
    <row r="175" spans="1:26" ht="15.75" customHeight="1">
      <c r="A175" s="409"/>
      <c r="B175" s="409"/>
      <c r="C175" s="409"/>
      <c r="D175" s="409"/>
      <c r="E175" s="409"/>
      <c r="F175" s="409"/>
      <c r="G175" s="409"/>
      <c r="H175" s="409"/>
      <c r="I175" s="409"/>
      <c r="J175" s="409"/>
      <c r="K175" s="409"/>
      <c r="L175" s="409"/>
      <c r="M175" s="409"/>
      <c r="N175" s="409"/>
      <c r="O175" s="467"/>
      <c r="P175" s="467"/>
      <c r="Q175" s="467"/>
      <c r="R175" s="467"/>
      <c r="S175" s="467"/>
      <c r="T175" s="467"/>
      <c r="U175" s="467"/>
      <c r="V175" s="467"/>
      <c r="W175" s="467"/>
      <c r="X175" s="467"/>
      <c r="Y175" s="467"/>
      <c r="Z175" s="467"/>
    </row>
    <row r="176" spans="1:26" ht="15.75" customHeight="1">
      <c r="A176" s="409"/>
      <c r="B176" s="409"/>
      <c r="C176" s="409"/>
      <c r="D176" s="409"/>
      <c r="E176" s="409"/>
      <c r="F176" s="409"/>
      <c r="G176" s="409"/>
      <c r="H176" s="409"/>
      <c r="I176" s="409"/>
      <c r="J176" s="409"/>
      <c r="K176" s="409"/>
      <c r="L176" s="409"/>
      <c r="M176" s="409"/>
      <c r="N176" s="409"/>
      <c r="O176" s="467"/>
      <c r="P176" s="467"/>
      <c r="Q176" s="467"/>
      <c r="R176" s="467"/>
      <c r="S176" s="467"/>
      <c r="T176" s="467"/>
      <c r="U176" s="467"/>
      <c r="V176" s="467"/>
      <c r="W176" s="467"/>
      <c r="X176" s="467"/>
      <c r="Y176" s="467"/>
      <c r="Z176" s="467"/>
    </row>
    <row r="177" spans="1:26" ht="15.75" customHeight="1">
      <c r="A177" s="409"/>
      <c r="B177" s="409"/>
      <c r="C177" s="409"/>
      <c r="D177" s="409"/>
      <c r="E177" s="409"/>
      <c r="F177" s="409"/>
      <c r="G177" s="409"/>
      <c r="H177" s="409"/>
      <c r="I177" s="409"/>
      <c r="J177" s="409"/>
      <c r="K177" s="409"/>
      <c r="L177" s="409"/>
      <c r="M177" s="409"/>
      <c r="N177" s="409"/>
      <c r="O177" s="467"/>
      <c r="P177" s="467"/>
      <c r="Q177" s="467"/>
      <c r="R177" s="467"/>
      <c r="S177" s="467"/>
      <c r="T177" s="467"/>
      <c r="U177" s="467"/>
      <c r="V177" s="467"/>
      <c r="W177" s="467"/>
      <c r="X177" s="467"/>
      <c r="Y177" s="467"/>
      <c r="Z177" s="467"/>
    </row>
    <row r="178" spans="1:26" ht="15.75" customHeight="1">
      <c r="A178" s="409"/>
      <c r="B178" s="409"/>
      <c r="C178" s="409"/>
      <c r="D178" s="409"/>
      <c r="E178" s="409"/>
      <c r="F178" s="409"/>
      <c r="G178" s="409"/>
      <c r="H178" s="409"/>
      <c r="I178" s="409"/>
      <c r="J178" s="409"/>
      <c r="K178" s="409"/>
      <c r="L178" s="409"/>
      <c r="M178" s="409"/>
      <c r="N178" s="409"/>
      <c r="O178" s="467"/>
      <c r="P178" s="467"/>
      <c r="Q178" s="467"/>
      <c r="R178" s="467"/>
      <c r="S178" s="467"/>
      <c r="T178" s="467"/>
      <c r="U178" s="467"/>
      <c r="V178" s="467"/>
      <c r="W178" s="467"/>
      <c r="X178" s="467"/>
      <c r="Y178" s="467"/>
      <c r="Z178" s="467"/>
    </row>
    <row r="179" spans="1:26" ht="15.75" customHeight="1">
      <c r="A179" s="409"/>
      <c r="B179" s="409"/>
      <c r="C179" s="409"/>
      <c r="D179" s="409"/>
      <c r="E179" s="409"/>
      <c r="F179" s="409"/>
      <c r="G179" s="409"/>
      <c r="H179" s="409"/>
      <c r="I179" s="409"/>
      <c r="J179" s="409"/>
      <c r="K179" s="409"/>
      <c r="L179" s="409"/>
      <c r="M179" s="409"/>
      <c r="N179" s="409"/>
      <c r="O179" s="467"/>
      <c r="P179" s="467"/>
      <c r="Q179" s="467"/>
      <c r="R179" s="467"/>
      <c r="S179" s="467"/>
      <c r="T179" s="467"/>
      <c r="U179" s="467"/>
      <c r="V179" s="467"/>
      <c r="W179" s="467"/>
      <c r="X179" s="467"/>
      <c r="Y179" s="467"/>
      <c r="Z179" s="467"/>
    </row>
    <row r="180" spans="1:26" ht="15.75" customHeight="1">
      <c r="A180" s="409"/>
      <c r="B180" s="409"/>
      <c r="C180" s="409"/>
      <c r="D180" s="409"/>
      <c r="E180" s="409"/>
      <c r="F180" s="409"/>
      <c r="G180" s="409"/>
      <c r="H180" s="409"/>
      <c r="I180" s="409"/>
      <c r="J180" s="409"/>
      <c r="K180" s="409"/>
      <c r="L180" s="409"/>
      <c r="M180" s="409"/>
      <c r="N180" s="409"/>
      <c r="O180" s="467"/>
      <c r="P180" s="467"/>
      <c r="Q180" s="467"/>
      <c r="R180" s="467"/>
      <c r="S180" s="467"/>
      <c r="T180" s="467"/>
      <c r="U180" s="467"/>
      <c r="V180" s="467"/>
      <c r="W180" s="467"/>
      <c r="X180" s="467"/>
      <c r="Y180" s="467"/>
      <c r="Z180" s="467"/>
    </row>
    <row r="181" spans="1:26" ht="15.75" customHeight="1">
      <c r="A181" s="409"/>
      <c r="B181" s="409"/>
      <c r="C181" s="409"/>
      <c r="D181" s="409"/>
      <c r="E181" s="409"/>
      <c r="F181" s="409"/>
      <c r="G181" s="409"/>
      <c r="H181" s="409"/>
      <c r="I181" s="409"/>
      <c r="J181" s="409"/>
      <c r="K181" s="409"/>
      <c r="L181" s="409"/>
      <c r="M181" s="409"/>
      <c r="N181" s="409"/>
      <c r="O181" s="467"/>
      <c r="P181" s="467"/>
      <c r="Q181" s="467"/>
      <c r="R181" s="467"/>
      <c r="S181" s="467"/>
      <c r="T181" s="467"/>
      <c r="U181" s="467"/>
      <c r="V181" s="467"/>
      <c r="W181" s="467"/>
      <c r="X181" s="467"/>
      <c r="Y181" s="467"/>
      <c r="Z181" s="467"/>
    </row>
    <row r="182" spans="1:26" ht="15.75" customHeight="1">
      <c r="A182" s="409"/>
      <c r="B182" s="409"/>
      <c r="C182" s="409"/>
      <c r="D182" s="409"/>
      <c r="E182" s="409"/>
      <c r="F182" s="409"/>
      <c r="G182" s="409"/>
      <c r="H182" s="409"/>
      <c r="I182" s="409"/>
      <c r="J182" s="409"/>
      <c r="K182" s="409"/>
      <c r="L182" s="409"/>
      <c r="M182" s="409"/>
      <c r="N182" s="409"/>
      <c r="O182" s="467"/>
      <c r="P182" s="467"/>
      <c r="Q182" s="467"/>
      <c r="R182" s="467"/>
      <c r="S182" s="467"/>
      <c r="T182" s="467"/>
      <c r="U182" s="467"/>
      <c r="V182" s="467"/>
      <c r="W182" s="467"/>
      <c r="X182" s="467"/>
      <c r="Y182" s="467"/>
      <c r="Z182" s="467"/>
    </row>
    <row r="183" spans="1:26" ht="15.75" customHeight="1">
      <c r="A183" s="409"/>
      <c r="B183" s="409"/>
      <c r="C183" s="409"/>
      <c r="D183" s="409"/>
      <c r="E183" s="409"/>
      <c r="F183" s="409"/>
      <c r="G183" s="409"/>
      <c r="H183" s="409"/>
      <c r="I183" s="409"/>
      <c r="J183" s="409"/>
      <c r="K183" s="409"/>
      <c r="L183" s="409"/>
      <c r="M183" s="409"/>
      <c r="N183" s="409"/>
      <c r="O183" s="467"/>
      <c r="P183" s="467"/>
      <c r="Q183" s="467"/>
      <c r="R183" s="467"/>
      <c r="S183" s="467"/>
      <c r="T183" s="467"/>
      <c r="U183" s="467"/>
      <c r="V183" s="467"/>
      <c r="W183" s="467"/>
      <c r="X183" s="467"/>
      <c r="Y183" s="467"/>
      <c r="Z183" s="467"/>
    </row>
    <row r="184" spans="1:26" ht="15.75" customHeight="1">
      <c r="A184" s="409"/>
      <c r="B184" s="409"/>
      <c r="C184" s="409"/>
      <c r="D184" s="409"/>
      <c r="E184" s="409"/>
      <c r="F184" s="409"/>
      <c r="G184" s="409"/>
      <c r="H184" s="409"/>
      <c r="I184" s="409"/>
      <c r="J184" s="409"/>
      <c r="K184" s="409"/>
      <c r="L184" s="409"/>
      <c r="M184" s="409"/>
      <c r="N184" s="409"/>
      <c r="O184" s="467"/>
      <c r="P184" s="467"/>
      <c r="Q184" s="467"/>
      <c r="R184" s="467"/>
      <c r="S184" s="467"/>
      <c r="T184" s="467"/>
      <c r="U184" s="467"/>
      <c r="V184" s="467"/>
      <c r="W184" s="467"/>
      <c r="X184" s="467"/>
      <c r="Y184" s="467"/>
      <c r="Z184" s="467"/>
    </row>
    <row r="185" spans="1:26" ht="15.75" customHeight="1">
      <c r="A185" s="409"/>
      <c r="B185" s="409"/>
      <c r="C185" s="409"/>
      <c r="D185" s="409"/>
      <c r="E185" s="409"/>
      <c r="F185" s="409"/>
      <c r="G185" s="409"/>
      <c r="H185" s="409"/>
      <c r="I185" s="409"/>
      <c r="J185" s="409"/>
      <c r="K185" s="409"/>
      <c r="L185" s="409"/>
      <c r="M185" s="409"/>
      <c r="N185" s="409"/>
      <c r="O185" s="467"/>
      <c r="P185" s="467"/>
      <c r="Q185" s="467"/>
      <c r="R185" s="467"/>
      <c r="S185" s="467"/>
      <c r="T185" s="467"/>
      <c r="U185" s="467"/>
      <c r="V185" s="467"/>
      <c r="W185" s="467"/>
      <c r="X185" s="467"/>
      <c r="Y185" s="467"/>
      <c r="Z185" s="467"/>
    </row>
    <row r="186" spans="1:26" ht="15.75" customHeight="1">
      <c r="A186" s="409"/>
      <c r="B186" s="409"/>
      <c r="C186" s="409"/>
      <c r="D186" s="409"/>
      <c r="E186" s="409"/>
      <c r="F186" s="409"/>
      <c r="G186" s="409"/>
      <c r="H186" s="409"/>
      <c r="I186" s="409"/>
      <c r="J186" s="409"/>
      <c r="K186" s="409"/>
      <c r="L186" s="409"/>
      <c r="M186" s="409"/>
      <c r="N186" s="409"/>
      <c r="O186" s="467"/>
      <c r="P186" s="467"/>
      <c r="Q186" s="467"/>
      <c r="R186" s="467"/>
      <c r="S186" s="467"/>
      <c r="T186" s="467"/>
      <c r="U186" s="467"/>
      <c r="V186" s="467"/>
      <c r="W186" s="467"/>
      <c r="X186" s="467"/>
      <c r="Y186" s="467"/>
      <c r="Z186" s="467"/>
    </row>
    <row r="187" spans="1:26" ht="15.75" customHeight="1">
      <c r="A187" s="409"/>
      <c r="B187" s="409"/>
      <c r="C187" s="409"/>
      <c r="D187" s="409"/>
      <c r="E187" s="409"/>
      <c r="F187" s="409"/>
      <c r="G187" s="409"/>
      <c r="H187" s="409"/>
      <c r="I187" s="409"/>
      <c r="J187" s="409"/>
      <c r="K187" s="409"/>
      <c r="L187" s="409"/>
      <c r="M187" s="409"/>
      <c r="N187" s="409"/>
      <c r="O187" s="467"/>
      <c r="P187" s="467"/>
      <c r="Q187" s="467"/>
      <c r="R187" s="467"/>
      <c r="S187" s="467"/>
      <c r="T187" s="467"/>
      <c r="U187" s="467"/>
      <c r="V187" s="467"/>
      <c r="W187" s="467"/>
      <c r="X187" s="467"/>
      <c r="Y187" s="467"/>
      <c r="Z187" s="467"/>
    </row>
    <row r="188" spans="1:26" ht="15.75" customHeight="1">
      <c r="A188" s="409"/>
      <c r="B188" s="409"/>
      <c r="C188" s="409"/>
      <c r="D188" s="409"/>
      <c r="E188" s="409"/>
      <c r="F188" s="409"/>
      <c r="G188" s="409"/>
      <c r="H188" s="409"/>
      <c r="I188" s="409"/>
      <c r="J188" s="409"/>
      <c r="K188" s="409"/>
      <c r="L188" s="409"/>
      <c r="M188" s="409"/>
      <c r="N188" s="409"/>
      <c r="O188" s="467"/>
      <c r="P188" s="467"/>
      <c r="Q188" s="467"/>
      <c r="R188" s="467"/>
      <c r="S188" s="467"/>
      <c r="T188" s="467"/>
      <c r="U188" s="467"/>
      <c r="V188" s="467"/>
      <c r="W188" s="467"/>
      <c r="X188" s="467"/>
      <c r="Y188" s="467"/>
      <c r="Z188" s="467"/>
    </row>
    <row r="189" spans="1:26" ht="15.75" customHeight="1">
      <c r="A189" s="409"/>
      <c r="B189" s="409"/>
      <c r="C189" s="409"/>
      <c r="D189" s="409"/>
      <c r="E189" s="409"/>
      <c r="F189" s="409"/>
      <c r="G189" s="409"/>
      <c r="H189" s="409"/>
      <c r="I189" s="409"/>
      <c r="J189" s="409"/>
      <c r="K189" s="409"/>
      <c r="L189" s="409"/>
      <c r="M189" s="409"/>
      <c r="N189" s="409"/>
      <c r="O189" s="467"/>
      <c r="P189" s="467"/>
      <c r="Q189" s="467"/>
      <c r="R189" s="467"/>
      <c r="S189" s="467"/>
      <c r="T189" s="467"/>
      <c r="U189" s="467"/>
      <c r="V189" s="467"/>
      <c r="W189" s="467"/>
      <c r="X189" s="467"/>
      <c r="Y189" s="467"/>
      <c r="Z189" s="467"/>
    </row>
    <row r="190" spans="1:26" ht="15.75" customHeight="1">
      <c r="A190" s="409"/>
      <c r="B190" s="409"/>
      <c r="C190" s="409"/>
      <c r="D190" s="409"/>
      <c r="E190" s="409"/>
      <c r="F190" s="409"/>
      <c r="G190" s="409"/>
      <c r="H190" s="409"/>
      <c r="I190" s="409"/>
      <c r="J190" s="409"/>
      <c r="K190" s="409"/>
      <c r="L190" s="409"/>
      <c r="M190" s="409"/>
      <c r="N190" s="409"/>
      <c r="O190" s="467"/>
      <c r="P190" s="467"/>
      <c r="Q190" s="467"/>
      <c r="R190" s="467"/>
      <c r="S190" s="467"/>
      <c r="T190" s="467"/>
      <c r="U190" s="467"/>
      <c r="V190" s="467"/>
      <c r="W190" s="467"/>
      <c r="X190" s="467"/>
      <c r="Y190" s="467"/>
      <c r="Z190" s="467"/>
    </row>
    <row r="191" spans="1:26" ht="15.75" customHeight="1">
      <c r="A191" s="409"/>
      <c r="B191" s="409"/>
      <c r="C191" s="409"/>
      <c r="D191" s="409"/>
      <c r="E191" s="409"/>
      <c r="F191" s="409"/>
      <c r="G191" s="409"/>
      <c r="H191" s="409"/>
      <c r="I191" s="409"/>
      <c r="J191" s="409"/>
      <c r="K191" s="409"/>
      <c r="L191" s="409"/>
      <c r="M191" s="409"/>
      <c r="N191" s="409"/>
      <c r="O191" s="467"/>
      <c r="P191" s="467"/>
      <c r="Q191" s="467"/>
      <c r="R191" s="467"/>
      <c r="S191" s="467"/>
      <c r="T191" s="467"/>
      <c r="U191" s="467"/>
      <c r="V191" s="467"/>
      <c r="W191" s="467"/>
      <c r="X191" s="467"/>
      <c r="Y191" s="467"/>
      <c r="Z191" s="467"/>
    </row>
    <row r="192" spans="1:26" ht="15.75" customHeight="1">
      <c r="A192" s="409"/>
      <c r="B192" s="409"/>
      <c r="C192" s="409"/>
      <c r="D192" s="409"/>
      <c r="E192" s="409"/>
      <c r="F192" s="409"/>
      <c r="G192" s="409"/>
      <c r="H192" s="409"/>
      <c r="I192" s="409"/>
      <c r="J192" s="409"/>
      <c r="K192" s="409"/>
      <c r="L192" s="409"/>
      <c r="M192" s="409"/>
      <c r="N192" s="409"/>
      <c r="O192" s="467"/>
      <c r="P192" s="467"/>
      <c r="Q192" s="467"/>
      <c r="R192" s="467"/>
      <c r="S192" s="467"/>
      <c r="T192" s="467"/>
      <c r="U192" s="467"/>
      <c r="V192" s="467"/>
      <c r="W192" s="467"/>
      <c r="X192" s="467"/>
      <c r="Y192" s="467"/>
      <c r="Z192" s="467"/>
    </row>
    <row r="193" spans="1:26" ht="15.75" customHeight="1">
      <c r="A193" s="409"/>
      <c r="B193" s="409"/>
      <c r="C193" s="409"/>
      <c r="D193" s="409"/>
      <c r="E193" s="409"/>
      <c r="F193" s="409"/>
      <c r="G193" s="409"/>
      <c r="H193" s="409"/>
      <c r="I193" s="409"/>
      <c r="J193" s="409"/>
      <c r="K193" s="409"/>
      <c r="L193" s="409"/>
      <c r="M193" s="409"/>
      <c r="N193" s="409"/>
      <c r="O193" s="467"/>
      <c r="P193" s="467"/>
      <c r="Q193" s="467"/>
      <c r="R193" s="467"/>
      <c r="S193" s="467"/>
      <c r="T193" s="467"/>
      <c r="U193" s="467"/>
      <c r="V193" s="467"/>
      <c r="W193" s="467"/>
      <c r="X193" s="467"/>
      <c r="Y193" s="467"/>
      <c r="Z193" s="467"/>
    </row>
    <row r="194" spans="1:26" ht="15.75" customHeight="1">
      <c r="A194" s="409"/>
      <c r="B194" s="409"/>
      <c r="C194" s="409"/>
      <c r="D194" s="409"/>
      <c r="E194" s="409"/>
      <c r="F194" s="409"/>
      <c r="G194" s="409"/>
      <c r="H194" s="409"/>
      <c r="I194" s="409"/>
      <c r="J194" s="409"/>
      <c r="K194" s="409"/>
      <c r="L194" s="409"/>
      <c r="M194" s="409"/>
      <c r="N194" s="409"/>
      <c r="O194" s="467"/>
      <c r="P194" s="467"/>
      <c r="Q194" s="467"/>
      <c r="R194" s="467"/>
      <c r="S194" s="467"/>
      <c r="T194" s="467"/>
      <c r="U194" s="467"/>
      <c r="V194" s="467"/>
      <c r="W194" s="467"/>
      <c r="X194" s="467"/>
      <c r="Y194" s="467"/>
      <c r="Z194" s="467"/>
    </row>
    <row r="195" spans="1:26" ht="15.75" customHeight="1">
      <c r="A195" s="409"/>
      <c r="B195" s="409"/>
      <c r="C195" s="409"/>
      <c r="D195" s="409"/>
      <c r="E195" s="409"/>
      <c r="F195" s="409"/>
      <c r="G195" s="409"/>
      <c r="H195" s="409"/>
      <c r="I195" s="409"/>
      <c r="J195" s="409"/>
      <c r="K195" s="409"/>
      <c r="L195" s="409"/>
      <c r="M195" s="409"/>
      <c r="N195" s="409"/>
      <c r="O195" s="467"/>
      <c r="P195" s="467"/>
      <c r="Q195" s="467"/>
      <c r="R195" s="467"/>
      <c r="S195" s="467"/>
      <c r="T195" s="467"/>
      <c r="U195" s="467"/>
      <c r="V195" s="467"/>
      <c r="W195" s="467"/>
      <c r="X195" s="467"/>
      <c r="Y195" s="467"/>
      <c r="Z195" s="467"/>
    </row>
    <row r="196" spans="1:26" ht="15.75" customHeight="1">
      <c r="A196" s="409"/>
      <c r="B196" s="409"/>
      <c r="C196" s="409"/>
      <c r="D196" s="409"/>
      <c r="E196" s="409"/>
      <c r="F196" s="409"/>
      <c r="G196" s="409"/>
      <c r="H196" s="409"/>
      <c r="I196" s="409"/>
      <c r="J196" s="409"/>
      <c r="K196" s="409"/>
      <c r="L196" s="409"/>
      <c r="M196" s="409"/>
      <c r="N196" s="409"/>
      <c r="O196" s="467"/>
      <c r="P196" s="467"/>
      <c r="Q196" s="467"/>
      <c r="R196" s="467"/>
      <c r="S196" s="467"/>
      <c r="T196" s="467"/>
      <c r="U196" s="467"/>
      <c r="V196" s="467"/>
      <c r="W196" s="467"/>
      <c r="X196" s="467"/>
      <c r="Y196" s="467"/>
      <c r="Z196" s="467"/>
    </row>
    <row r="197" spans="1:26" ht="15.75" customHeight="1">
      <c r="A197" s="409"/>
      <c r="B197" s="409"/>
      <c r="C197" s="409"/>
      <c r="D197" s="409"/>
      <c r="E197" s="409"/>
      <c r="F197" s="409"/>
      <c r="G197" s="409"/>
      <c r="H197" s="409"/>
      <c r="I197" s="409"/>
      <c r="J197" s="409"/>
      <c r="K197" s="409"/>
      <c r="L197" s="409"/>
      <c r="M197" s="409"/>
      <c r="N197" s="409"/>
      <c r="O197" s="467"/>
      <c r="P197" s="467"/>
      <c r="Q197" s="467"/>
      <c r="R197" s="467"/>
      <c r="S197" s="467"/>
      <c r="T197" s="467"/>
      <c r="U197" s="467"/>
      <c r="V197" s="467"/>
      <c r="W197" s="467"/>
      <c r="X197" s="467"/>
      <c r="Y197" s="467"/>
      <c r="Z197" s="467"/>
    </row>
    <row r="198" spans="1:26" ht="15.75" customHeight="1">
      <c r="A198" s="409"/>
      <c r="B198" s="409"/>
      <c r="C198" s="409"/>
      <c r="D198" s="409"/>
      <c r="E198" s="409"/>
      <c r="F198" s="409"/>
      <c r="G198" s="409"/>
      <c r="H198" s="409"/>
      <c r="I198" s="409"/>
      <c r="J198" s="409"/>
      <c r="K198" s="409"/>
      <c r="L198" s="409"/>
      <c r="M198" s="409"/>
      <c r="N198" s="409"/>
      <c r="O198" s="467"/>
      <c r="P198" s="467"/>
      <c r="Q198" s="467"/>
      <c r="R198" s="467"/>
      <c r="S198" s="467"/>
      <c r="T198" s="467"/>
      <c r="U198" s="467"/>
      <c r="V198" s="467"/>
      <c r="W198" s="467"/>
      <c r="X198" s="467"/>
      <c r="Y198" s="467"/>
      <c r="Z198" s="467"/>
    </row>
    <row r="199" spans="1:26" ht="15.75" customHeight="1">
      <c r="A199" s="409"/>
      <c r="B199" s="409"/>
      <c r="C199" s="409"/>
      <c r="D199" s="409"/>
      <c r="E199" s="409"/>
      <c r="F199" s="409"/>
      <c r="G199" s="409"/>
      <c r="H199" s="409"/>
      <c r="I199" s="409"/>
      <c r="J199" s="409"/>
      <c r="K199" s="409"/>
      <c r="L199" s="409"/>
      <c r="M199" s="409"/>
      <c r="N199" s="409"/>
      <c r="O199" s="467"/>
      <c r="P199" s="467"/>
      <c r="Q199" s="467"/>
      <c r="R199" s="467"/>
      <c r="S199" s="467"/>
      <c r="T199" s="467"/>
      <c r="U199" s="467"/>
      <c r="V199" s="467"/>
      <c r="W199" s="467"/>
      <c r="X199" s="467"/>
      <c r="Y199" s="467"/>
      <c r="Z199" s="467"/>
    </row>
    <row r="200" spans="1:26" ht="15.75" customHeight="1">
      <c r="A200" s="409"/>
      <c r="B200" s="409"/>
      <c r="C200" s="409"/>
      <c r="D200" s="409"/>
      <c r="E200" s="409"/>
      <c r="F200" s="409"/>
      <c r="G200" s="409"/>
      <c r="H200" s="409"/>
      <c r="I200" s="409"/>
      <c r="J200" s="409"/>
      <c r="K200" s="409"/>
      <c r="L200" s="409"/>
      <c r="M200" s="409"/>
      <c r="N200" s="409"/>
      <c r="O200" s="467"/>
      <c r="P200" s="467"/>
      <c r="Q200" s="467"/>
      <c r="R200" s="467"/>
      <c r="S200" s="467"/>
      <c r="T200" s="467"/>
      <c r="U200" s="467"/>
      <c r="V200" s="467"/>
      <c r="W200" s="467"/>
      <c r="X200" s="467"/>
      <c r="Y200" s="467"/>
      <c r="Z200" s="467"/>
    </row>
    <row r="201" spans="1:26" ht="15.75" customHeight="1">
      <c r="A201" s="409"/>
      <c r="B201" s="409"/>
      <c r="C201" s="409"/>
      <c r="D201" s="409"/>
      <c r="E201" s="409"/>
      <c r="F201" s="409"/>
      <c r="G201" s="409"/>
      <c r="H201" s="409"/>
      <c r="I201" s="409"/>
      <c r="J201" s="409"/>
      <c r="K201" s="409"/>
      <c r="L201" s="409"/>
      <c r="M201" s="409"/>
      <c r="N201" s="409"/>
      <c r="O201" s="467"/>
      <c r="P201" s="467"/>
      <c r="Q201" s="467"/>
      <c r="R201" s="467"/>
      <c r="S201" s="467"/>
      <c r="T201" s="467"/>
      <c r="U201" s="467"/>
      <c r="V201" s="467"/>
      <c r="W201" s="467"/>
      <c r="X201" s="467"/>
      <c r="Y201" s="467"/>
      <c r="Z201" s="467"/>
    </row>
    <row r="202" spans="1:26" ht="15.75" customHeight="1">
      <c r="A202" s="409"/>
      <c r="B202" s="409"/>
      <c r="C202" s="409"/>
      <c r="D202" s="409"/>
      <c r="E202" s="409"/>
      <c r="F202" s="409"/>
      <c r="G202" s="409"/>
      <c r="H202" s="409"/>
      <c r="I202" s="409"/>
      <c r="J202" s="409"/>
      <c r="K202" s="409"/>
      <c r="L202" s="409"/>
      <c r="M202" s="409"/>
      <c r="N202" s="409"/>
      <c r="O202" s="467"/>
      <c r="P202" s="467"/>
      <c r="Q202" s="467"/>
      <c r="R202" s="467"/>
      <c r="S202" s="467"/>
      <c r="T202" s="467"/>
      <c r="U202" s="467"/>
      <c r="V202" s="467"/>
      <c r="W202" s="467"/>
      <c r="X202" s="467"/>
      <c r="Y202" s="467"/>
      <c r="Z202" s="467"/>
    </row>
    <row r="203" spans="1:26" ht="15.75" customHeight="1">
      <c r="A203" s="409"/>
      <c r="B203" s="409"/>
      <c r="C203" s="409"/>
      <c r="D203" s="409"/>
      <c r="E203" s="409"/>
      <c r="F203" s="409"/>
      <c r="G203" s="409"/>
      <c r="H203" s="409"/>
      <c r="I203" s="409"/>
      <c r="J203" s="409"/>
      <c r="K203" s="409"/>
      <c r="L203" s="409"/>
      <c r="M203" s="409"/>
      <c r="N203" s="409"/>
      <c r="O203" s="467"/>
      <c r="P203" s="467"/>
      <c r="Q203" s="467"/>
      <c r="R203" s="467"/>
      <c r="S203" s="467"/>
      <c r="T203" s="467"/>
      <c r="U203" s="467"/>
      <c r="V203" s="467"/>
      <c r="W203" s="467"/>
      <c r="X203" s="467"/>
      <c r="Y203" s="467"/>
      <c r="Z203" s="467"/>
    </row>
    <row r="204" spans="1:26" ht="15.75" customHeight="1">
      <c r="A204" s="409"/>
      <c r="B204" s="409"/>
      <c r="C204" s="409"/>
      <c r="D204" s="409"/>
      <c r="E204" s="409"/>
      <c r="F204" s="409"/>
      <c r="G204" s="409"/>
      <c r="H204" s="409"/>
      <c r="I204" s="409"/>
      <c r="J204" s="409"/>
      <c r="K204" s="409"/>
      <c r="L204" s="409"/>
      <c r="M204" s="409"/>
      <c r="N204" s="409"/>
      <c r="O204" s="467"/>
      <c r="P204" s="467"/>
      <c r="Q204" s="467"/>
      <c r="R204" s="467"/>
      <c r="S204" s="467"/>
      <c r="T204" s="467"/>
      <c r="U204" s="467"/>
      <c r="V204" s="467"/>
      <c r="W204" s="467"/>
      <c r="X204" s="467"/>
      <c r="Y204" s="467"/>
      <c r="Z204" s="467"/>
    </row>
    <row r="205" spans="1:26" ht="15.75" customHeight="1">
      <c r="A205" s="409"/>
      <c r="B205" s="409"/>
      <c r="C205" s="409"/>
      <c r="D205" s="409"/>
      <c r="E205" s="409"/>
      <c r="F205" s="409"/>
      <c r="G205" s="409"/>
      <c r="H205" s="409"/>
      <c r="I205" s="409"/>
      <c r="J205" s="409"/>
      <c r="K205" s="409"/>
      <c r="L205" s="409"/>
      <c r="M205" s="409"/>
      <c r="N205" s="409"/>
      <c r="O205" s="467"/>
      <c r="P205" s="467"/>
      <c r="Q205" s="467"/>
      <c r="R205" s="467"/>
      <c r="S205" s="467"/>
      <c r="T205" s="467"/>
      <c r="U205" s="467"/>
      <c r="V205" s="467"/>
      <c r="W205" s="467"/>
      <c r="X205" s="467"/>
      <c r="Y205" s="467"/>
      <c r="Z205" s="467"/>
    </row>
    <row r="206" spans="1:26" ht="15.75" customHeight="1">
      <c r="A206" s="409"/>
      <c r="B206" s="409"/>
      <c r="C206" s="409"/>
      <c r="D206" s="409"/>
      <c r="E206" s="409"/>
      <c r="F206" s="409"/>
      <c r="G206" s="409"/>
      <c r="H206" s="409"/>
      <c r="I206" s="409"/>
      <c r="J206" s="409"/>
      <c r="K206" s="409"/>
      <c r="L206" s="409"/>
      <c r="M206" s="409"/>
      <c r="N206" s="409"/>
      <c r="O206" s="467"/>
      <c r="P206" s="467"/>
      <c r="Q206" s="467"/>
      <c r="R206" s="467"/>
      <c r="S206" s="467"/>
      <c r="T206" s="467"/>
      <c r="U206" s="467"/>
      <c r="V206" s="467"/>
      <c r="W206" s="467"/>
      <c r="X206" s="467"/>
      <c r="Y206" s="467"/>
      <c r="Z206" s="467"/>
    </row>
    <row r="207" spans="1:26" ht="15.75" customHeight="1">
      <c r="A207" s="409"/>
      <c r="B207" s="409"/>
      <c r="C207" s="409"/>
      <c r="D207" s="409"/>
      <c r="E207" s="409"/>
      <c r="F207" s="409"/>
      <c r="G207" s="409"/>
      <c r="H207" s="409"/>
      <c r="I207" s="409"/>
      <c r="J207" s="409"/>
      <c r="K207" s="409"/>
      <c r="L207" s="409"/>
      <c r="M207" s="409"/>
      <c r="N207" s="409"/>
      <c r="O207" s="467"/>
      <c r="P207" s="467"/>
      <c r="Q207" s="467"/>
      <c r="R207" s="467"/>
      <c r="S207" s="467"/>
      <c r="T207" s="467"/>
      <c r="U207" s="467"/>
      <c r="V207" s="467"/>
      <c r="W207" s="467"/>
      <c r="X207" s="467"/>
      <c r="Y207" s="467"/>
      <c r="Z207" s="467"/>
    </row>
    <row r="208" spans="1:26" ht="15.75" customHeight="1">
      <c r="A208" s="409"/>
      <c r="B208" s="409"/>
      <c r="C208" s="409"/>
      <c r="D208" s="409"/>
      <c r="E208" s="409"/>
      <c r="F208" s="409"/>
      <c r="G208" s="409"/>
      <c r="H208" s="409"/>
      <c r="I208" s="409"/>
      <c r="J208" s="409"/>
      <c r="K208" s="409"/>
      <c r="L208" s="409"/>
      <c r="M208" s="409"/>
      <c r="N208" s="409"/>
      <c r="O208" s="467"/>
      <c r="P208" s="467"/>
      <c r="Q208" s="467"/>
      <c r="R208" s="467"/>
      <c r="S208" s="467"/>
      <c r="T208" s="467"/>
      <c r="U208" s="467"/>
      <c r="V208" s="467"/>
      <c r="W208" s="467"/>
      <c r="X208" s="467"/>
      <c r="Y208" s="467"/>
      <c r="Z208" s="467"/>
    </row>
    <row r="209" spans="1:26" ht="15.75" customHeight="1">
      <c r="A209" s="409"/>
      <c r="B209" s="409"/>
      <c r="C209" s="409"/>
      <c r="D209" s="409"/>
      <c r="E209" s="409"/>
      <c r="F209" s="409"/>
      <c r="G209" s="409"/>
      <c r="H209" s="409"/>
      <c r="I209" s="409"/>
      <c r="J209" s="409"/>
      <c r="K209" s="409"/>
      <c r="L209" s="409"/>
      <c r="M209" s="409"/>
      <c r="N209" s="409"/>
      <c r="O209" s="467"/>
      <c r="P209" s="467"/>
      <c r="Q209" s="467"/>
      <c r="R209" s="467"/>
      <c r="S209" s="467"/>
      <c r="T209" s="467"/>
      <c r="U209" s="467"/>
      <c r="V209" s="467"/>
      <c r="W209" s="467"/>
      <c r="X209" s="467"/>
      <c r="Y209" s="467"/>
      <c r="Z209" s="467"/>
    </row>
    <row r="210" spans="1:26" ht="15.75" customHeight="1">
      <c r="A210" s="409"/>
      <c r="B210" s="409"/>
      <c r="C210" s="409"/>
      <c r="D210" s="409"/>
      <c r="E210" s="409"/>
      <c r="F210" s="409"/>
      <c r="G210" s="409"/>
      <c r="H210" s="409"/>
      <c r="I210" s="409"/>
      <c r="J210" s="409"/>
      <c r="K210" s="409"/>
      <c r="L210" s="409"/>
      <c r="M210" s="409"/>
      <c r="N210" s="409"/>
      <c r="O210" s="467"/>
      <c r="P210" s="467"/>
      <c r="Q210" s="467"/>
      <c r="R210" s="467"/>
      <c r="S210" s="467"/>
      <c r="T210" s="467"/>
      <c r="U210" s="467"/>
      <c r="V210" s="467"/>
      <c r="W210" s="467"/>
      <c r="X210" s="467"/>
      <c r="Y210" s="467"/>
      <c r="Z210" s="467"/>
    </row>
    <row r="211" spans="1:26" ht="15.75" customHeight="1">
      <c r="A211" s="409"/>
      <c r="B211" s="409"/>
      <c r="C211" s="409"/>
      <c r="D211" s="409"/>
      <c r="E211" s="409"/>
      <c r="F211" s="409"/>
      <c r="G211" s="409"/>
      <c r="H211" s="409"/>
      <c r="I211" s="409"/>
      <c r="J211" s="409"/>
      <c r="K211" s="409"/>
      <c r="L211" s="409"/>
      <c r="M211" s="409"/>
      <c r="N211" s="409"/>
      <c r="O211" s="467"/>
      <c r="P211" s="467"/>
      <c r="Q211" s="467"/>
      <c r="R211" s="467"/>
      <c r="S211" s="467"/>
      <c r="T211" s="467"/>
      <c r="U211" s="467"/>
      <c r="V211" s="467"/>
      <c r="W211" s="467"/>
      <c r="X211" s="467"/>
      <c r="Y211" s="467"/>
      <c r="Z211" s="467"/>
    </row>
    <row r="212" spans="1:26" ht="15.75" customHeight="1">
      <c r="A212" s="409"/>
      <c r="B212" s="409"/>
      <c r="C212" s="409"/>
      <c r="D212" s="409"/>
      <c r="E212" s="409"/>
      <c r="F212" s="409"/>
      <c r="G212" s="409"/>
      <c r="H212" s="409"/>
      <c r="I212" s="409"/>
      <c r="J212" s="409"/>
      <c r="K212" s="409"/>
      <c r="L212" s="409"/>
      <c r="M212" s="409"/>
      <c r="N212" s="409"/>
      <c r="O212" s="467"/>
      <c r="P212" s="467"/>
      <c r="Q212" s="467"/>
      <c r="R212" s="467"/>
      <c r="S212" s="467"/>
      <c r="T212" s="467"/>
      <c r="U212" s="467"/>
      <c r="V212" s="467"/>
      <c r="W212" s="467"/>
      <c r="X212" s="467"/>
      <c r="Y212" s="467"/>
      <c r="Z212" s="467"/>
    </row>
    <row r="213" spans="1:26" ht="15.75" customHeight="1">
      <c r="A213" s="409"/>
      <c r="B213" s="409"/>
      <c r="C213" s="409"/>
      <c r="D213" s="409"/>
      <c r="E213" s="409"/>
      <c r="F213" s="409"/>
      <c r="G213" s="409"/>
      <c r="H213" s="409"/>
      <c r="I213" s="409"/>
      <c r="J213" s="409"/>
      <c r="K213" s="409"/>
      <c r="L213" s="409"/>
      <c r="M213" s="409"/>
      <c r="N213" s="409"/>
      <c r="O213" s="467"/>
      <c r="P213" s="467"/>
      <c r="Q213" s="467"/>
      <c r="R213" s="467"/>
      <c r="S213" s="467"/>
      <c r="T213" s="467"/>
      <c r="U213" s="467"/>
      <c r="V213" s="467"/>
      <c r="W213" s="467"/>
      <c r="X213" s="467"/>
      <c r="Y213" s="467"/>
      <c r="Z213" s="467"/>
    </row>
    <row r="214" spans="1:26" ht="15.75" customHeight="1">
      <c r="A214" s="409"/>
      <c r="B214" s="409"/>
      <c r="C214" s="409"/>
      <c r="D214" s="409"/>
      <c r="E214" s="409"/>
      <c r="F214" s="409"/>
      <c r="G214" s="409"/>
      <c r="H214" s="409"/>
      <c r="I214" s="409"/>
      <c r="J214" s="409"/>
      <c r="K214" s="409"/>
      <c r="L214" s="409"/>
      <c r="M214" s="409"/>
      <c r="N214" s="409"/>
      <c r="O214" s="467"/>
      <c r="P214" s="467"/>
      <c r="Q214" s="467"/>
      <c r="R214" s="467"/>
      <c r="S214" s="467"/>
      <c r="T214" s="467"/>
      <c r="U214" s="467"/>
      <c r="V214" s="467"/>
      <c r="W214" s="467"/>
      <c r="X214" s="467"/>
      <c r="Y214" s="467"/>
      <c r="Z214" s="467"/>
    </row>
    <row r="215" spans="1:26" ht="15.75" customHeight="1">
      <c r="A215" s="409"/>
      <c r="B215" s="409"/>
      <c r="C215" s="409"/>
      <c r="D215" s="409"/>
      <c r="E215" s="409"/>
      <c r="F215" s="409"/>
      <c r="G215" s="409"/>
      <c r="H215" s="409"/>
      <c r="I215" s="409"/>
      <c r="J215" s="409"/>
      <c r="K215" s="409"/>
      <c r="L215" s="409"/>
      <c r="M215" s="409"/>
      <c r="N215" s="409"/>
      <c r="O215" s="467"/>
      <c r="P215" s="467"/>
      <c r="Q215" s="467"/>
      <c r="R215" s="467"/>
      <c r="S215" s="467"/>
      <c r="T215" s="467"/>
      <c r="U215" s="467"/>
      <c r="V215" s="467"/>
      <c r="W215" s="467"/>
      <c r="X215" s="467"/>
      <c r="Y215" s="467"/>
      <c r="Z215" s="467"/>
    </row>
    <row r="216" spans="1:26" ht="15.75" customHeight="1">
      <c r="A216" s="409"/>
      <c r="B216" s="409"/>
      <c r="C216" s="409"/>
      <c r="D216" s="409"/>
      <c r="E216" s="409"/>
      <c r="F216" s="409"/>
      <c r="G216" s="409"/>
      <c r="H216" s="409"/>
      <c r="I216" s="409"/>
      <c r="J216" s="409"/>
      <c r="K216" s="409"/>
      <c r="L216" s="409"/>
      <c r="M216" s="409"/>
      <c r="N216" s="409"/>
      <c r="O216" s="467"/>
      <c r="P216" s="467"/>
      <c r="Q216" s="467"/>
      <c r="R216" s="467"/>
      <c r="S216" s="467"/>
      <c r="T216" s="467"/>
      <c r="U216" s="467"/>
      <c r="V216" s="467"/>
      <c r="W216" s="467"/>
      <c r="X216" s="467"/>
      <c r="Y216" s="467"/>
      <c r="Z216" s="467"/>
    </row>
    <row r="217" spans="1:26" ht="15.75" customHeight="1">
      <c r="A217" s="409"/>
      <c r="B217" s="409"/>
      <c r="C217" s="409"/>
      <c r="D217" s="409"/>
      <c r="E217" s="409"/>
      <c r="F217" s="409"/>
      <c r="G217" s="409"/>
      <c r="H217" s="409"/>
      <c r="I217" s="409"/>
      <c r="J217" s="409"/>
      <c r="K217" s="409"/>
      <c r="L217" s="409"/>
      <c r="M217" s="409"/>
      <c r="N217" s="409"/>
      <c r="O217" s="467"/>
      <c r="P217" s="467"/>
      <c r="Q217" s="467"/>
      <c r="R217" s="467"/>
      <c r="S217" s="467"/>
      <c r="T217" s="467"/>
      <c r="U217" s="467"/>
      <c r="V217" s="467"/>
      <c r="W217" s="467"/>
      <c r="X217" s="467"/>
      <c r="Y217" s="467"/>
      <c r="Z217" s="467"/>
    </row>
    <row r="218" spans="1:26" ht="15.75" customHeight="1">
      <c r="A218" s="409"/>
      <c r="B218" s="409"/>
      <c r="C218" s="409"/>
      <c r="D218" s="409"/>
      <c r="E218" s="409"/>
      <c r="F218" s="409"/>
      <c r="G218" s="409"/>
      <c r="H218" s="409"/>
      <c r="I218" s="409"/>
      <c r="J218" s="409"/>
      <c r="K218" s="409"/>
      <c r="L218" s="409"/>
      <c r="M218" s="409"/>
      <c r="N218" s="409"/>
      <c r="O218" s="467"/>
      <c r="P218" s="467"/>
      <c r="Q218" s="467"/>
      <c r="R218" s="467"/>
      <c r="S218" s="467"/>
      <c r="T218" s="467"/>
      <c r="U218" s="467"/>
      <c r="V218" s="467"/>
      <c r="W218" s="467"/>
      <c r="X218" s="467"/>
      <c r="Y218" s="467"/>
      <c r="Z218" s="467"/>
    </row>
    <row r="219" spans="1:26" ht="15.75" customHeight="1">
      <c r="A219" s="409"/>
      <c r="B219" s="409"/>
      <c r="C219" s="409"/>
      <c r="D219" s="409"/>
      <c r="E219" s="409"/>
      <c r="F219" s="409"/>
      <c r="G219" s="409"/>
      <c r="H219" s="409"/>
      <c r="I219" s="409"/>
      <c r="J219" s="409"/>
      <c r="K219" s="409"/>
      <c r="L219" s="409"/>
      <c r="M219" s="409"/>
      <c r="N219" s="409"/>
      <c r="O219" s="467"/>
      <c r="P219" s="467"/>
      <c r="Q219" s="467"/>
      <c r="R219" s="467"/>
      <c r="S219" s="467"/>
      <c r="T219" s="467"/>
      <c r="U219" s="467"/>
      <c r="V219" s="467"/>
      <c r="W219" s="467"/>
      <c r="X219" s="467"/>
      <c r="Y219" s="467"/>
      <c r="Z219" s="467"/>
    </row>
    <row r="220" spans="1:26" ht="15.75" customHeight="1">
      <c r="A220" s="409"/>
      <c r="B220" s="409"/>
      <c r="C220" s="409"/>
      <c r="D220" s="409"/>
      <c r="E220" s="409"/>
      <c r="F220" s="409"/>
      <c r="G220" s="409"/>
      <c r="H220" s="409"/>
      <c r="I220" s="409"/>
      <c r="J220" s="409"/>
      <c r="K220" s="409"/>
      <c r="L220" s="409"/>
      <c r="M220" s="409"/>
      <c r="N220" s="409"/>
      <c r="O220" s="467"/>
      <c r="P220" s="467"/>
      <c r="Q220" s="467"/>
      <c r="R220" s="467"/>
      <c r="S220" s="467"/>
      <c r="T220" s="467"/>
      <c r="U220" s="467"/>
      <c r="V220" s="467"/>
      <c r="W220" s="467"/>
      <c r="X220" s="467"/>
      <c r="Y220" s="467"/>
      <c r="Z220" s="467"/>
    </row>
    <row r="221" spans="1:26" ht="15.75" customHeight="1">
      <c r="A221" s="409"/>
      <c r="B221" s="409"/>
      <c r="C221" s="409"/>
      <c r="D221" s="409"/>
      <c r="E221" s="409"/>
      <c r="F221" s="409"/>
      <c r="G221" s="409"/>
      <c r="H221" s="409"/>
      <c r="I221" s="409"/>
      <c r="J221" s="409"/>
      <c r="K221" s="409"/>
      <c r="L221" s="409"/>
      <c r="M221" s="409"/>
      <c r="N221" s="409"/>
      <c r="O221" s="467"/>
      <c r="P221" s="467"/>
      <c r="Q221" s="467"/>
      <c r="R221" s="467"/>
      <c r="S221" s="467"/>
      <c r="T221" s="467"/>
      <c r="U221" s="467"/>
      <c r="V221" s="467"/>
      <c r="W221" s="467"/>
      <c r="X221" s="467"/>
      <c r="Y221" s="467"/>
      <c r="Z221" s="467"/>
    </row>
    <row r="222" spans="1:26" ht="15.75" customHeight="1">
      <c r="A222" s="409"/>
      <c r="B222" s="409"/>
      <c r="C222" s="409"/>
      <c r="D222" s="409"/>
      <c r="E222" s="409"/>
      <c r="F222" s="409"/>
      <c r="G222" s="409"/>
      <c r="H222" s="409"/>
      <c r="I222" s="409"/>
      <c r="J222" s="409"/>
      <c r="K222" s="409"/>
      <c r="L222" s="409"/>
      <c r="M222" s="409"/>
      <c r="N222" s="409"/>
      <c r="O222" s="467"/>
      <c r="P222" s="467"/>
      <c r="Q222" s="467"/>
      <c r="R222" s="467"/>
      <c r="S222" s="467"/>
      <c r="T222" s="467"/>
      <c r="U222" s="467"/>
      <c r="V222" s="467"/>
      <c r="W222" s="467"/>
      <c r="X222" s="467"/>
      <c r="Y222" s="467"/>
      <c r="Z222" s="467"/>
    </row>
    <row r="223" spans="1:26" ht="15.75" customHeight="1">
      <c r="A223" s="409"/>
      <c r="B223" s="409"/>
      <c r="C223" s="409"/>
      <c r="D223" s="409"/>
      <c r="E223" s="409"/>
      <c r="F223" s="409"/>
      <c r="G223" s="409"/>
      <c r="H223" s="409"/>
      <c r="I223" s="409"/>
      <c r="J223" s="409"/>
      <c r="K223" s="409"/>
      <c r="L223" s="409"/>
      <c r="M223" s="409"/>
      <c r="N223" s="409"/>
      <c r="O223" s="467"/>
      <c r="P223" s="467"/>
      <c r="Q223" s="467"/>
      <c r="R223" s="467"/>
      <c r="S223" s="467"/>
      <c r="T223" s="467"/>
      <c r="U223" s="467"/>
      <c r="V223" s="467"/>
      <c r="W223" s="467"/>
      <c r="X223" s="467"/>
      <c r="Y223" s="467"/>
      <c r="Z223" s="467"/>
    </row>
    <row r="224" spans="1:26" ht="15.75" customHeight="1">
      <c r="A224" s="409"/>
      <c r="B224" s="409"/>
      <c r="C224" s="409"/>
      <c r="D224" s="409"/>
      <c r="E224" s="409"/>
      <c r="F224" s="409"/>
      <c r="G224" s="409"/>
      <c r="H224" s="409"/>
      <c r="I224" s="409"/>
      <c r="J224" s="409"/>
      <c r="K224" s="409"/>
      <c r="L224" s="409"/>
      <c r="M224" s="409"/>
      <c r="N224" s="409"/>
      <c r="O224" s="467"/>
      <c r="P224" s="467"/>
      <c r="Q224" s="467"/>
      <c r="R224" s="467"/>
      <c r="S224" s="467"/>
      <c r="T224" s="467"/>
      <c r="U224" s="467"/>
      <c r="V224" s="467"/>
      <c r="W224" s="467"/>
      <c r="X224" s="467"/>
      <c r="Y224" s="467"/>
      <c r="Z224" s="467"/>
    </row>
    <row r="225" spans="1:26" ht="15.75" customHeight="1">
      <c r="A225" s="409"/>
      <c r="B225" s="409"/>
      <c r="C225" s="409"/>
      <c r="D225" s="409"/>
      <c r="E225" s="409"/>
      <c r="F225" s="409"/>
      <c r="G225" s="409"/>
      <c r="H225" s="409"/>
      <c r="I225" s="409"/>
      <c r="J225" s="409"/>
      <c r="K225" s="409"/>
      <c r="L225" s="409"/>
      <c r="M225" s="409"/>
      <c r="N225" s="409"/>
      <c r="O225" s="467"/>
      <c r="P225" s="467"/>
      <c r="Q225" s="467"/>
      <c r="R225" s="467"/>
      <c r="S225" s="467"/>
      <c r="T225" s="467"/>
      <c r="U225" s="467"/>
      <c r="V225" s="467"/>
      <c r="W225" s="467"/>
      <c r="X225" s="467"/>
      <c r="Y225" s="467"/>
      <c r="Z225" s="467"/>
    </row>
    <row r="226" spans="1:26" ht="15.75" customHeight="1">
      <c r="A226" s="409"/>
      <c r="B226" s="409"/>
      <c r="C226" s="409"/>
      <c r="D226" s="409"/>
      <c r="E226" s="409"/>
      <c r="F226" s="409"/>
      <c r="G226" s="409"/>
      <c r="H226" s="409"/>
      <c r="I226" s="409"/>
      <c r="J226" s="409"/>
      <c r="K226" s="409"/>
      <c r="L226" s="409"/>
      <c r="M226" s="409"/>
      <c r="N226" s="409"/>
      <c r="O226" s="467"/>
      <c r="P226" s="467"/>
      <c r="Q226" s="467"/>
      <c r="R226" s="467"/>
      <c r="S226" s="467"/>
      <c r="T226" s="467"/>
      <c r="U226" s="467"/>
      <c r="V226" s="467"/>
      <c r="W226" s="467"/>
      <c r="X226" s="467"/>
      <c r="Y226" s="467"/>
      <c r="Z226" s="467"/>
    </row>
    <row r="227" spans="1:26" ht="15.75" customHeight="1">
      <c r="A227" s="409"/>
      <c r="B227" s="409"/>
      <c r="C227" s="409"/>
      <c r="D227" s="409"/>
      <c r="E227" s="409"/>
      <c r="F227" s="409"/>
      <c r="G227" s="409"/>
      <c r="H227" s="409"/>
      <c r="I227" s="409"/>
      <c r="J227" s="409"/>
      <c r="K227" s="409"/>
      <c r="L227" s="409"/>
      <c r="M227" s="409"/>
      <c r="N227" s="409"/>
      <c r="O227" s="467"/>
      <c r="P227" s="467"/>
      <c r="Q227" s="467"/>
      <c r="R227" s="467"/>
      <c r="S227" s="467"/>
      <c r="T227" s="467"/>
      <c r="U227" s="467"/>
      <c r="V227" s="467"/>
      <c r="W227" s="467"/>
      <c r="X227" s="467"/>
      <c r="Y227" s="467"/>
      <c r="Z227" s="467"/>
    </row>
    <row r="228" spans="1:26" ht="15.75" customHeight="1">
      <c r="A228" s="409"/>
      <c r="B228" s="409"/>
      <c r="C228" s="409"/>
      <c r="D228" s="409"/>
      <c r="E228" s="409"/>
      <c r="F228" s="409"/>
      <c r="G228" s="409"/>
      <c r="H228" s="409"/>
      <c r="I228" s="409"/>
      <c r="J228" s="409"/>
      <c r="K228" s="409"/>
      <c r="L228" s="409"/>
      <c r="M228" s="409"/>
      <c r="N228" s="409"/>
      <c r="O228" s="467"/>
      <c r="P228" s="467"/>
      <c r="Q228" s="467"/>
      <c r="R228" s="467"/>
      <c r="S228" s="467"/>
      <c r="T228" s="467"/>
      <c r="U228" s="467"/>
      <c r="V228" s="467"/>
      <c r="W228" s="467"/>
      <c r="X228" s="467"/>
      <c r="Y228" s="467"/>
      <c r="Z228" s="467"/>
    </row>
    <row r="229" spans="1:26" ht="15.75" customHeight="1">
      <c r="A229" s="409"/>
      <c r="B229" s="409"/>
      <c r="C229" s="409"/>
      <c r="D229" s="409"/>
      <c r="E229" s="409"/>
      <c r="F229" s="409"/>
      <c r="G229" s="409"/>
      <c r="H229" s="409"/>
      <c r="I229" s="409"/>
      <c r="J229" s="409"/>
      <c r="K229" s="409"/>
      <c r="L229" s="409"/>
      <c r="M229" s="409"/>
      <c r="N229" s="409"/>
      <c r="O229" s="467"/>
      <c r="P229" s="467"/>
      <c r="Q229" s="467"/>
      <c r="R229" s="467"/>
      <c r="S229" s="467"/>
      <c r="T229" s="467"/>
      <c r="U229" s="467"/>
      <c r="V229" s="467"/>
      <c r="W229" s="467"/>
      <c r="X229" s="467"/>
      <c r="Y229" s="467"/>
      <c r="Z229" s="467"/>
    </row>
    <row r="230" spans="1:26" ht="15.75" customHeight="1">
      <c r="A230" s="409"/>
      <c r="B230" s="409"/>
      <c r="C230" s="409"/>
      <c r="D230" s="409"/>
      <c r="E230" s="409"/>
      <c r="F230" s="409"/>
      <c r="G230" s="409"/>
      <c r="H230" s="409"/>
      <c r="I230" s="409"/>
      <c r="J230" s="409"/>
      <c r="K230" s="409"/>
      <c r="L230" s="409"/>
      <c r="M230" s="409"/>
      <c r="N230" s="409"/>
      <c r="O230" s="467"/>
      <c r="P230" s="467"/>
      <c r="Q230" s="467"/>
      <c r="R230" s="467"/>
      <c r="S230" s="467"/>
      <c r="T230" s="467"/>
      <c r="U230" s="467"/>
      <c r="V230" s="467"/>
      <c r="W230" s="467"/>
      <c r="X230" s="467"/>
      <c r="Y230" s="467"/>
      <c r="Z230" s="467"/>
    </row>
    <row r="231" spans="1:26" ht="15.75" customHeight="1">
      <c r="A231" s="409"/>
      <c r="B231" s="409"/>
      <c r="C231" s="409"/>
      <c r="D231" s="409"/>
      <c r="E231" s="409"/>
      <c r="F231" s="409"/>
      <c r="G231" s="409"/>
      <c r="H231" s="409"/>
      <c r="I231" s="409"/>
      <c r="J231" s="409"/>
      <c r="K231" s="409"/>
      <c r="L231" s="409"/>
      <c r="M231" s="409"/>
      <c r="N231" s="409"/>
      <c r="O231" s="467"/>
      <c r="P231" s="467"/>
      <c r="Q231" s="467"/>
      <c r="R231" s="467"/>
      <c r="S231" s="467"/>
      <c r="T231" s="467"/>
      <c r="U231" s="467"/>
      <c r="V231" s="467"/>
      <c r="W231" s="467"/>
      <c r="X231" s="467"/>
      <c r="Y231" s="467"/>
      <c r="Z231" s="467"/>
    </row>
    <row r="232" spans="1:26" ht="15.75" customHeight="1">
      <c r="A232" s="409"/>
      <c r="B232" s="409"/>
      <c r="C232" s="409"/>
      <c r="D232" s="409"/>
      <c r="E232" s="409"/>
      <c r="F232" s="409"/>
      <c r="G232" s="409"/>
      <c r="H232" s="409"/>
      <c r="I232" s="409"/>
      <c r="J232" s="409"/>
      <c r="K232" s="409"/>
      <c r="L232" s="409"/>
      <c r="M232" s="409"/>
      <c r="N232" s="409"/>
      <c r="O232" s="467"/>
      <c r="P232" s="467"/>
      <c r="Q232" s="467"/>
      <c r="R232" s="467"/>
      <c r="S232" s="467"/>
      <c r="T232" s="467"/>
      <c r="U232" s="467"/>
      <c r="V232" s="467"/>
      <c r="W232" s="467"/>
      <c r="X232" s="467"/>
      <c r="Y232" s="467"/>
      <c r="Z232" s="467"/>
    </row>
    <row r="233" spans="1:26" ht="15.75" customHeight="1">
      <c r="A233" s="409"/>
      <c r="B233" s="409"/>
      <c r="C233" s="409"/>
      <c r="D233" s="409"/>
      <c r="E233" s="409"/>
      <c r="F233" s="409"/>
      <c r="G233" s="409"/>
      <c r="H233" s="409"/>
      <c r="I233" s="409"/>
      <c r="J233" s="409"/>
      <c r="K233" s="409"/>
      <c r="L233" s="409"/>
      <c r="M233" s="409"/>
      <c r="N233" s="409"/>
      <c r="O233" s="467"/>
      <c r="P233" s="467"/>
      <c r="Q233" s="467"/>
      <c r="R233" s="467"/>
      <c r="S233" s="467"/>
      <c r="T233" s="467"/>
      <c r="U233" s="467"/>
      <c r="V233" s="467"/>
      <c r="W233" s="467"/>
      <c r="X233" s="467"/>
      <c r="Y233" s="467"/>
      <c r="Z233" s="467"/>
    </row>
    <row r="234" spans="1:26" ht="15.75" customHeight="1">
      <c r="A234" s="409"/>
      <c r="B234" s="409"/>
      <c r="C234" s="409"/>
      <c r="D234" s="409"/>
      <c r="E234" s="409"/>
      <c r="F234" s="409"/>
      <c r="G234" s="409"/>
      <c r="H234" s="409"/>
      <c r="I234" s="409"/>
      <c r="J234" s="409"/>
      <c r="K234" s="409"/>
      <c r="L234" s="409"/>
      <c r="M234" s="409"/>
      <c r="N234" s="409"/>
      <c r="O234" s="467"/>
      <c r="P234" s="467"/>
      <c r="Q234" s="467"/>
      <c r="R234" s="467"/>
      <c r="S234" s="467"/>
      <c r="T234" s="467"/>
      <c r="U234" s="467"/>
      <c r="V234" s="467"/>
      <c r="W234" s="467"/>
      <c r="X234" s="467"/>
      <c r="Y234" s="467"/>
      <c r="Z234" s="467"/>
    </row>
    <row r="235" spans="1:26" ht="15.75" customHeight="1">
      <c r="A235" s="409"/>
      <c r="B235" s="409"/>
      <c r="C235" s="409"/>
      <c r="D235" s="409"/>
      <c r="E235" s="409"/>
      <c r="F235" s="409"/>
      <c r="G235" s="409"/>
      <c r="H235" s="409"/>
      <c r="I235" s="409"/>
      <c r="J235" s="409"/>
      <c r="K235" s="409"/>
      <c r="L235" s="409"/>
      <c r="M235" s="409"/>
      <c r="N235" s="409"/>
      <c r="O235" s="467"/>
      <c r="P235" s="467"/>
      <c r="Q235" s="467"/>
      <c r="R235" s="467"/>
      <c r="S235" s="467"/>
      <c r="T235" s="467"/>
      <c r="U235" s="467"/>
      <c r="V235" s="467"/>
      <c r="W235" s="467"/>
      <c r="X235" s="467"/>
      <c r="Y235" s="467"/>
      <c r="Z235" s="467"/>
    </row>
    <row r="236" spans="1:26" ht="15.75" customHeight="1">
      <c r="A236" s="409"/>
      <c r="B236" s="409"/>
      <c r="C236" s="409"/>
      <c r="D236" s="409"/>
      <c r="E236" s="409"/>
      <c r="F236" s="409"/>
      <c r="G236" s="409"/>
      <c r="H236" s="409"/>
      <c r="I236" s="409"/>
      <c r="J236" s="409"/>
      <c r="K236" s="409"/>
      <c r="L236" s="409"/>
      <c r="M236" s="409"/>
      <c r="N236" s="409"/>
      <c r="O236" s="467"/>
      <c r="P236" s="467"/>
      <c r="Q236" s="467"/>
      <c r="R236" s="467"/>
      <c r="S236" s="467"/>
      <c r="T236" s="467"/>
      <c r="U236" s="467"/>
      <c r="V236" s="467"/>
      <c r="W236" s="467"/>
      <c r="X236" s="467"/>
      <c r="Y236" s="467"/>
      <c r="Z236" s="467"/>
    </row>
    <row r="237" spans="1:26" ht="15.75" customHeight="1">
      <c r="A237" s="409"/>
      <c r="B237" s="409"/>
      <c r="C237" s="409"/>
      <c r="D237" s="409"/>
      <c r="E237" s="409"/>
      <c r="F237" s="409"/>
      <c r="G237" s="409"/>
      <c r="H237" s="409"/>
      <c r="I237" s="409"/>
      <c r="J237" s="409"/>
      <c r="K237" s="409"/>
      <c r="L237" s="409"/>
      <c r="M237" s="409"/>
      <c r="N237" s="409"/>
      <c r="O237" s="467"/>
      <c r="P237" s="467"/>
      <c r="Q237" s="467"/>
      <c r="R237" s="467"/>
      <c r="S237" s="467"/>
      <c r="T237" s="467"/>
      <c r="U237" s="467"/>
      <c r="V237" s="467"/>
      <c r="W237" s="467"/>
      <c r="X237" s="467"/>
      <c r="Y237" s="467"/>
      <c r="Z237" s="467"/>
    </row>
    <row r="238" spans="1:26" ht="15.75" customHeight="1">
      <c r="A238" s="409"/>
      <c r="B238" s="409"/>
      <c r="C238" s="409"/>
      <c r="D238" s="409"/>
      <c r="E238" s="409"/>
      <c r="F238" s="409"/>
      <c r="G238" s="409"/>
      <c r="H238" s="409"/>
      <c r="I238" s="409"/>
      <c r="J238" s="409"/>
      <c r="K238" s="409"/>
      <c r="L238" s="409"/>
      <c r="M238" s="409"/>
      <c r="N238" s="409"/>
      <c r="O238" s="467"/>
      <c r="P238" s="467"/>
      <c r="Q238" s="467"/>
      <c r="R238" s="467"/>
      <c r="S238" s="467"/>
      <c r="T238" s="467"/>
      <c r="U238" s="467"/>
      <c r="V238" s="467"/>
      <c r="W238" s="467"/>
      <c r="X238" s="467"/>
      <c r="Y238" s="467"/>
      <c r="Z238" s="467"/>
    </row>
    <row r="239" spans="1:26" ht="15.75" customHeight="1">
      <c r="A239" s="409"/>
      <c r="B239" s="409"/>
      <c r="C239" s="409"/>
      <c r="D239" s="409"/>
      <c r="E239" s="409"/>
      <c r="F239" s="409"/>
      <c r="G239" s="409"/>
      <c r="H239" s="409"/>
      <c r="I239" s="409"/>
      <c r="J239" s="409"/>
      <c r="K239" s="409"/>
      <c r="L239" s="409"/>
      <c r="M239" s="409"/>
      <c r="N239" s="409"/>
      <c r="O239" s="467"/>
      <c r="P239" s="467"/>
      <c r="Q239" s="467"/>
      <c r="R239" s="467"/>
      <c r="S239" s="467"/>
      <c r="T239" s="467"/>
      <c r="U239" s="467"/>
      <c r="V239" s="467"/>
      <c r="W239" s="467"/>
      <c r="X239" s="467"/>
      <c r="Y239" s="467"/>
      <c r="Z239" s="467"/>
    </row>
    <row r="240" spans="1:26" ht="15.75" customHeight="1">
      <c r="A240" s="409"/>
      <c r="B240" s="409"/>
      <c r="C240" s="409"/>
      <c r="D240" s="409"/>
      <c r="E240" s="409"/>
      <c r="F240" s="409"/>
      <c r="G240" s="409"/>
      <c r="H240" s="409"/>
      <c r="I240" s="409"/>
      <c r="J240" s="409"/>
      <c r="K240" s="409"/>
      <c r="L240" s="409"/>
      <c r="M240" s="409"/>
      <c r="N240" s="409"/>
      <c r="O240" s="467"/>
      <c r="P240" s="467"/>
      <c r="Q240" s="467"/>
      <c r="R240" s="467"/>
      <c r="S240" s="467"/>
      <c r="T240" s="467"/>
      <c r="U240" s="467"/>
      <c r="V240" s="467"/>
      <c r="W240" s="467"/>
      <c r="X240" s="467"/>
      <c r="Y240" s="467"/>
      <c r="Z240" s="467"/>
    </row>
    <row r="241" spans="1:26" ht="15.75" customHeight="1">
      <c r="A241" s="409"/>
      <c r="B241" s="409"/>
      <c r="C241" s="409"/>
      <c r="D241" s="409"/>
      <c r="E241" s="409"/>
      <c r="F241" s="409"/>
      <c r="G241" s="409"/>
      <c r="H241" s="409"/>
      <c r="I241" s="409"/>
      <c r="J241" s="409"/>
      <c r="K241" s="409"/>
      <c r="L241" s="409"/>
      <c r="M241" s="409"/>
      <c r="N241" s="409"/>
      <c r="O241" s="467"/>
      <c r="P241" s="467"/>
      <c r="Q241" s="467"/>
      <c r="R241" s="467"/>
      <c r="S241" s="467"/>
      <c r="T241" s="467"/>
      <c r="U241" s="467"/>
      <c r="V241" s="467"/>
      <c r="W241" s="467"/>
      <c r="X241" s="467"/>
      <c r="Y241" s="467"/>
      <c r="Z241" s="467"/>
    </row>
    <row r="242" spans="1:26" ht="15.75" customHeight="1">
      <c r="A242" s="409"/>
      <c r="B242" s="409"/>
      <c r="C242" s="409"/>
      <c r="D242" s="409"/>
      <c r="E242" s="409"/>
      <c r="F242" s="409"/>
      <c r="G242" s="409"/>
      <c r="H242" s="409"/>
      <c r="I242" s="409"/>
      <c r="J242" s="409"/>
      <c r="K242" s="409"/>
      <c r="L242" s="409"/>
      <c r="M242" s="409"/>
      <c r="N242" s="409"/>
      <c r="O242" s="467"/>
      <c r="P242" s="467"/>
      <c r="Q242" s="467"/>
      <c r="R242" s="467"/>
      <c r="S242" s="467"/>
      <c r="T242" s="467"/>
      <c r="U242" s="467"/>
      <c r="V242" s="467"/>
      <c r="W242" s="467"/>
      <c r="X242" s="467"/>
      <c r="Y242" s="467"/>
      <c r="Z242" s="467"/>
    </row>
    <row r="243" spans="1:26" ht="15.75" customHeight="1">
      <c r="A243" s="409"/>
      <c r="B243" s="409"/>
      <c r="C243" s="409"/>
      <c r="D243" s="409"/>
      <c r="E243" s="409"/>
      <c r="F243" s="409"/>
      <c r="G243" s="409"/>
      <c r="H243" s="409"/>
      <c r="I243" s="409"/>
      <c r="J243" s="409"/>
      <c r="K243" s="409"/>
      <c r="L243" s="409"/>
      <c r="M243" s="409"/>
      <c r="N243" s="409"/>
      <c r="O243" s="467"/>
      <c r="P243" s="467"/>
      <c r="Q243" s="467"/>
      <c r="R243" s="467"/>
      <c r="S243" s="467"/>
      <c r="T243" s="467"/>
      <c r="U243" s="467"/>
      <c r="V243" s="467"/>
      <c r="W243" s="467"/>
      <c r="X243" s="467"/>
      <c r="Y243" s="467"/>
      <c r="Z243" s="467"/>
    </row>
    <row r="244" spans="1:26" ht="15.75" customHeight="1">
      <c r="A244" s="409"/>
      <c r="B244" s="409"/>
      <c r="C244" s="409"/>
      <c r="D244" s="409"/>
      <c r="E244" s="409"/>
      <c r="F244" s="409"/>
      <c r="G244" s="409"/>
      <c r="H244" s="409"/>
      <c r="I244" s="409"/>
      <c r="J244" s="409"/>
      <c r="K244" s="409"/>
      <c r="L244" s="409"/>
      <c r="M244" s="409"/>
      <c r="N244" s="409"/>
      <c r="O244" s="467"/>
      <c r="P244" s="467"/>
      <c r="Q244" s="467"/>
      <c r="R244" s="467"/>
      <c r="S244" s="467"/>
      <c r="T244" s="467"/>
      <c r="U244" s="467"/>
      <c r="V244" s="467"/>
      <c r="W244" s="467"/>
      <c r="X244" s="467"/>
      <c r="Y244" s="467"/>
      <c r="Z244" s="467"/>
    </row>
    <row r="245" spans="1:26" ht="15.75" customHeight="1">
      <c r="A245" s="409"/>
      <c r="B245" s="409"/>
      <c r="C245" s="409"/>
      <c r="D245" s="409"/>
      <c r="E245" s="409"/>
      <c r="F245" s="409"/>
      <c r="G245" s="409"/>
      <c r="H245" s="409"/>
      <c r="I245" s="409"/>
      <c r="J245" s="409"/>
      <c r="K245" s="409"/>
      <c r="L245" s="409"/>
      <c r="M245" s="409"/>
      <c r="N245" s="409"/>
      <c r="O245" s="467"/>
      <c r="P245" s="467"/>
      <c r="Q245" s="467"/>
      <c r="R245" s="467"/>
      <c r="S245" s="467"/>
      <c r="T245" s="467"/>
      <c r="U245" s="467"/>
      <c r="V245" s="467"/>
      <c r="W245" s="467"/>
      <c r="X245" s="467"/>
      <c r="Y245" s="467"/>
      <c r="Z245" s="467"/>
    </row>
    <row r="246" spans="1:26" ht="15.75" customHeight="1">
      <c r="A246" s="409"/>
      <c r="B246" s="409"/>
      <c r="C246" s="409"/>
      <c r="D246" s="409"/>
      <c r="E246" s="409"/>
      <c r="F246" s="409"/>
      <c r="G246" s="409"/>
      <c r="H246" s="409"/>
      <c r="I246" s="409"/>
      <c r="J246" s="409"/>
      <c r="K246" s="409"/>
      <c r="L246" s="409"/>
      <c r="M246" s="409"/>
      <c r="N246" s="409"/>
      <c r="O246" s="467"/>
      <c r="P246" s="467"/>
      <c r="Q246" s="467"/>
      <c r="R246" s="467"/>
      <c r="S246" s="467"/>
      <c r="T246" s="467"/>
      <c r="U246" s="467"/>
      <c r="V246" s="467"/>
      <c r="W246" s="467"/>
      <c r="X246" s="467"/>
      <c r="Y246" s="467"/>
      <c r="Z246" s="467"/>
    </row>
    <row r="247" spans="1:26" ht="15.75" customHeight="1">
      <c r="A247" s="409"/>
      <c r="B247" s="409"/>
      <c r="C247" s="409"/>
      <c r="D247" s="409"/>
      <c r="E247" s="409"/>
      <c r="F247" s="409"/>
      <c r="G247" s="409"/>
      <c r="H247" s="409"/>
      <c r="I247" s="409"/>
      <c r="J247" s="409"/>
      <c r="K247" s="409"/>
      <c r="L247" s="409"/>
      <c r="M247" s="409"/>
      <c r="N247" s="409"/>
      <c r="O247" s="467"/>
      <c r="P247" s="467"/>
      <c r="Q247" s="467"/>
      <c r="R247" s="467"/>
      <c r="S247" s="467"/>
      <c r="T247" s="467"/>
      <c r="U247" s="467"/>
      <c r="V247" s="467"/>
      <c r="W247" s="467"/>
      <c r="X247" s="467"/>
      <c r="Y247" s="467"/>
      <c r="Z247" s="467"/>
    </row>
    <row r="248" spans="1:26" ht="15.75" customHeight="1">
      <c r="A248" s="409"/>
      <c r="B248" s="409"/>
      <c r="C248" s="409"/>
      <c r="D248" s="409"/>
      <c r="E248" s="409"/>
      <c r="F248" s="409"/>
      <c r="G248" s="409"/>
      <c r="H248" s="409"/>
      <c r="I248" s="409"/>
      <c r="J248" s="409"/>
      <c r="K248" s="409"/>
      <c r="L248" s="409"/>
      <c r="M248" s="409"/>
      <c r="N248" s="409"/>
      <c r="O248" s="467"/>
      <c r="P248" s="467"/>
      <c r="Q248" s="467"/>
      <c r="R248" s="467"/>
      <c r="S248" s="467"/>
      <c r="T248" s="467"/>
      <c r="U248" s="467"/>
      <c r="V248" s="467"/>
      <c r="W248" s="467"/>
      <c r="X248" s="467"/>
      <c r="Y248" s="467"/>
      <c r="Z248" s="467"/>
    </row>
    <row r="249" spans="1:26" ht="15.75" customHeight="1">
      <c r="A249" s="409"/>
      <c r="B249" s="409"/>
      <c r="C249" s="409"/>
      <c r="D249" s="409"/>
      <c r="E249" s="409"/>
      <c r="F249" s="409"/>
      <c r="G249" s="409"/>
      <c r="H249" s="409"/>
      <c r="I249" s="409"/>
      <c r="J249" s="409"/>
      <c r="K249" s="409"/>
      <c r="L249" s="409"/>
      <c r="M249" s="409"/>
      <c r="N249" s="409"/>
      <c r="O249" s="467"/>
      <c r="P249" s="467"/>
      <c r="Q249" s="467"/>
      <c r="R249" s="467"/>
      <c r="S249" s="467"/>
      <c r="T249" s="467"/>
      <c r="U249" s="467"/>
      <c r="V249" s="467"/>
      <c r="W249" s="467"/>
      <c r="X249" s="467"/>
      <c r="Y249" s="467"/>
      <c r="Z249" s="467"/>
    </row>
    <row r="250" spans="1:26" ht="15.75" customHeight="1">
      <c r="A250" s="409"/>
      <c r="B250" s="409"/>
      <c r="C250" s="409"/>
      <c r="D250" s="409"/>
      <c r="E250" s="409"/>
      <c r="F250" s="409"/>
      <c r="G250" s="409"/>
      <c r="H250" s="409"/>
      <c r="I250" s="409"/>
      <c r="J250" s="409"/>
      <c r="K250" s="409"/>
      <c r="L250" s="409"/>
      <c r="M250" s="409"/>
      <c r="N250" s="409"/>
      <c r="O250" s="467"/>
      <c r="P250" s="467"/>
      <c r="Q250" s="467"/>
      <c r="R250" s="467"/>
      <c r="S250" s="467"/>
      <c r="T250" s="467"/>
      <c r="U250" s="467"/>
      <c r="V250" s="467"/>
      <c r="W250" s="467"/>
      <c r="X250" s="467"/>
      <c r="Y250" s="467"/>
      <c r="Z250" s="467"/>
    </row>
    <row r="251" spans="1:26" ht="15.75" customHeight="1">
      <c r="A251" s="409"/>
      <c r="B251" s="409"/>
      <c r="C251" s="409"/>
      <c r="D251" s="409"/>
      <c r="E251" s="409"/>
      <c r="F251" s="409"/>
      <c r="G251" s="409"/>
      <c r="H251" s="409"/>
      <c r="I251" s="409"/>
      <c r="J251" s="409"/>
      <c r="K251" s="409"/>
      <c r="L251" s="409"/>
      <c r="M251" s="409"/>
      <c r="N251" s="409"/>
      <c r="O251" s="467"/>
      <c r="P251" s="467"/>
      <c r="Q251" s="467"/>
      <c r="R251" s="467"/>
      <c r="S251" s="467"/>
      <c r="T251" s="467"/>
      <c r="U251" s="467"/>
      <c r="V251" s="467"/>
      <c r="W251" s="467"/>
      <c r="X251" s="467"/>
      <c r="Y251" s="467"/>
      <c r="Z251" s="467"/>
    </row>
    <row r="252" spans="1:26" ht="15.75" customHeight="1">
      <c r="A252" s="409"/>
      <c r="B252" s="409"/>
      <c r="C252" s="409"/>
      <c r="D252" s="409"/>
      <c r="E252" s="409"/>
      <c r="F252" s="409"/>
      <c r="G252" s="409"/>
      <c r="H252" s="409"/>
      <c r="I252" s="409"/>
      <c r="J252" s="409"/>
      <c r="K252" s="409"/>
      <c r="L252" s="409"/>
      <c r="M252" s="409"/>
      <c r="N252" s="409"/>
      <c r="O252" s="467"/>
      <c r="P252" s="467"/>
      <c r="Q252" s="467"/>
      <c r="R252" s="467"/>
      <c r="S252" s="467"/>
      <c r="T252" s="467"/>
      <c r="U252" s="467"/>
      <c r="V252" s="467"/>
      <c r="W252" s="467"/>
      <c r="X252" s="467"/>
      <c r="Y252" s="467"/>
      <c r="Z252" s="467"/>
    </row>
    <row r="253" spans="1:26" ht="15.75" customHeight="1">
      <c r="A253" s="409"/>
      <c r="B253" s="409"/>
      <c r="C253" s="409"/>
      <c r="D253" s="409"/>
      <c r="E253" s="409"/>
      <c r="F253" s="409"/>
      <c r="G253" s="409"/>
      <c r="H253" s="409"/>
      <c r="I253" s="409"/>
      <c r="J253" s="409"/>
      <c r="K253" s="409"/>
      <c r="L253" s="409"/>
      <c r="M253" s="409"/>
      <c r="N253" s="409"/>
      <c r="O253" s="467"/>
      <c r="P253" s="467"/>
      <c r="Q253" s="467"/>
      <c r="R253" s="467"/>
      <c r="S253" s="467"/>
      <c r="T253" s="467"/>
      <c r="U253" s="467"/>
      <c r="V253" s="467"/>
      <c r="W253" s="467"/>
      <c r="X253" s="467"/>
      <c r="Y253" s="467"/>
      <c r="Z253" s="467"/>
    </row>
    <row r="254" spans="1:26" ht="15.75" customHeight="1">
      <c r="A254" s="409"/>
      <c r="B254" s="409"/>
      <c r="C254" s="409"/>
      <c r="D254" s="409"/>
      <c r="E254" s="409"/>
      <c r="F254" s="409"/>
      <c r="G254" s="409"/>
      <c r="H254" s="409"/>
      <c r="I254" s="409"/>
      <c r="J254" s="409"/>
      <c r="K254" s="409"/>
      <c r="L254" s="409"/>
      <c r="M254" s="409"/>
      <c r="N254" s="409"/>
      <c r="O254" s="467"/>
      <c r="P254" s="467"/>
      <c r="Q254" s="467"/>
      <c r="R254" s="467"/>
      <c r="S254" s="467"/>
      <c r="T254" s="467"/>
      <c r="U254" s="467"/>
      <c r="V254" s="467"/>
      <c r="W254" s="467"/>
      <c r="X254" s="467"/>
      <c r="Y254" s="467"/>
      <c r="Z254" s="467"/>
    </row>
    <row r="255" spans="1:26" ht="15.75" customHeight="1">
      <c r="A255" s="409"/>
      <c r="B255" s="409"/>
      <c r="C255" s="409"/>
      <c r="D255" s="409"/>
      <c r="E255" s="409"/>
      <c r="F255" s="409"/>
      <c r="G255" s="409"/>
      <c r="H255" s="409"/>
      <c r="I255" s="409"/>
      <c r="J255" s="409"/>
      <c r="K255" s="409"/>
      <c r="L255" s="409"/>
      <c r="M255" s="409"/>
      <c r="N255" s="409"/>
      <c r="O255" s="467"/>
      <c r="P255" s="467"/>
      <c r="Q255" s="467"/>
      <c r="R255" s="467"/>
      <c r="S255" s="467"/>
      <c r="T255" s="467"/>
      <c r="U255" s="467"/>
      <c r="V255" s="467"/>
      <c r="W255" s="467"/>
      <c r="X255" s="467"/>
      <c r="Y255" s="467"/>
      <c r="Z255" s="467"/>
    </row>
    <row r="256" spans="1:26" ht="15.75" customHeight="1">
      <c r="A256" s="409"/>
      <c r="B256" s="409"/>
      <c r="C256" s="409"/>
      <c r="D256" s="409"/>
      <c r="E256" s="409"/>
      <c r="F256" s="409"/>
      <c r="G256" s="409"/>
      <c r="H256" s="409"/>
      <c r="I256" s="409"/>
      <c r="J256" s="409"/>
      <c r="K256" s="409"/>
      <c r="L256" s="409"/>
      <c r="M256" s="409"/>
      <c r="N256" s="409"/>
      <c r="O256" s="467"/>
      <c r="P256" s="467"/>
      <c r="Q256" s="467"/>
      <c r="R256" s="467"/>
      <c r="S256" s="467"/>
      <c r="T256" s="467"/>
      <c r="U256" s="467"/>
      <c r="V256" s="467"/>
      <c r="W256" s="467"/>
      <c r="X256" s="467"/>
      <c r="Y256" s="467"/>
      <c r="Z256" s="467"/>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8">
    <mergeCell ref="D30:F30"/>
    <mergeCell ref="G30:H30"/>
    <mergeCell ref="I30:J30"/>
    <mergeCell ref="K30:L30"/>
    <mergeCell ref="I32:J32"/>
    <mergeCell ref="I33:J33"/>
    <mergeCell ref="K33:L33"/>
    <mergeCell ref="I37:J37"/>
    <mergeCell ref="I38:J38"/>
    <mergeCell ref="E48:G48"/>
    <mergeCell ref="E56:G56"/>
    <mergeCell ref="K38:L38"/>
    <mergeCell ref="J48:L57"/>
    <mergeCell ref="I34:J34"/>
    <mergeCell ref="K34:L34"/>
    <mergeCell ref="I35:J35"/>
    <mergeCell ref="K35:L35"/>
    <mergeCell ref="I36:J36"/>
    <mergeCell ref="K36:L36"/>
    <mergeCell ref="K37:L37"/>
    <mergeCell ref="K16:L16"/>
    <mergeCell ref="I11:J11"/>
    <mergeCell ref="K11:L11"/>
    <mergeCell ref="C2:C3"/>
    <mergeCell ref="E2:F2"/>
    <mergeCell ref="G2:H2"/>
    <mergeCell ref="I2:J2"/>
    <mergeCell ref="K2:L2"/>
    <mergeCell ref="E11:F11"/>
    <mergeCell ref="G11:H11"/>
    <mergeCell ref="E13:F13"/>
    <mergeCell ref="G13:H13"/>
    <mergeCell ref="I13:J13"/>
    <mergeCell ref="K13:L13"/>
    <mergeCell ref="I14:J14"/>
    <mergeCell ref="K14:L14"/>
    <mergeCell ref="C14:C15"/>
    <mergeCell ref="E14:F14"/>
    <mergeCell ref="G14:H14"/>
    <mergeCell ref="E18:F18"/>
    <mergeCell ref="E20:F20"/>
    <mergeCell ref="G20:H20"/>
    <mergeCell ref="I20:J20"/>
    <mergeCell ref="K20:L20"/>
    <mergeCell ref="E15:F15"/>
    <mergeCell ref="G15:H15"/>
    <mergeCell ref="E16:F16"/>
    <mergeCell ref="G16:H16"/>
    <mergeCell ref="E17:F17"/>
    <mergeCell ref="G17:H17"/>
    <mergeCell ref="G18:H18"/>
    <mergeCell ref="I17:J17"/>
    <mergeCell ref="K17:L17"/>
    <mergeCell ref="I18:J18"/>
    <mergeCell ref="K18:L18"/>
    <mergeCell ref="I15:J15"/>
    <mergeCell ref="K15:L15"/>
    <mergeCell ref="I16:J16"/>
  </mergeCells>
  <conditionalFormatting sqref="F23:F27">
    <cfRule type="cellIs" dxfId="11" priority="1" operator="notBetween">
      <formula>$I$38-($I$39*2)</formula>
      <formula>$I$38+($I$39*2)</formula>
    </cfRule>
  </conditionalFormatting>
  <conditionalFormatting sqref="E23:E27">
    <cfRule type="cellIs" dxfId="10" priority="2" operator="notBetween">
      <formula>$I$38-($I$39*2)</formula>
      <formula>$I$38+($I$39*2)</formula>
    </cfRule>
  </conditionalFormatting>
  <conditionalFormatting sqref="G23:H27">
    <cfRule type="cellIs" dxfId="9" priority="3" operator="notBetween">
      <formula>$K$38-($K$39*2)</formula>
      <formula>$K$38+($K$39*2)</formula>
    </cfRule>
  </conditionalFormatting>
  <conditionalFormatting sqref="I23:J27">
    <cfRule type="cellIs" dxfId="8" priority="4" operator="notBetween">
      <formula>$K$38-($K$39*2)</formula>
      <formula>$K$38+($K$39*2)</formula>
    </cfRule>
  </conditionalFormatting>
  <conditionalFormatting sqref="K23:L27">
    <cfRule type="cellIs" dxfId="7" priority="5" operator="notBetween">
      <formula>$K$38-($K$39*2)</formula>
      <formula>$K$38+($K$39*2)</formula>
    </cfRule>
  </conditionalFormatting>
  <pageMargins left="0.7" right="0.7" top="0.75" bottom="0.75" header="0" footer="0"/>
  <pageSetup orientation="landscape"/>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topLeftCell="B1" workbookViewId="0"/>
  </sheetViews>
  <sheetFormatPr defaultColWidth="14.453125" defaultRowHeight="15" customHeight="1"/>
  <cols>
    <col min="1" max="1" width="6.08984375" hidden="1" customWidth="1"/>
    <col min="2" max="2" width="2.81640625" customWidth="1"/>
    <col min="3" max="3" width="12.08984375" customWidth="1"/>
    <col min="4" max="4" width="9.81640625" customWidth="1"/>
    <col min="5" max="5" width="8.08984375" customWidth="1"/>
    <col min="6" max="6" width="9.08984375" customWidth="1"/>
    <col min="7" max="12" width="11.7265625" customWidth="1"/>
    <col min="13" max="13" width="3.7265625" customWidth="1"/>
    <col min="14" max="14" width="6.08984375" hidden="1" customWidth="1"/>
    <col min="15" max="26" width="8.7265625" customWidth="1"/>
  </cols>
  <sheetData>
    <row r="1" spans="1:26" ht="13.2">
      <c r="A1" s="467"/>
      <c r="B1" s="467"/>
      <c r="C1" s="409"/>
      <c r="D1" s="409"/>
      <c r="E1" s="409"/>
      <c r="F1" s="409"/>
      <c r="G1" s="409"/>
      <c r="H1" s="409"/>
      <c r="I1" s="409"/>
      <c r="J1" s="409"/>
      <c r="K1" s="409"/>
      <c r="L1" s="409"/>
      <c r="M1" s="409"/>
      <c r="N1" s="409"/>
      <c r="O1" s="467"/>
      <c r="P1" s="467"/>
      <c r="Q1" s="467"/>
      <c r="R1" s="467"/>
      <c r="S1" s="467"/>
      <c r="T1" s="467"/>
      <c r="U1" s="467"/>
      <c r="V1" s="467"/>
      <c r="W1" s="467"/>
      <c r="X1" s="467"/>
      <c r="Y1" s="467"/>
      <c r="Z1" s="467"/>
    </row>
    <row r="2" spans="1:26" ht="13.2">
      <c r="A2" s="467"/>
      <c r="B2" s="467"/>
      <c r="C2" s="730" t="s">
        <v>18</v>
      </c>
      <c r="D2" s="468"/>
      <c r="E2" s="729" t="str">
        <f>Ticker</f>
        <v>TSM</v>
      </c>
      <c r="F2" s="687"/>
      <c r="G2" s="729" t="str">
        <f>Comp1Ticker</f>
        <v>Texas Instruments</v>
      </c>
      <c r="H2" s="687"/>
      <c r="I2" s="729" t="str">
        <f>Comp2Ticker</f>
        <v>Intel Corporation</v>
      </c>
      <c r="J2" s="687"/>
      <c r="K2" s="729" t="str">
        <f>Comp3Ticker</f>
        <v>Broadcom</v>
      </c>
      <c r="L2" s="687"/>
      <c r="M2" s="412"/>
      <c r="N2" s="413"/>
      <c r="O2" s="467"/>
      <c r="P2" s="467"/>
      <c r="Q2" s="467"/>
      <c r="R2" s="467"/>
      <c r="S2" s="467"/>
      <c r="T2" s="467"/>
      <c r="U2" s="467"/>
      <c r="V2" s="467"/>
      <c r="W2" s="467"/>
      <c r="X2" s="467"/>
      <c r="Y2" s="467"/>
      <c r="Z2" s="467"/>
    </row>
    <row r="3" spans="1:26" ht="13.2">
      <c r="A3" s="467"/>
      <c r="B3" s="467"/>
      <c r="C3" s="713"/>
      <c r="D3" s="469" t="s">
        <v>121</v>
      </c>
      <c r="E3" s="414" t="s">
        <v>265</v>
      </c>
      <c r="F3" s="415" t="s">
        <v>266</v>
      </c>
      <c r="G3" s="413" t="s">
        <v>265</v>
      </c>
      <c r="H3" s="415" t="s">
        <v>266</v>
      </c>
      <c r="I3" s="413" t="s">
        <v>265</v>
      </c>
      <c r="J3" s="415" t="s">
        <v>266</v>
      </c>
      <c r="K3" s="413" t="s">
        <v>265</v>
      </c>
      <c r="L3" s="415" t="s">
        <v>266</v>
      </c>
      <c r="M3" s="413"/>
      <c r="N3" s="416"/>
      <c r="O3" s="467"/>
      <c r="P3" s="467"/>
      <c r="Q3" s="467"/>
      <c r="R3" s="467"/>
      <c r="S3" s="467"/>
      <c r="T3" s="467"/>
      <c r="U3" s="467"/>
      <c r="V3" s="467"/>
      <c r="W3" s="467"/>
      <c r="X3" s="467"/>
      <c r="Y3" s="467"/>
      <c r="Z3" s="467"/>
    </row>
    <row r="4" spans="1:26" ht="13.2">
      <c r="A4" s="467"/>
      <c r="B4" s="467"/>
      <c r="C4" s="417"/>
      <c r="D4" s="470"/>
      <c r="E4" s="419"/>
      <c r="F4" s="420"/>
      <c r="G4" s="419"/>
      <c r="H4" s="420"/>
      <c r="I4" s="419"/>
      <c r="J4" s="420"/>
      <c r="K4" s="419"/>
      <c r="L4" s="420"/>
      <c r="M4" s="421"/>
      <c r="N4" s="416"/>
      <c r="O4" s="467"/>
      <c r="P4" s="467"/>
      <c r="Q4" s="467"/>
      <c r="R4" s="467"/>
      <c r="S4" s="467"/>
      <c r="T4" s="467"/>
      <c r="U4" s="467"/>
      <c r="V4" s="467"/>
      <c r="W4" s="467"/>
      <c r="X4" s="467"/>
      <c r="Y4" s="467"/>
      <c r="Z4" s="467"/>
    </row>
    <row r="5" spans="1:26" ht="13.2">
      <c r="A5" s="467"/>
      <c r="B5" s="467"/>
      <c r="C5" s="414" t="s">
        <v>267</v>
      </c>
      <c r="D5" s="470">
        <f>Historical1</f>
        <v>2016</v>
      </c>
      <c r="E5" s="419">
        <f>HistPE!E5</f>
        <v>28.34</v>
      </c>
      <c r="F5" s="420">
        <f>HistPE!F5</f>
        <v>30.639999</v>
      </c>
      <c r="G5" s="419">
        <f>HistPE!G5</f>
        <v>69.92</v>
      </c>
      <c r="H5" s="420">
        <f>HistPE!H5</f>
        <v>75.150000000000006</v>
      </c>
      <c r="I5" s="419">
        <f>HistPE!I5</f>
        <v>33.56</v>
      </c>
      <c r="J5" s="420">
        <f>HistPE!J5</f>
        <v>37.35</v>
      </c>
      <c r="K5" s="419">
        <f>HistPE!K5</f>
        <v>160.62</v>
      </c>
      <c r="L5" s="420">
        <f>HistPE!L5</f>
        <v>183.99</v>
      </c>
      <c r="M5" s="409"/>
      <c r="N5" s="416"/>
      <c r="O5" s="467"/>
      <c r="P5" s="467"/>
      <c r="Q5" s="467"/>
      <c r="R5" s="467"/>
      <c r="S5" s="467"/>
      <c r="T5" s="467"/>
      <c r="U5" s="467"/>
      <c r="V5" s="467"/>
      <c r="W5" s="467"/>
      <c r="X5" s="467"/>
      <c r="Y5" s="467"/>
      <c r="Z5" s="467"/>
    </row>
    <row r="6" spans="1:26" ht="13.2">
      <c r="A6" s="467"/>
      <c r="B6" s="467"/>
      <c r="C6" s="417"/>
      <c r="D6" s="470">
        <f t="shared" ref="D6:D9" si="0">D5+1</f>
        <v>2017</v>
      </c>
      <c r="E6" s="419">
        <f>HistPE!E6</f>
        <v>28.98</v>
      </c>
      <c r="F6" s="420">
        <f>HistPE!F6</f>
        <v>43.02</v>
      </c>
      <c r="G6" s="419">
        <f>HistPE!G6</f>
        <v>72.47</v>
      </c>
      <c r="H6" s="420">
        <f>HistPE!H6</f>
        <v>105.33</v>
      </c>
      <c r="I6" s="419">
        <f>HistPE!I6</f>
        <v>33.229999999999997</v>
      </c>
      <c r="J6" s="420">
        <f>HistPE!J6</f>
        <v>47.34</v>
      </c>
      <c r="K6" s="419">
        <f>HistPE!K6</f>
        <v>173.31</v>
      </c>
      <c r="L6" s="420">
        <f>HistPE!L6</f>
        <v>285.68</v>
      </c>
      <c r="M6" s="412"/>
      <c r="N6" s="416"/>
      <c r="O6" s="467"/>
      <c r="P6" s="467"/>
      <c r="Q6" s="467"/>
      <c r="R6" s="467"/>
      <c r="S6" s="467"/>
      <c r="T6" s="467"/>
      <c r="U6" s="467"/>
      <c r="V6" s="467"/>
      <c r="W6" s="467"/>
      <c r="X6" s="467"/>
      <c r="Y6" s="467"/>
      <c r="Z6" s="467"/>
    </row>
    <row r="7" spans="1:26" ht="13.2">
      <c r="A7" s="467"/>
      <c r="B7" s="467"/>
      <c r="C7" s="417"/>
      <c r="D7" s="470">
        <f t="shared" si="0"/>
        <v>2018</v>
      </c>
      <c r="E7" s="419">
        <f>HistPE!E7</f>
        <v>35.22</v>
      </c>
      <c r="F7" s="420">
        <f>HistPE!F7</f>
        <v>46.57</v>
      </c>
      <c r="G7" s="419">
        <f>HistPE!G7</f>
        <v>87.7</v>
      </c>
      <c r="H7" s="420">
        <f>HistPE!H7</f>
        <v>120.75</v>
      </c>
      <c r="I7" s="419">
        <f>HistPE!I7</f>
        <v>42.04</v>
      </c>
      <c r="J7" s="420">
        <f>HistPE!J7</f>
        <v>57.6</v>
      </c>
      <c r="K7" s="419">
        <f>HistPE!K7</f>
        <v>197.46</v>
      </c>
      <c r="L7" s="420">
        <f>HistPE!L7</f>
        <v>274.26</v>
      </c>
      <c r="M7" s="413"/>
      <c r="N7" s="416"/>
      <c r="O7" s="467"/>
      <c r="P7" s="467"/>
      <c r="Q7" s="467"/>
      <c r="R7" s="467"/>
      <c r="S7" s="467"/>
      <c r="T7" s="467"/>
      <c r="U7" s="467"/>
      <c r="V7" s="467"/>
      <c r="W7" s="467"/>
      <c r="X7" s="467"/>
      <c r="Y7" s="467"/>
      <c r="Z7" s="467"/>
    </row>
    <row r="8" spans="1:26" ht="13.2">
      <c r="A8" s="467"/>
      <c r="B8" s="467"/>
      <c r="C8" s="417"/>
      <c r="D8" s="470">
        <f t="shared" si="0"/>
        <v>2019</v>
      </c>
      <c r="E8" s="419">
        <f>HistPE!E8</f>
        <v>34.21</v>
      </c>
      <c r="F8" s="420">
        <f>HistPE!F8</f>
        <v>59.71</v>
      </c>
      <c r="G8" s="419">
        <f>HistPE!G8</f>
        <v>88.68</v>
      </c>
      <c r="H8" s="420">
        <f>HistPE!H8</f>
        <v>132.19999999999999</v>
      </c>
      <c r="I8" s="419">
        <f>HistPE!I8</f>
        <v>42.86</v>
      </c>
      <c r="J8" s="420">
        <f>HistPE!J8</f>
        <v>60.48</v>
      </c>
      <c r="K8" s="419">
        <f>HistPE!K8</f>
        <v>230.33</v>
      </c>
      <c r="L8" s="420">
        <f>HistPE!L8</f>
        <v>331.2</v>
      </c>
      <c r="M8" s="409"/>
      <c r="N8" s="409"/>
      <c r="O8" s="467"/>
      <c r="P8" s="467"/>
      <c r="Q8" s="467"/>
      <c r="R8" s="467"/>
      <c r="S8" s="467"/>
      <c r="T8" s="467"/>
      <c r="U8" s="467"/>
      <c r="V8" s="467"/>
      <c r="W8" s="467"/>
      <c r="X8" s="467"/>
      <c r="Y8" s="467"/>
      <c r="Z8" s="467"/>
    </row>
    <row r="9" spans="1:26" ht="13.2">
      <c r="A9" s="467"/>
      <c r="B9" s="467"/>
      <c r="C9" s="417"/>
      <c r="D9" s="470">
        <f t="shared" si="0"/>
        <v>2020</v>
      </c>
      <c r="E9" s="471">
        <f>HistPE!E9</f>
        <v>42.7</v>
      </c>
      <c r="F9" s="472">
        <f>HistPE!F9</f>
        <v>109.699</v>
      </c>
      <c r="G9" s="471">
        <f>HistPE!G9</f>
        <v>93.09</v>
      </c>
      <c r="H9" s="472">
        <f>HistPE!H9</f>
        <v>167.24</v>
      </c>
      <c r="I9" s="471">
        <f>HistPE!I9</f>
        <v>43.61</v>
      </c>
      <c r="J9" s="472">
        <f>HistPE!J9</f>
        <v>69.290000000000006</v>
      </c>
      <c r="K9" s="471">
        <f>HistPE!K9</f>
        <v>155.66999999999999</v>
      </c>
      <c r="L9" s="472">
        <f>HistPE!L9</f>
        <v>438.5</v>
      </c>
      <c r="M9" s="409"/>
      <c r="N9" s="416"/>
      <c r="O9" s="467"/>
      <c r="P9" s="467"/>
      <c r="Q9" s="467"/>
      <c r="R9" s="467"/>
      <c r="S9" s="467"/>
      <c r="T9" s="467"/>
      <c r="U9" s="467"/>
      <c r="V9" s="467"/>
      <c r="W9" s="467"/>
      <c r="X9" s="467"/>
      <c r="Y9" s="467"/>
      <c r="Z9" s="467"/>
    </row>
    <row r="10" spans="1:26" ht="13.2">
      <c r="A10" s="467"/>
      <c r="B10" s="467"/>
      <c r="C10" s="417"/>
      <c r="D10" s="473"/>
      <c r="E10" s="409"/>
      <c r="F10" s="409"/>
      <c r="G10" s="409"/>
      <c r="H10" s="409"/>
      <c r="I10" s="409"/>
      <c r="J10" s="409"/>
      <c r="K10" s="409"/>
      <c r="L10" s="424"/>
      <c r="M10" s="412"/>
      <c r="N10" s="416"/>
      <c r="O10" s="467"/>
      <c r="P10" s="467"/>
      <c r="Q10" s="467"/>
      <c r="R10" s="467"/>
      <c r="S10" s="467"/>
      <c r="T10" s="467"/>
      <c r="U10" s="467"/>
      <c r="V10" s="467"/>
      <c r="W10" s="467"/>
      <c r="X10" s="467"/>
      <c r="Y10" s="467"/>
      <c r="Z10" s="467"/>
    </row>
    <row r="11" spans="1:26" ht="13.2">
      <c r="A11" s="467"/>
      <c r="B11" s="467"/>
      <c r="C11" s="410"/>
      <c r="D11" s="468"/>
      <c r="E11" s="729" t="str">
        <f>Ticker</f>
        <v>TSM</v>
      </c>
      <c r="F11" s="687"/>
      <c r="G11" s="729" t="str">
        <f>Comp1Ticker</f>
        <v>Texas Instruments</v>
      </c>
      <c r="H11" s="687"/>
      <c r="I11" s="729" t="str">
        <f>Comp2Ticker</f>
        <v>Intel Corporation</v>
      </c>
      <c r="J11" s="687"/>
      <c r="K11" s="729" t="str">
        <f>Comp3Ticker</f>
        <v>Broadcom</v>
      </c>
      <c r="L11" s="687"/>
      <c r="M11" s="413"/>
      <c r="N11" s="416"/>
      <c r="O11" s="467"/>
      <c r="P11" s="467"/>
      <c r="Q11" s="467"/>
      <c r="R11" s="467"/>
      <c r="S11" s="467"/>
      <c r="T11" s="467"/>
      <c r="U11" s="467"/>
      <c r="V11" s="467"/>
      <c r="W11" s="467"/>
      <c r="X11" s="467"/>
      <c r="Y11" s="467"/>
      <c r="Z11" s="467"/>
    </row>
    <row r="12" spans="1:26" ht="13.2">
      <c r="A12" s="467"/>
      <c r="B12" s="467"/>
      <c r="C12" s="417"/>
      <c r="D12" s="469" t="s">
        <v>121</v>
      </c>
      <c r="E12" s="409"/>
      <c r="F12" s="409"/>
      <c r="G12" s="417"/>
      <c r="H12" s="424"/>
      <c r="I12" s="417"/>
      <c r="J12" s="424"/>
      <c r="K12" s="417"/>
      <c r="L12" s="424"/>
      <c r="M12" s="425"/>
      <c r="N12" s="416"/>
      <c r="O12" s="467"/>
      <c r="P12" s="467"/>
      <c r="Q12" s="467"/>
      <c r="R12" s="467"/>
      <c r="S12" s="467"/>
      <c r="T12" s="467"/>
      <c r="U12" s="467"/>
      <c r="V12" s="467"/>
      <c r="W12" s="467"/>
      <c r="X12" s="467"/>
      <c r="Y12" s="467"/>
      <c r="Z12" s="467"/>
    </row>
    <row r="13" spans="1:26" ht="13.2">
      <c r="A13" s="467"/>
      <c r="B13" s="467"/>
      <c r="C13" s="417"/>
      <c r="D13" s="470"/>
      <c r="E13" s="743"/>
      <c r="F13" s="625"/>
      <c r="G13" s="731"/>
      <c r="H13" s="703"/>
      <c r="I13" s="731"/>
      <c r="J13" s="703"/>
      <c r="K13" s="731"/>
      <c r="L13" s="703"/>
      <c r="M13" s="409"/>
      <c r="N13" s="416"/>
      <c r="O13" s="467"/>
      <c r="P13" s="467"/>
      <c r="Q13" s="467"/>
      <c r="R13" s="467"/>
      <c r="S13" s="467"/>
      <c r="T13" s="467"/>
      <c r="U13" s="467"/>
      <c r="V13" s="467"/>
      <c r="W13" s="467"/>
      <c r="X13" s="467"/>
      <c r="Y13" s="467"/>
      <c r="Z13" s="467"/>
    </row>
    <row r="14" spans="1:26" ht="12.75" customHeight="1">
      <c r="A14" s="467"/>
      <c r="B14" s="467"/>
      <c r="C14" s="728" t="s">
        <v>321</v>
      </c>
      <c r="D14" s="470">
        <f t="shared" ref="D14:D18" si="1">D5</f>
        <v>2016</v>
      </c>
      <c r="E14" s="744">
        <v>1</v>
      </c>
      <c r="F14" s="625"/>
      <c r="G14" s="744">
        <v>1</v>
      </c>
      <c r="H14" s="625"/>
      <c r="I14" s="744">
        <v>1</v>
      </c>
      <c r="J14" s="625"/>
      <c r="K14" s="744">
        <v>1</v>
      </c>
      <c r="L14" s="703"/>
      <c r="M14" s="409"/>
      <c r="N14" s="409"/>
      <c r="O14" s="467"/>
      <c r="P14" s="467"/>
      <c r="Q14" s="467"/>
      <c r="R14" s="467"/>
      <c r="S14" s="467"/>
      <c r="T14" s="467"/>
      <c r="U14" s="467"/>
      <c r="V14" s="467"/>
      <c r="W14" s="467"/>
      <c r="X14" s="467"/>
      <c r="Y14" s="467"/>
      <c r="Z14" s="467"/>
    </row>
    <row r="15" spans="1:26" ht="13.2">
      <c r="A15" s="467"/>
      <c r="B15" s="467"/>
      <c r="C15" s="708"/>
      <c r="D15" s="470">
        <f t="shared" si="1"/>
        <v>2017</v>
      </c>
      <c r="E15" s="744">
        <v>2</v>
      </c>
      <c r="F15" s="703"/>
      <c r="G15" s="744">
        <v>2</v>
      </c>
      <c r="H15" s="703"/>
      <c r="I15" s="744">
        <v>2</v>
      </c>
      <c r="J15" s="703"/>
      <c r="K15" s="744">
        <v>2</v>
      </c>
      <c r="L15" s="703"/>
      <c r="M15" s="409"/>
      <c r="N15" s="409"/>
      <c r="O15" s="467"/>
      <c r="P15" s="467"/>
      <c r="Q15" s="467"/>
      <c r="R15" s="467"/>
      <c r="S15" s="467"/>
      <c r="T15" s="467"/>
      <c r="U15" s="467"/>
      <c r="V15" s="467"/>
      <c r="W15" s="467"/>
      <c r="X15" s="467"/>
      <c r="Y15" s="467"/>
      <c r="Z15" s="467"/>
    </row>
    <row r="16" spans="1:26" ht="13.2">
      <c r="A16" s="467"/>
      <c r="B16" s="467"/>
      <c r="C16" s="417"/>
      <c r="D16" s="470">
        <f t="shared" si="1"/>
        <v>2018</v>
      </c>
      <c r="E16" s="744">
        <v>3</v>
      </c>
      <c r="F16" s="703"/>
      <c r="G16" s="744">
        <v>3</v>
      </c>
      <c r="H16" s="703"/>
      <c r="I16" s="744">
        <v>3</v>
      </c>
      <c r="J16" s="703"/>
      <c r="K16" s="744">
        <v>3</v>
      </c>
      <c r="L16" s="703"/>
      <c r="M16" s="426"/>
      <c r="N16" s="426"/>
      <c r="O16" s="467"/>
      <c r="P16" s="467"/>
      <c r="Q16" s="467"/>
      <c r="R16" s="467"/>
      <c r="S16" s="467"/>
      <c r="T16" s="467"/>
      <c r="U16" s="467"/>
      <c r="V16" s="467"/>
      <c r="W16" s="467"/>
      <c r="X16" s="467"/>
      <c r="Y16" s="467"/>
      <c r="Z16" s="467"/>
    </row>
    <row r="17" spans="1:26" ht="13.2">
      <c r="A17" s="467"/>
      <c r="B17" s="467"/>
      <c r="C17" s="417"/>
      <c r="D17" s="470">
        <f t="shared" si="1"/>
        <v>2019</v>
      </c>
      <c r="E17" s="744">
        <v>4</v>
      </c>
      <c r="F17" s="703"/>
      <c r="G17" s="744">
        <v>4</v>
      </c>
      <c r="H17" s="703"/>
      <c r="I17" s="744">
        <v>4</v>
      </c>
      <c r="J17" s="703"/>
      <c r="K17" s="744">
        <v>4</v>
      </c>
      <c r="L17" s="703"/>
      <c r="M17" s="427"/>
      <c r="N17" s="427"/>
      <c r="O17" s="467"/>
      <c r="P17" s="467"/>
      <c r="Q17" s="467"/>
      <c r="R17" s="467"/>
      <c r="S17" s="467"/>
      <c r="T17" s="467"/>
      <c r="U17" s="467"/>
      <c r="V17" s="467"/>
      <c r="W17" s="467"/>
      <c r="X17" s="467"/>
      <c r="Y17" s="467"/>
      <c r="Z17" s="467"/>
    </row>
    <row r="18" spans="1:26" ht="13.2">
      <c r="A18" s="467"/>
      <c r="B18" s="467"/>
      <c r="C18" s="422"/>
      <c r="D18" s="474">
        <f t="shared" si="1"/>
        <v>2020</v>
      </c>
      <c r="E18" s="746">
        <v>5</v>
      </c>
      <c r="F18" s="690"/>
      <c r="G18" s="746">
        <v>5</v>
      </c>
      <c r="H18" s="690"/>
      <c r="I18" s="746">
        <v>5</v>
      </c>
      <c r="J18" s="690"/>
      <c r="K18" s="746">
        <v>5</v>
      </c>
      <c r="L18" s="690"/>
      <c r="M18" s="427"/>
      <c r="N18" s="427"/>
      <c r="O18" s="467"/>
      <c r="P18" s="467"/>
      <c r="Q18" s="467"/>
      <c r="R18" s="467"/>
      <c r="S18" s="467"/>
      <c r="T18" s="467"/>
      <c r="U18" s="467"/>
      <c r="V18" s="467"/>
      <c r="W18" s="467"/>
      <c r="X18" s="467"/>
      <c r="Y18" s="467"/>
      <c r="Z18" s="467"/>
    </row>
    <row r="19" spans="1:26" ht="13.2">
      <c r="A19" s="467"/>
      <c r="B19" s="467"/>
      <c r="C19" s="417"/>
      <c r="D19" s="409"/>
      <c r="E19" s="409"/>
      <c r="F19" s="409"/>
      <c r="G19" s="409"/>
      <c r="H19" s="409"/>
      <c r="I19" s="409"/>
      <c r="J19" s="409"/>
      <c r="K19" s="409"/>
      <c r="L19" s="424"/>
      <c r="M19" s="427"/>
      <c r="N19" s="427"/>
      <c r="O19" s="467"/>
      <c r="P19" s="467"/>
      <c r="Q19" s="467"/>
      <c r="R19" s="467"/>
      <c r="S19" s="467"/>
      <c r="T19" s="467"/>
      <c r="U19" s="467"/>
      <c r="V19" s="467"/>
      <c r="W19" s="467"/>
      <c r="X19" s="467"/>
      <c r="Y19" s="467"/>
      <c r="Z19" s="467"/>
    </row>
    <row r="20" spans="1:26" ht="13.2">
      <c r="A20" s="467"/>
      <c r="B20" s="467"/>
      <c r="C20" s="410"/>
      <c r="D20" s="410"/>
      <c r="E20" s="729" t="str">
        <f>Ticker</f>
        <v>TSM</v>
      </c>
      <c r="F20" s="687"/>
      <c r="G20" s="742" t="str">
        <f>Comp1Ticker</f>
        <v>Texas Instruments</v>
      </c>
      <c r="H20" s="687"/>
      <c r="I20" s="729" t="str">
        <f>Comp2Ticker</f>
        <v>Intel Corporation</v>
      </c>
      <c r="J20" s="687"/>
      <c r="K20" s="729" t="str">
        <f>Comp3Ticker</f>
        <v>Broadcom</v>
      </c>
      <c r="L20" s="687"/>
      <c r="M20" s="409"/>
      <c r="N20" s="409"/>
      <c r="O20" s="467"/>
      <c r="P20" s="467"/>
      <c r="Q20" s="467"/>
      <c r="R20" s="467"/>
      <c r="S20" s="467"/>
      <c r="T20" s="467"/>
      <c r="U20" s="467"/>
      <c r="V20" s="467"/>
      <c r="W20" s="467"/>
      <c r="X20" s="467"/>
      <c r="Y20" s="467"/>
      <c r="Z20" s="467"/>
    </row>
    <row r="21" spans="1:26" ht="15.75" customHeight="1">
      <c r="A21" s="467"/>
      <c r="B21" s="467"/>
      <c r="C21" s="417"/>
      <c r="D21" s="418" t="s">
        <v>121</v>
      </c>
      <c r="E21" s="418" t="s">
        <v>265</v>
      </c>
      <c r="F21" s="432" t="s">
        <v>266</v>
      </c>
      <c r="G21" s="426" t="s">
        <v>265</v>
      </c>
      <c r="H21" s="426" t="s">
        <v>266</v>
      </c>
      <c r="I21" s="418" t="s">
        <v>265</v>
      </c>
      <c r="J21" s="426" t="s">
        <v>266</v>
      </c>
      <c r="K21" s="418" t="s">
        <v>265</v>
      </c>
      <c r="L21" s="432" t="s">
        <v>266</v>
      </c>
      <c r="M21" s="409"/>
      <c r="N21" s="409"/>
      <c r="O21" s="467"/>
      <c r="P21" s="467"/>
      <c r="Q21" s="467"/>
      <c r="R21" s="467"/>
      <c r="S21" s="467"/>
      <c r="T21" s="467"/>
      <c r="U21" s="467"/>
      <c r="V21" s="467"/>
      <c r="W21" s="467"/>
      <c r="X21" s="467"/>
      <c r="Y21" s="467"/>
      <c r="Z21" s="467"/>
    </row>
    <row r="22" spans="1:26" ht="15.75" customHeight="1">
      <c r="A22" s="467"/>
      <c r="B22" s="467"/>
      <c r="C22" s="417"/>
      <c r="D22" s="418"/>
      <c r="E22" s="433"/>
      <c r="F22" s="434"/>
      <c r="G22" s="427"/>
      <c r="H22" s="434"/>
      <c r="I22" s="427"/>
      <c r="J22" s="434"/>
      <c r="K22" s="427"/>
      <c r="L22" s="434"/>
      <c r="M22" s="409"/>
      <c r="N22" s="409"/>
      <c r="O22" s="467"/>
      <c r="P22" s="467"/>
      <c r="Q22" s="467"/>
      <c r="R22" s="467"/>
      <c r="S22" s="467"/>
      <c r="T22" s="467"/>
      <c r="U22" s="467"/>
      <c r="V22" s="467"/>
      <c r="W22" s="467"/>
      <c r="X22" s="467"/>
      <c r="Y22" s="467"/>
      <c r="Z22" s="467"/>
    </row>
    <row r="23" spans="1:26" ht="15" customHeight="1">
      <c r="A23" s="467"/>
      <c r="B23" s="467"/>
      <c r="C23" s="417"/>
      <c r="D23" s="418">
        <f t="shared" ref="D23:D27" si="2">D5</f>
        <v>2016</v>
      </c>
      <c r="E23" s="433">
        <f t="shared" ref="E23:E27" si="3">E5/E14</f>
        <v>28.34</v>
      </c>
      <c r="F23" s="434">
        <f t="shared" ref="F23:F27" si="4">F5/E14</f>
        <v>30.639999</v>
      </c>
      <c r="G23" s="427">
        <f t="shared" ref="G23:G27" si="5">G5/G14</f>
        <v>69.92</v>
      </c>
      <c r="H23" s="434">
        <f t="shared" ref="H23:H27" si="6">H5/G14</f>
        <v>75.150000000000006</v>
      </c>
      <c r="I23" s="427">
        <f t="shared" ref="I23:I27" si="7">I5/I14</f>
        <v>33.56</v>
      </c>
      <c r="J23" s="434">
        <f t="shared" ref="J23:J27" si="8">J5/I14</f>
        <v>37.35</v>
      </c>
      <c r="K23" s="427">
        <f t="shared" ref="K23:K27" si="9">K5/K14</f>
        <v>160.62</v>
      </c>
      <c r="L23" s="434">
        <f t="shared" ref="L23:L27" si="10">L5/K14</f>
        <v>183.99</v>
      </c>
      <c r="M23" s="409"/>
      <c r="N23" s="409"/>
      <c r="O23" s="467"/>
      <c r="P23" s="467"/>
      <c r="Q23" s="467"/>
      <c r="R23" s="467"/>
      <c r="S23" s="467"/>
      <c r="T23" s="467"/>
      <c r="U23" s="467"/>
      <c r="V23" s="467"/>
      <c r="W23" s="467"/>
      <c r="X23" s="467"/>
      <c r="Y23" s="467"/>
      <c r="Z23" s="467"/>
    </row>
    <row r="24" spans="1:26" ht="15.75" customHeight="1">
      <c r="A24" s="467"/>
      <c r="B24" s="467"/>
      <c r="C24" s="414" t="s">
        <v>322</v>
      </c>
      <c r="D24" s="418">
        <f t="shared" si="2"/>
        <v>2017</v>
      </c>
      <c r="E24" s="435">
        <f t="shared" si="3"/>
        <v>14.49</v>
      </c>
      <c r="F24" s="436">
        <f t="shared" si="4"/>
        <v>21.51</v>
      </c>
      <c r="G24" s="427">
        <f t="shared" si="5"/>
        <v>36.234999999999999</v>
      </c>
      <c r="H24" s="434">
        <f t="shared" si="6"/>
        <v>52.664999999999999</v>
      </c>
      <c r="I24" s="427">
        <f t="shared" si="7"/>
        <v>16.614999999999998</v>
      </c>
      <c r="J24" s="434">
        <f t="shared" si="8"/>
        <v>23.67</v>
      </c>
      <c r="K24" s="427">
        <f t="shared" si="9"/>
        <v>86.655000000000001</v>
      </c>
      <c r="L24" s="434">
        <f t="shared" si="10"/>
        <v>142.84</v>
      </c>
      <c r="M24" s="409"/>
      <c r="N24" s="409"/>
      <c r="O24" s="467"/>
      <c r="P24" s="467"/>
      <c r="Q24" s="467"/>
      <c r="R24" s="467"/>
      <c r="S24" s="467"/>
      <c r="T24" s="467"/>
      <c r="U24" s="467"/>
      <c r="V24" s="467"/>
      <c r="W24" s="467"/>
      <c r="X24" s="467"/>
      <c r="Y24" s="467"/>
      <c r="Z24" s="467"/>
    </row>
    <row r="25" spans="1:26" ht="15.75" customHeight="1">
      <c r="A25" s="467"/>
      <c r="B25" s="467"/>
      <c r="C25" s="414"/>
      <c r="D25" s="418">
        <f t="shared" si="2"/>
        <v>2018</v>
      </c>
      <c r="E25" s="433">
        <f t="shared" si="3"/>
        <v>11.74</v>
      </c>
      <c r="F25" s="434">
        <f t="shared" si="4"/>
        <v>15.523333333333333</v>
      </c>
      <c r="G25" s="427">
        <f t="shared" si="5"/>
        <v>29.233333333333334</v>
      </c>
      <c r="H25" s="434">
        <f t="shared" si="6"/>
        <v>40.25</v>
      </c>
      <c r="I25" s="427">
        <f t="shared" si="7"/>
        <v>14.013333333333334</v>
      </c>
      <c r="J25" s="434">
        <f t="shared" si="8"/>
        <v>19.2</v>
      </c>
      <c r="K25" s="427">
        <f t="shared" si="9"/>
        <v>65.820000000000007</v>
      </c>
      <c r="L25" s="434">
        <f t="shared" si="10"/>
        <v>91.42</v>
      </c>
      <c r="M25" s="409"/>
      <c r="N25" s="409"/>
      <c r="O25" s="467"/>
      <c r="P25" s="467"/>
      <c r="Q25" s="467"/>
      <c r="R25" s="467"/>
      <c r="S25" s="467"/>
      <c r="T25" s="467"/>
      <c r="U25" s="467"/>
      <c r="V25" s="467"/>
      <c r="W25" s="467"/>
      <c r="X25" s="467"/>
      <c r="Y25" s="467"/>
      <c r="Z25" s="467"/>
    </row>
    <row r="26" spans="1:26" ht="15.75" customHeight="1">
      <c r="A26" s="467"/>
      <c r="B26" s="467"/>
      <c r="C26" s="414"/>
      <c r="D26" s="418">
        <f t="shared" si="2"/>
        <v>2019</v>
      </c>
      <c r="E26" s="435">
        <f t="shared" si="3"/>
        <v>8.5525000000000002</v>
      </c>
      <c r="F26" s="436">
        <f t="shared" si="4"/>
        <v>14.9275</v>
      </c>
      <c r="G26" s="427">
        <f t="shared" si="5"/>
        <v>22.17</v>
      </c>
      <c r="H26" s="434">
        <f t="shared" si="6"/>
        <v>33.049999999999997</v>
      </c>
      <c r="I26" s="427">
        <f t="shared" si="7"/>
        <v>10.715</v>
      </c>
      <c r="J26" s="434">
        <f t="shared" si="8"/>
        <v>15.12</v>
      </c>
      <c r="K26" s="427">
        <f t="shared" si="9"/>
        <v>57.582500000000003</v>
      </c>
      <c r="L26" s="434">
        <f t="shared" si="10"/>
        <v>82.8</v>
      </c>
      <c r="M26" s="409"/>
      <c r="N26" s="409"/>
      <c r="O26" s="467"/>
      <c r="P26" s="467"/>
      <c r="Q26" s="467"/>
      <c r="R26" s="467"/>
      <c r="S26" s="467"/>
      <c r="T26" s="467"/>
      <c r="U26" s="467"/>
      <c r="V26" s="467"/>
      <c r="W26" s="467"/>
      <c r="X26" s="467"/>
      <c r="Y26" s="467"/>
      <c r="Z26" s="467"/>
    </row>
    <row r="27" spans="1:26" ht="15.75" customHeight="1">
      <c r="A27" s="467"/>
      <c r="B27" s="467"/>
      <c r="C27" s="417"/>
      <c r="D27" s="428">
        <f t="shared" si="2"/>
        <v>2020</v>
      </c>
      <c r="E27" s="437">
        <f t="shared" si="3"/>
        <v>8.5400000000000009</v>
      </c>
      <c r="F27" s="438">
        <f t="shared" si="4"/>
        <v>21.939799999999998</v>
      </c>
      <c r="G27" s="439">
        <f t="shared" si="5"/>
        <v>18.618000000000002</v>
      </c>
      <c r="H27" s="438">
        <f t="shared" si="6"/>
        <v>33.448</v>
      </c>
      <c r="I27" s="439">
        <f t="shared" si="7"/>
        <v>8.7219999999999995</v>
      </c>
      <c r="J27" s="438">
        <f t="shared" si="8"/>
        <v>13.858000000000001</v>
      </c>
      <c r="K27" s="439">
        <f t="shared" si="9"/>
        <v>31.133999999999997</v>
      </c>
      <c r="L27" s="438">
        <f t="shared" si="10"/>
        <v>87.7</v>
      </c>
      <c r="M27" s="409"/>
      <c r="N27" s="409"/>
      <c r="O27" s="467"/>
      <c r="P27" s="467"/>
      <c r="Q27" s="467"/>
      <c r="R27" s="467"/>
      <c r="S27" s="467"/>
      <c r="T27" s="467"/>
      <c r="U27" s="467"/>
      <c r="V27" s="467"/>
      <c r="W27" s="467"/>
      <c r="X27" s="467"/>
      <c r="Y27" s="467"/>
      <c r="Z27" s="467"/>
    </row>
    <row r="28" spans="1:26" ht="15.75" customHeight="1">
      <c r="A28" s="467"/>
      <c r="B28" s="467"/>
      <c r="C28" s="422"/>
      <c r="D28" s="440" t="s">
        <v>47</v>
      </c>
      <c r="E28" s="441">
        <f t="shared" ref="E28:L28" si="11">AVERAGE(E23:E27)</f>
        <v>14.332500000000001</v>
      </c>
      <c r="F28" s="442">
        <f t="shared" si="11"/>
        <v>20.908126466666666</v>
      </c>
      <c r="G28" s="441">
        <f t="shared" si="11"/>
        <v>35.235266666666668</v>
      </c>
      <c r="H28" s="442">
        <f t="shared" si="11"/>
        <v>46.912600000000005</v>
      </c>
      <c r="I28" s="441">
        <f t="shared" si="11"/>
        <v>16.725066666666667</v>
      </c>
      <c r="J28" s="442">
        <f t="shared" si="11"/>
        <v>21.839600000000001</v>
      </c>
      <c r="K28" s="441">
        <f t="shared" si="11"/>
        <v>80.362300000000005</v>
      </c>
      <c r="L28" s="442">
        <f t="shared" si="11"/>
        <v>117.75000000000003</v>
      </c>
      <c r="M28" s="409"/>
      <c r="N28" s="409"/>
      <c r="O28" s="467"/>
      <c r="P28" s="467"/>
      <c r="Q28" s="467"/>
      <c r="R28" s="467"/>
      <c r="S28" s="467"/>
      <c r="T28" s="467"/>
      <c r="U28" s="467"/>
      <c r="V28" s="467"/>
      <c r="W28" s="467"/>
      <c r="X28" s="467"/>
      <c r="Y28" s="467"/>
      <c r="Z28" s="467"/>
    </row>
    <row r="29" spans="1:26" ht="15.75" customHeight="1">
      <c r="A29" s="467"/>
      <c r="B29" s="467"/>
      <c r="C29" s="417"/>
      <c r="D29" s="409"/>
      <c r="E29" s="409"/>
      <c r="F29" s="409"/>
      <c r="G29" s="409"/>
      <c r="H29" s="409"/>
      <c r="I29" s="409"/>
      <c r="J29" s="409"/>
      <c r="K29" s="409"/>
      <c r="L29" s="424"/>
      <c r="M29" s="427"/>
      <c r="N29" s="427"/>
      <c r="O29" s="467"/>
      <c r="P29" s="467"/>
      <c r="Q29" s="467"/>
      <c r="R29" s="467"/>
      <c r="S29" s="467"/>
      <c r="T29" s="467"/>
      <c r="U29" s="467"/>
      <c r="V29" s="467"/>
      <c r="W29" s="467"/>
      <c r="X29" s="467"/>
      <c r="Y29" s="467"/>
      <c r="Z29" s="467"/>
    </row>
    <row r="30" spans="1:26" ht="15.75" customHeight="1">
      <c r="A30" s="467"/>
      <c r="B30" s="467"/>
      <c r="C30" s="417"/>
      <c r="D30" s="725" t="s">
        <v>270</v>
      </c>
      <c r="E30" s="656"/>
      <c r="F30" s="608"/>
      <c r="G30" s="725" t="str">
        <f>Ticker&amp;" Relative P/CFO"</f>
        <v>TSM Relative P/CFO</v>
      </c>
      <c r="H30" s="608"/>
      <c r="I30" s="725" t="str">
        <f>Ticker&amp;" Average P/CFO"</f>
        <v>TSM Average P/CFO</v>
      </c>
      <c r="J30" s="608"/>
      <c r="K30" s="725" t="s">
        <v>323</v>
      </c>
      <c r="L30" s="608"/>
      <c r="M30" s="443"/>
      <c r="N30" s="443"/>
      <c r="O30" s="467"/>
      <c r="P30" s="467"/>
      <c r="Q30" s="467"/>
      <c r="R30" s="467"/>
      <c r="S30" s="467"/>
      <c r="T30" s="467"/>
      <c r="U30" s="467"/>
      <c r="V30" s="467"/>
      <c r="W30" s="467"/>
      <c r="X30" s="467"/>
      <c r="Y30" s="467"/>
      <c r="Z30" s="467"/>
    </row>
    <row r="31" spans="1:26" ht="15.75" customHeight="1">
      <c r="A31" s="467"/>
      <c r="B31" s="467"/>
      <c r="C31" s="417"/>
      <c r="D31" s="429" t="s">
        <v>121</v>
      </c>
      <c r="E31" s="429" t="s">
        <v>272</v>
      </c>
      <c r="F31" s="415" t="s">
        <v>266</v>
      </c>
      <c r="G31" s="413" t="s">
        <v>272</v>
      </c>
      <c r="H31" s="415" t="s">
        <v>266</v>
      </c>
      <c r="I31" s="409"/>
      <c r="J31" s="444"/>
      <c r="K31" s="409"/>
      <c r="L31" s="424"/>
      <c r="M31" s="409"/>
      <c r="N31" s="409"/>
      <c r="O31" s="467"/>
      <c r="P31" s="467"/>
      <c r="Q31" s="467"/>
      <c r="R31" s="467"/>
      <c r="S31" s="467"/>
      <c r="T31" s="467"/>
      <c r="U31" s="467"/>
      <c r="V31" s="467"/>
      <c r="W31" s="467"/>
      <c r="X31" s="467"/>
      <c r="Y31" s="467"/>
      <c r="Z31" s="467"/>
    </row>
    <row r="32" spans="1:26" ht="15.75" customHeight="1">
      <c r="A32" s="467"/>
      <c r="B32" s="467"/>
      <c r="C32" s="417"/>
      <c r="D32" s="418"/>
      <c r="E32" s="445"/>
      <c r="F32" s="446"/>
      <c r="G32" s="409"/>
      <c r="H32" s="424"/>
      <c r="I32" s="737"/>
      <c r="J32" s="703"/>
      <c r="K32" s="409"/>
      <c r="L32" s="424"/>
      <c r="M32" s="409"/>
      <c r="N32" s="409"/>
      <c r="O32" s="467"/>
      <c r="P32" s="467"/>
      <c r="Q32" s="467"/>
      <c r="R32" s="467"/>
      <c r="S32" s="467"/>
      <c r="T32" s="467"/>
      <c r="U32" s="467"/>
      <c r="V32" s="467"/>
      <c r="W32" s="467"/>
      <c r="X32" s="467"/>
      <c r="Y32" s="467"/>
      <c r="Z32" s="467"/>
    </row>
    <row r="33" spans="1:26" ht="15.75" customHeight="1">
      <c r="A33" s="467"/>
      <c r="B33" s="467"/>
      <c r="C33" s="417"/>
      <c r="D33" s="418">
        <f t="shared" ref="D33:D37" si="12">D5</f>
        <v>2016</v>
      </c>
      <c r="E33" s="445">
        <f t="shared" ref="E33:E37" si="13">AVERAGE(G23,I23,K23)</f>
        <v>88.033333333333346</v>
      </c>
      <c r="F33" s="446">
        <f t="shared" ref="F33:F34" si="14">AVERAGE(H23,L23)</f>
        <v>129.57</v>
      </c>
      <c r="G33" s="447">
        <f t="shared" ref="G33:H33" si="15">E23/E33</f>
        <v>0.32192351382052248</v>
      </c>
      <c r="H33" s="436">
        <f t="shared" si="15"/>
        <v>0.23647448483445244</v>
      </c>
      <c r="I33" s="737">
        <f t="shared" ref="I33:I37" si="16">AVERAGE(E23:F23)</f>
        <v>29.4899995</v>
      </c>
      <c r="J33" s="703"/>
      <c r="K33" s="737">
        <f t="shared" ref="K33:K37" si="17">AVERAGE(E33:F33)</f>
        <v>108.80166666666668</v>
      </c>
      <c r="L33" s="703"/>
      <c r="M33" s="409"/>
      <c r="N33" s="409"/>
      <c r="O33" s="467"/>
      <c r="P33" s="467"/>
      <c r="Q33" s="467"/>
      <c r="R33" s="467"/>
      <c r="S33" s="467"/>
      <c r="T33" s="467"/>
      <c r="U33" s="467"/>
      <c r="V33" s="467"/>
      <c r="W33" s="467"/>
      <c r="X33" s="467"/>
      <c r="Y33" s="467"/>
      <c r="Z33" s="467"/>
    </row>
    <row r="34" spans="1:26" ht="15.75" customHeight="1">
      <c r="A34" s="467"/>
      <c r="B34" s="467"/>
      <c r="C34" s="417"/>
      <c r="D34" s="418">
        <f t="shared" si="12"/>
        <v>2017</v>
      </c>
      <c r="E34" s="445">
        <f t="shared" si="13"/>
        <v>46.501666666666665</v>
      </c>
      <c r="F34" s="446">
        <f t="shared" si="14"/>
        <v>97.752499999999998</v>
      </c>
      <c r="G34" s="447">
        <f t="shared" ref="G34:H34" si="18">E24/E34</f>
        <v>0.31160173470484931</v>
      </c>
      <c r="H34" s="436">
        <f t="shared" si="18"/>
        <v>0.22004552313240072</v>
      </c>
      <c r="I34" s="737">
        <f t="shared" si="16"/>
        <v>18</v>
      </c>
      <c r="J34" s="703"/>
      <c r="K34" s="737">
        <f t="shared" si="17"/>
        <v>72.127083333333331</v>
      </c>
      <c r="L34" s="703"/>
      <c r="M34" s="409"/>
      <c r="N34" s="409"/>
      <c r="O34" s="467"/>
      <c r="P34" s="467"/>
      <c r="Q34" s="467"/>
      <c r="R34" s="467"/>
      <c r="S34" s="467"/>
      <c r="T34" s="467"/>
      <c r="U34" s="467"/>
      <c r="V34" s="467"/>
      <c r="W34" s="467"/>
      <c r="X34" s="467"/>
      <c r="Y34" s="467"/>
      <c r="Z34" s="467"/>
    </row>
    <row r="35" spans="1:26" ht="15.75" customHeight="1">
      <c r="A35" s="467"/>
      <c r="B35" s="467"/>
      <c r="C35" s="417"/>
      <c r="D35" s="418">
        <f t="shared" si="12"/>
        <v>2018</v>
      </c>
      <c r="E35" s="445">
        <f t="shared" si="13"/>
        <v>36.355555555555561</v>
      </c>
      <c r="F35" s="446">
        <f t="shared" ref="F35:F37" si="19">AVERAGE(H25,J25,L25)</f>
        <v>50.29</v>
      </c>
      <c r="G35" s="447">
        <f t="shared" ref="G35:H35" si="20">E25/E35</f>
        <v>0.32292176039119802</v>
      </c>
      <c r="H35" s="436">
        <f t="shared" si="20"/>
        <v>0.30867634387220788</v>
      </c>
      <c r="I35" s="737">
        <f t="shared" si="16"/>
        <v>13.631666666666668</v>
      </c>
      <c r="J35" s="703"/>
      <c r="K35" s="737">
        <f t="shared" si="17"/>
        <v>43.32277777777778</v>
      </c>
      <c r="L35" s="703"/>
      <c r="M35" s="409"/>
      <c r="N35" s="409"/>
      <c r="O35" s="467"/>
      <c r="P35" s="467"/>
      <c r="Q35" s="467"/>
      <c r="R35" s="467"/>
      <c r="S35" s="467"/>
      <c r="T35" s="467"/>
      <c r="U35" s="467"/>
      <c r="V35" s="467"/>
      <c r="W35" s="467"/>
      <c r="X35" s="467"/>
      <c r="Y35" s="467"/>
      <c r="Z35" s="467"/>
    </row>
    <row r="36" spans="1:26" ht="15.75" customHeight="1">
      <c r="A36" s="467"/>
      <c r="B36" s="467"/>
      <c r="C36" s="417"/>
      <c r="D36" s="418">
        <f t="shared" si="12"/>
        <v>2019</v>
      </c>
      <c r="E36" s="445">
        <f t="shared" si="13"/>
        <v>30.155833333333334</v>
      </c>
      <c r="F36" s="446">
        <f t="shared" si="19"/>
        <v>43.656666666666666</v>
      </c>
      <c r="G36" s="447">
        <f t="shared" ref="G36:H36" si="21">E26/E36</f>
        <v>0.28361013623677012</v>
      </c>
      <c r="H36" s="436">
        <f t="shared" si="21"/>
        <v>0.34192944949225013</v>
      </c>
      <c r="I36" s="737">
        <f t="shared" si="16"/>
        <v>11.74</v>
      </c>
      <c r="J36" s="703"/>
      <c r="K36" s="737">
        <f t="shared" si="17"/>
        <v>36.90625</v>
      </c>
      <c r="L36" s="703"/>
      <c r="M36" s="409"/>
      <c r="N36" s="409"/>
      <c r="O36" s="467"/>
      <c r="P36" s="467"/>
      <c r="Q36" s="467"/>
      <c r="R36" s="467"/>
      <c r="S36" s="467"/>
      <c r="T36" s="467"/>
      <c r="U36" s="467"/>
      <c r="V36" s="467"/>
      <c r="W36" s="467"/>
      <c r="X36" s="467"/>
      <c r="Y36" s="467"/>
      <c r="Z36" s="467"/>
    </row>
    <row r="37" spans="1:26" ht="15.75" customHeight="1">
      <c r="A37" s="467"/>
      <c r="B37" s="467"/>
      <c r="C37" s="417"/>
      <c r="D37" s="418">
        <f t="shared" si="12"/>
        <v>2020</v>
      </c>
      <c r="E37" s="448">
        <f t="shared" si="13"/>
        <v>19.491333333333333</v>
      </c>
      <c r="F37" s="446">
        <f t="shared" si="19"/>
        <v>45.002000000000002</v>
      </c>
      <c r="G37" s="447">
        <f t="shared" ref="G37:H37" si="22">E27/E37</f>
        <v>0.43814344837021585</v>
      </c>
      <c r="H37" s="436">
        <f t="shared" si="22"/>
        <v>0.48752944313586055</v>
      </c>
      <c r="I37" s="737">
        <f t="shared" si="16"/>
        <v>15.239899999999999</v>
      </c>
      <c r="J37" s="703"/>
      <c r="K37" s="737">
        <f t="shared" si="17"/>
        <v>32.24666666666667</v>
      </c>
      <c r="L37" s="703"/>
      <c r="M37" s="409"/>
      <c r="N37" s="409"/>
      <c r="O37" s="467"/>
      <c r="P37" s="467"/>
      <c r="Q37" s="467"/>
      <c r="R37" s="467"/>
      <c r="S37" s="467"/>
      <c r="T37" s="467"/>
      <c r="U37" s="467"/>
      <c r="V37" s="467"/>
      <c r="W37" s="467"/>
      <c r="X37" s="467"/>
      <c r="Y37" s="467"/>
      <c r="Z37" s="467"/>
    </row>
    <row r="38" spans="1:26" ht="15.75" customHeight="1">
      <c r="A38" s="467"/>
      <c r="B38" s="467"/>
      <c r="C38" s="417"/>
      <c r="D38" s="411" t="s">
        <v>47</v>
      </c>
      <c r="E38" s="449">
        <f t="shared" ref="E38:H38" si="23">AVERAGE(E32:E37)</f>
        <v>44.10754444444445</v>
      </c>
      <c r="F38" s="449">
        <f t="shared" si="23"/>
        <v>73.254233333333346</v>
      </c>
      <c r="G38" s="450">
        <f t="shared" si="23"/>
        <v>0.33564011870471111</v>
      </c>
      <c r="H38" s="451">
        <f t="shared" si="23"/>
        <v>0.31893104889343432</v>
      </c>
      <c r="I38" s="733">
        <f>AVERAGE(I33:J37)</f>
        <v>17.620313233333331</v>
      </c>
      <c r="J38" s="608"/>
      <c r="K38" s="733">
        <f>AVERAGE(K33:L37)</f>
        <v>58.680888888888902</v>
      </c>
      <c r="L38" s="608"/>
      <c r="M38" s="409"/>
      <c r="N38" s="409"/>
      <c r="O38" s="467"/>
      <c r="P38" s="467"/>
      <c r="Q38" s="467"/>
      <c r="R38" s="467"/>
      <c r="S38" s="467"/>
      <c r="T38" s="467"/>
      <c r="U38" s="467"/>
      <c r="V38" s="467"/>
      <c r="W38" s="467"/>
      <c r="X38" s="467"/>
      <c r="Y38" s="467"/>
      <c r="Z38" s="467"/>
    </row>
    <row r="39" spans="1:26" ht="15.75" customHeight="1">
      <c r="A39" s="467"/>
      <c r="B39" s="467"/>
      <c r="C39" s="417"/>
      <c r="D39" s="409"/>
      <c r="E39" s="409"/>
      <c r="F39" s="409"/>
      <c r="G39" s="409"/>
      <c r="H39" s="409" t="s">
        <v>273</v>
      </c>
      <c r="I39" s="409">
        <f>_xlfn.STDEV.S(I33:J37)</f>
        <v>7.0211709569558751</v>
      </c>
      <c r="J39" s="409"/>
      <c r="K39" s="409">
        <f>_xlfn.STDEV.S(K33:L37)</f>
        <v>32.022129419448994</v>
      </c>
      <c r="L39" s="424"/>
      <c r="M39" s="409"/>
      <c r="N39" s="409"/>
      <c r="O39" s="467"/>
      <c r="P39" s="467"/>
      <c r="Q39" s="467"/>
      <c r="R39" s="467"/>
      <c r="S39" s="467"/>
      <c r="T39" s="467"/>
      <c r="U39" s="467"/>
      <c r="V39" s="467"/>
      <c r="W39" s="467"/>
      <c r="X39" s="467"/>
      <c r="Y39" s="467"/>
      <c r="Z39" s="467"/>
    </row>
    <row r="40" spans="1:26" ht="15.75" customHeight="1">
      <c r="A40" s="467"/>
      <c r="B40" s="467"/>
      <c r="C40" s="417"/>
      <c r="D40" s="409"/>
      <c r="E40" s="409"/>
      <c r="F40" s="409"/>
      <c r="G40" s="409"/>
      <c r="H40" s="409"/>
      <c r="I40" s="409"/>
      <c r="J40" s="409"/>
      <c r="K40" s="409"/>
      <c r="L40" s="424"/>
      <c r="M40" s="409"/>
      <c r="N40" s="409"/>
      <c r="O40" s="467"/>
      <c r="P40" s="467"/>
      <c r="Q40" s="467"/>
      <c r="R40" s="467"/>
      <c r="S40" s="467"/>
      <c r="T40" s="467"/>
      <c r="U40" s="467"/>
      <c r="V40" s="467"/>
      <c r="W40" s="467"/>
      <c r="X40" s="467"/>
      <c r="Y40" s="467"/>
      <c r="Z40" s="467"/>
    </row>
    <row r="41" spans="1:26" ht="15.75" customHeight="1">
      <c r="A41" s="467"/>
      <c r="B41" s="467"/>
      <c r="C41" s="417"/>
      <c r="D41" s="409"/>
      <c r="E41" s="409"/>
      <c r="F41" s="409"/>
      <c r="G41" s="452" t="s">
        <v>275</v>
      </c>
      <c r="H41" s="453"/>
      <c r="I41" s="409"/>
      <c r="J41" s="409"/>
      <c r="K41" s="409"/>
      <c r="L41" s="424"/>
      <c r="M41" s="409"/>
      <c r="N41" s="409"/>
      <c r="O41" s="467"/>
      <c r="P41" s="467"/>
      <c r="Q41" s="467"/>
      <c r="R41" s="467"/>
      <c r="S41" s="467"/>
      <c r="T41" s="467"/>
      <c r="U41" s="467"/>
      <c r="V41" s="467"/>
      <c r="W41" s="467"/>
      <c r="X41" s="467"/>
      <c r="Y41" s="467"/>
      <c r="Z41" s="467"/>
    </row>
    <row r="42" spans="1:26" ht="15.75" customHeight="1">
      <c r="A42" s="467"/>
      <c r="B42" s="467"/>
      <c r="C42" s="417"/>
      <c r="D42" s="409"/>
      <c r="E42" s="409"/>
      <c r="F42" s="409"/>
      <c r="G42" s="454" t="s">
        <v>276</v>
      </c>
      <c r="H42" s="455">
        <f>AVERAGE(E38:F38)</f>
        <v>58.680888888888902</v>
      </c>
      <c r="I42" s="467"/>
      <c r="J42" s="467"/>
      <c r="K42" s="409"/>
      <c r="L42" s="424"/>
      <c r="M42" s="409"/>
      <c r="N42" s="409"/>
      <c r="O42" s="467"/>
      <c r="P42" s="467"/>
      <c r="Q42" s="467"/>
      <c r="R42" s="467"/>
      <c r="S42" s="467"/>
      <c r="T42" s="467"/>
      <c r="U42" s="467"/>
      <c r="V42" s="467"/>
      <c r="W42" s="467"/>
      <c r="X42" s="467"/>
      <c r="Y42" s="467"/>
      <c r="Z42" s="467"/>
    </row>
    <row r="43" spans="1:26" ht="15.75" customHeight="1">
      <c r="A43" s="467"/>
      <c r="B43" s="467"/>
      <c r="C43" s="417"/>
      <c r="D43" s="409"/>
      <c r="E43" s="409"/>
      <c r="F43" s="409"/>
      <c r="G43" s="454" t="s">
        <v>277</v>
      </c>
      <c r="H43" s="456">
        <f>AVERAGE(E28:F28)</f>
        <v>17.620313233333334</v>
      </c>
      <c r="I43" s="409"/>
      <c r="J43" s="412"/>
      <c r="K43" s="409"/>
      <c r="L43" s="424"/>
      <c r="M43" s="409"/>
      <c r="N43" s="409"/>
      <c r="O43" s="467"/>
      <c r="P43" s="467"/>
      <c r="Q43" s="467"/>
      <c r="R43" s="467"/>
      <c r="S43" s="467"/>
      <c r="T43" s="467"/>
      <c r="U43" s="467"/>
      <c r="V43" s="467"/>
      <c r="W43" s="467"/>
      <c r="X43" s="467"/>
      <c r="Y43" s="467"/>
      <c r="Z43" s="467"/>
    </row>
    <row r="44" spans="1:26" ht="15.75" customHeight="1">
      <c r="A44" s="467"/>
      <c r="B44" s="467"/>
      <c r="C44" s="417"/>
      <c r="D44" s="409"/>
      <c r="E44" s="409"/>
      <c r="F44" s="409"/>
      <c r="G44" s="454"/>
      <c r="H44" s="456"/>
      <c r="I44" s="409"/>
      <c r="J44" s="409"/>
      <c r="K44" s="409"/>
      <c r="L44" s="424"/>
      <c r="M44" s="409"/>
      <c r="N44" s="409"/>
      <c r="O44" s="467"/>
      <c r="P44" s="467"/>
      <c r="Q44" s="467"/>
      <c r="R44" s="467"/>
      <c r="S44" s="467"/>
      <c r="T44" s="467"/>
      <c r="U44" s="467"/>
      <c r="V44" s="467"/>
      <c r="W44" s="467"/>
      <c r="X44" s="467"/>
      <c r="Y44" s="467"/>
      <c r="Z44" s="467"/>
    </row>
    <row r="45" spans="1:26" ht="15.75" customHeight="1">
      <c r="A45" s="467"/>
      <c r="B45" s="467"/>
      <c r="C45" s="417"/>
      <c r="D45" s="409"/>
      <c r="E45" s="409"/>
      <c r="F45" s="409"/>
      <c r="G45" s="454" t="s">
        <v>324</v>
      </c>
      <c r="H45" s="456">
        <f>AVERAGE(H43,H42)</f>
        <v>38.150601061111118</v>
      </c>
      <c r="I45" s="409"/>
      <c r="J45" s="409"/>
      <c r="K45" s="409"/>
      <c r="L45" s="424"/>
      <c r="M45" s="409"/>
      <c r="N45" s="409"/>
      <c r="O45" s="467"/>
      <c r="P45" s="467"/>
      <c r="Q45" s="467"/>
      <c r="R45" s="467"/>
      <c r="S45" s="467"/>
      <c r="T45" s="467"/>
      <c r="U45" s="467"/>
      <c r="V45" s="467"/>
      <c r="W45" s="467"/>
      <c r="X45" s="467"/>
      <c r="Y45" s="467"/>
      <c r="Z45" s="467"/>
    </row>
    <row r="46" spans="1:26" ht="15.75" customHeight="1">
      <c r="A46" s="467"/>
      <c r="B46" s="467"/>
      <c r="C46" s="417"/>
      <c r="D46" s="409"/>
      <c r="E46" s="409"/>
      <c r="F46" s="409"/>
      <c r="G46" s="409"/>
      <c r="H46" s="409"/>
      <c r="I46" s="467"/>
      <c r="J46" s="467"/>
      <c r="K46" s="409"/>
      <c r="L46" s="424"/>
      <c r="M46" s="409"/>
      <c r="N46" s="409"/>
      <c r="O46" s="467"/>
      <c r="P46" s="467"/>
      <c r="Q46" s="467"/>
      <c r="R46" s="467"/>
      <c r="S46" s="467"/>
      <c r="T46" s="467"/>
      <c r="U46" s="467"/>
      <c r="V46" s="467"/>
      <c r="W46" s="467"/>
      <c r="X46" s="467"/>
      <c r="Y46" s="467"/>
      <c r="Z46" s="467"/>
    </row>
    <row r="47" spans="1:26" ht="15.75" customHeight="1">
      <c r="A47" s="467"/>
      <c r="B47" s="467"/>
      <c r="C47" s="417"/>
      <c r="D47" s="409"/>
      <c r="E47" s="409"/>
      <c r="F47" s="409"/>
      <c r="G47" s="412" t="s">
        <v>325</v>
      </c>
      <c r="H47" s="480">
        <f>Summary!F18/Summary!K10</f>
        <v>5.6827060505002382</v>
      </c>
      <c r="I47" s="467"/>
      <c r="J47" s="467"/>
      <c r="K47" s="409"/>
      <c r="L47" s="424"/>
      <c r="M47" s="409"/>
      <c r="N47" s="409"/>
      <c r="O47" s="467"/>
      <c r="P47" s="467"/>
      <c r="Q47" s="467"/>
      <c r="R47" s="467"/>
      <c r="S47" s="467"/>
      <c r="T47" s="467"/>
      <c r="U47" s="467"/>
      <c r="V47" s="467"/>
      <c r="W47" s="467"/>
      <c r="X47" s="467"/>
      <c r="Y47" s="467"/>
      <c r="Z47" s="467"/>
    </row>
    <row r="48" spans="1:26" ht="15.75" customHeight="1">
      <c r="A48" s="467"/>
      <c r="B48" s="467"/>
      <c r="C48" s="417"/>
      <c r="D48" s="409"/>
      <c r="E48" s="738" t="s">
        <v>326</v>
      </c>
      <c r="F48" s="625"/>
      <c r="G48" s="625"/>
      <c r="H48" s="481">
        <f>CF!H68</f>
        <v>37.129494669243201</v>
      </c>
      <c r="I48" s="467"/>
      <c r="J48" s="467"/>
      <c r="K48" s="409"/>
      <c r="L48" s="461"/>
      <c r="M48" s="409"/>
      <c r="N48" s="409"/>
      <c r="O48" s="467"/>
      <c r="P48" s="467"/>
      <c r="Q48" s="467"/>
      <c r="R48" s="467"/>
      <c r="S48" s="467"/>
      <c r="T48" s="467"/>
      <c r="U48" s="467"/>
      <c r="V48" s="467"/>
      <c r="W48" s="467"/>
      <c r="X48" s="467"/>
      <c r="Y48" s="467"/>
      <c r="Z48" s="467"/>
    </row>
    <row r="49" spans="1:26" ht="15.75" customHeight="1">
      <c r="A49" s="467"/>
      <c r="B49" s="467"/>
      <c r="C49" s="417"/>
      <c r="D49" s="409"/>
      <c r="E49" s="409"/>
      <c r="F49" s="409"/>
      <c r="G49" s="409"/>
      <c r="H49" s="416"/>
      <c r="I49" s="409"/>
      <c r="J49" s="734" t="s">
        <v>318</v>
      </c>
      <c r="K49" s="673"/>
      <c r="L49" s="735"/>
      <c r="M49" s="409"/>
      <c r="N49" s="409"/>
      <c r="O49" s="467"/>
      <c r="P49" s="467"/>
      <c r="Q49" s="467"/>
      <c r="R49" s="467"/>
      <c r="S49" s="467"/>
      <c r="T49" s="467"/>
      <c r="U49" s="467"/>
      <c r="V49" s="467"/>
      <c r="W49" s="467"/>
      <c r="X49" s="467"/>
      <c r="Y49" s="467"/>
      <c r="Z49" s="467"/>
    </row>
    <row r="50" spans="1:26" ht="15.75" customHeight="1">
      <c r="A50" s="467"/>
      <c r="B50" s="467"/>
      <c r="C50" s="417"/>
      <c r="D50" s="409"/>
      <c r="E50" s="453"/>
      <c r="F50" s="453"/>
      <c r="G50" s="458" t="s">
        <v>327</v>
      </c>
      <c r="H50" s="481">
        <f>H47*H48</f>
        <v>210.99600400892467</v>
      </c>
      <c r="I50" s="409"/>
      <c r="J50" s="675"/>
      <c r="K50" s="625"/>
      <c r="L50" s="703"/>
      <c r="M50" s="409"/>
      <c r="N50" s="409"/>
      <c r="O50" s="467"/>
      <c r="P50" s="467"/>
      <c r="Q50" s="467"/>
      <c r="R50" s="467"/>
      <c r="S50" s="467"/>
      <c r="T50" s="467"/>
      <c r="U50" s="467"/>
      <c r="V50" s="467"/>
      <c r="W50" s="467"/>
      <c r="X50" s="467"/>
      <c r="Y50" s="467"/>
      <c r="Z50" s="467"/>
    </row>
    <row r="51" spans="1:26" ht="12.75" customHeight="1">
      <c r="A51" s="467"/>
      <c r="B51" s="467"/>
      <c r="C51" s="417"/>
      <c r="D51" s="409"/>
      <c r="E51" s="462"/>
      <c r="F51" s="409"/>
      <c r="G51" s="463" t="s">
        <v>282</v>
      </c>
      <c r="H51" s="481">
        <f>H42*H48</f>
        <v>2178.791751186453</v>
      </c>
      <c r="I51" s="409"/>
      <c r="J51" s="675"/>
      <c r="K51" s="625"/>
      <c r="L51" s="703"/>
      <c r="M51" s="409"/>
      <c r="N51" s="409"/>
      <c r="O51" s="467"/>
      <c r="P51" s="467"/>
      <c r="Q51" s="467"/>
      <c r="R51" s="467"/>
      <c r="S51" s="467"/>
      <c r="T51" s="467"/>
      <c r="U51" s="467"/>
      <c r="V51" s="467"/>
      <c r="W51" s="467"/>
      <c r="X51" s="467"/>
      <c r="Y51" s="467"/>
      <c r="Z51" s="467"/>
    </row>
    <row r="52" spans="1:26" ht="15.75" customHeight="1">
      <c r="A52" s="467"/>
      <c r="B52" s="467"/>
      <c r="C52" s="417"/>
      <c r="D52" s="409"/>
      <c r="E52" s="462"/>
      <c r="F52" s="409"/>
      <c r="G52" s="409"/>
      <c r="H52" s="464"/>
      <c r="I52" s="409"/>
      <c r="J52" s="675"/>
      <c r="K52" s="625"/>
      <c r="L52" s="703"/>
      <c r="M52" s="409"/>
      <c r="N52" s="409"/>
      <c r="O52" s="467"/>
      <c r="P52" s="467"/>
      <c r="Q52" s="467"/>
      <c r="R52" s="467"/>
      <c r="S52" s="467"/>
      <c r="T52" s="467"/>
      <c r="U52" s="467"/>
      <c r="V52" s="467"/>
      <c r="W52" s="467"/>
      <c r="X52" s="467"/>
      <c r="Y52" s="467"/>
      <c r="Z52" s="467"/>
    </row>
    <row r="53" spans="1:26" ht="15.75" customHeight="1">
      <c r="A53" s="467"/>
      <c r="B53" s="467"/>
      <c r="C53" s="417"/>
      <c r="D53" s="409"/>
      <c r="E53" s="462"/>
      <c r="F53" s="409"/>
      <c r="G53" s="458" t="s">
        <v>283</v>
      </c>
      <c r="H53" s="481">
        <f>H43*H48</f>
        <v>654.23332626744548</v>
      </c>
      <c r="I53" s="409"/>
      <c r="J53" s="675"/>
      <c r="K53" s="625"/>
      <c r="L53" s="703"/>
      <c r="M53" s="409"/>
      <c r="N53" s="409"/>
      <c r="O53" s="467"/>
      <c r="P53" s="467"/>
      <c r="Q53" s="467"/>
      <c r="R53" s="467"/>
      <c r="S53" s="467"/>
      <c r="T53" s="467"/>
      <c r="U53" s="467"/>
      <c r="V53" s="467"/>
      <c r="W53" s="467"/>
      <c r="X53" s="467"/>
      <c r="Y53" s="467"/>
      <c r="Z53" s="467"/>
    </row>
    <row r="54" spans="1:26" ht="15.75" customHeight="1">
      <c r="A54" s="467"/>
      <c r="B54" s="467"/>
      <c r="C54" s="417"/>
      <c r="D54" s="409"/>
      <c r="E54" s="409"/>
      <c r="F54" s="409"/>
      <c r="G54" s="458" t="s">
        <v>284</v>
      </c>
      <c r="H54" s="481">
        <f>H44*H48</f>
        <v>0</v>
      </c>
      <c r="I54" s="409"/>
      <c r="J54" s="675"/>
      <c r="K54" s="625"/>
      <c r="L54" s="703"/>
      <c r="M54" s="409"/>
      <c r="N54" s="409"/>
      <c r="O54" s="467"/>
      <c r="P54" s="467"/>
      <c r="Q54" s="467"/>
      <c r="R54" s="467"/>
      <c r="S54" s="467"/>
      <c r="T54" s="467"/>
      <c r="U54" s="467"/>
      <c r="V54" s="467"/>
      <c r="W54" s="467"/>
      <c r="X54" s="467"/>
      <c r="Y54" s="467"/>
      <c r="Z54" s="467"/>
    </row>
    <row r="55" spans="1:26" ht="15.75" customHeight="1">
      <c r="A55" s="467"/>
      <c r="B55" s="467"/>
      <c r="C55" s="417"/>
      <c r="D55" s="409"/>
      <c r="E55" s="462"/>
      <c r="F55" s="462"/>
      <c r="G55" s="462"/>
      <c r="H55" s="409"/>
      <c r="I55" s="409"/>
      <c r="J55" s="675"/>
      <c r="K55" s="625"/>
      <c r="L55" s="703"/>
      <c r="M55" s="409"/>
      <c r="N55" s="409"/>
      <c r="O55" s="467"/>
      <c r="P55" s="467"/>
      <c r="Q55" s="467"/>
      <c r="R55" s="467"/>
      <c r="S55" s="467"/>
      <c r="T55" s="467"/>
      <c r="U55" s="467"/>
      <c r="V55" s="467"/>
      <c r="W55" s="467"/>
      <c r="X55" s="467"/>
      <c r="Y55" s="467"/>
      <c r="Z55" s="467"/>
    </row>
    <row r="56" spans="1:26" ht="15.75" customHeight="1">
      <c r="A56" s="467"/>
      <c r="B56" s="467"/>
      <c r="C56" s="417"/>
      <c r="D56" s="409"/>
      <c r="E56" s="732" t="s">
        <v>328</v>
      </c>
      <c r="F56" s="625"/>
      <c r="G56" s="625"/>
      <c r="H56" s="484">
        <f>H45*H48</f>
        <v>1416.5125387269493</v>
      </c>
      <c r="I56" s="409"/>
      <c r="J56" s="675"/>
      <c r="K56" s="625"/>
      <c r="L56" s="703"/>
      <c r="M56" s="409"/>
      <c r="N56" s="409"/>
      <c r="O56" s="467"/>
      <c r="P56" s="467"/>
      <c r="Q56" s="467"/>
      <c r="R56" s="467"/>
      <c r="S56" s="467"/>
      <c r="T56" s="467"/>
      <c r="U56" s="467"/>
      <c r="V56" s="467"/>
      <c r="W56" s="467"/>
      <c r="X56" s="467"/>
      <c r="Y56" s="467"/>
      <c r="Z56" s="467"/>
    </row>
    <row r="57" spans="1:26" ht="15.75" customHeight="1">
      <c r="A57" s="467"/>
      <c r="B57" s="467"/>
      <c r="C57" s="422"/>
      <c r="D57" s="466"/>
      <c r="E57" s="466"/>
      <c r="F57" s="466"/>
      <c r="G57" s="466"/>
      <c r="H57" s="466"/>
      <c r="I57" s="466"/>
      <c r="J57" s="749"/>
      <c r="K57" s="750"/>
      <c r="L57" s="751"/>
      <c r="M57" s="409"/>
      <c r="N57" s="409"/>
      <c r="O57" s="467"/>
      <c r="P57" s="467"/>
      <c r="Q57" s="467"/>
      <c r="R57" s="467"/>
      <c r="S57" s="467"/>
      <c r="T57" s="467"/>
      <c r="U57" s="467"/>
      <c r="V57" s="467"/>
      <c r="W57" s="467"/>
      <c r="X57" s="467"/>
      <c r="Y57" s="467"/>
      <c r="Z57" s="467"/>
    </row>
    <row r="58" spans="1:26" ht="15.75" customHeight="1">
      <c r="A58" s="467"/>
      <c r="B58" s="467"/>
      <c r="C58" s="409"/>
      <c r="D58" s="409"/>
      <c r="E58" s="409"/>
      <c r="F58" s="409"/>
      <c r="G58" s="409"/>
      <c r="H58" s="409"/>
      <c r="I58" s="409"/>
      <c r="J58" s="409"/>
      <c r="K58" s="409"/>
      <c r="L58" s="409"/>
      <c r="M58" s="409"/>
      <c r="N58" s="409"/>
      <c r="O58" s="467"/>
      <c r="P58" s="467"/>
      <c r="Q58" s="467"/>
      <c r="R58" s="467"/>
      <c r="S58" s="467"/>
      <c r="T58" s="467"/>
      <c r="U58" s="467"/>
      <c r="V58" s="467"/>
      <c r="W58" s="467"/>
      <c r="X58" s="467"/>
      <c r="Y58" s="467"/>
      <c r="Z58" s="467"/>
    </row>
    <row r="59" spans="1:26" ht="12.75" hidden="1" customHeight="1">
      <c r="A59" s="467"/>
      <c r="B59" s="467"/>
      <c r="C59" s="485"/>
      <c r="D59" s="485"/>
      <c r="E59" s="485"/>
      <c r="F59" s="409"/>
      <c r="G59" s="409"/>
      <c r="H59" s="409"/>
      <c r="I59" s="409"/>
      <c r="J59" s="409"/>
      <c r="K59" s="409"/>
      <c r="L59" s="409"/>
      <c r="M59" s="409"/>
      <c r="N59" s="409"/>
      <c r="O59" s="467"/>
      <c r="P59" s="467"/>
      <c r="Q59" s="467"/>
      <c r="R59" s="467"/>
      <c r="S59" s="467"/>
      <c r="T59" s="467"/>
      <c r="U59" s="467"/>
      <c r="V59" s="467"/>
      <c r="W59" s="467"/>
      <c r="X59" s="467"/>
      <c r="Y59" s="467"/>
      <c r="Z59" s="467"/>
    </row>
    <row r="60" spans="1:26" ht="12.75" hidden="1" customHeight="1">
      <c r="A60" s="467"/>
      <c r="B60" s="467"/>
      <c r="C60" s="485"/>
      <c r="D60" s="485"/>
      <c r="E60" s="485"/>
      <c r="F60" s="409"/>
      <c r="G60" s="409"/>
      <c r="H60" s="409"/>
      <c r="I60" s="409"/>
      <c r="J60" s="409"/>
      <c r="K60" s="409"/>
      <c r="L60" s="409"/>
      <c r="M60" s="467"/>
      <c r="N60" s="467"/>
      <c r="O60" s="467"/>
      <c r="P60" s="467"/>
      <c r="Q60" s="467"/>
      <c r="R60" s="467"/>
      <c r="S60" s="467"/>
      <c r="T60" s="467"/>
      <c r="U60" s="467"/>
      <c r="V60" s="467"/>
      <c r="W60" s="467"/>
      <c r="X60" s="467"/>
      <c r="Y60" s="467"/>
      <c r="Z60" s="467"/>
    </row>
    <row r="61" spans="1:26" ht="12.75" hidden="1" customHeight="1">
      <c r="A61" s="467"/>
      <c r="B61" s="467"/>
      <c r="C61" s="409"/>
      <c r="D61" s="409"/>
      <c r="E61" s="409"/>
      <c r="F61" s="409"/>
      <c r="G61" s="409"/>
      <c r="H61" s="409"/>
      <c r="I61" s="409"/>
      <c r="J61" s="409"/>
      <c r="K61" s="409"/>
      <c r="L61" s="409"/>
      <c r="M61" s="467"/>
      <c r="N61" s="467"/>
      <c r="O61" s="467"/>
      <c r="P61" s="467"/>
      <c r="Q61" s="467"/>
      <c r="R61" s="467"/>
      <c r="S61" s="467"/>
      <c r="T61" s="467"/>
      <c r="U61" s="467"/>
      <c r="V61" s="467"/>
      <c r="W61" s="467"/>
      <c r="X61" s="467"/>
      <c r="Y61" s="467"/>
      <c r="Z61" s="467"/>
    </row>
    <row r="62" spans="1:26" ht="12.75" hidden="1" customHeight="1">
      <c r="A62" s="467"/>
      <c r="B62" s="467"/>
      <c r="C62" s="409"/>
      <c r="D62" s="409"/>
      <c r="E62" s="409"/>
      <c r="F62" s="409"/>
      <c r="G62" s="409"/>
      <c r="H62" s="409"/>
      <c r="I62" s="409"/>
      <c r="J62" s="409"/>
      <c r="K62" s="409"/>
      <c r="L62" s="409"/>
      <c r="M62" s="467"/>
      <c r="N62" s="467"/>
      <c r="O62" s="467"/>
      <c r="P62" s="467"/>
      <c r="Q62" s="467"/>
      <c r="R62" s="467"/>
      <c r="S62" s="467"/>
      <c r="T62" s="467"/>
      <c r="U62" s="467"/>
      <c r="V62" s="467"/>
      <c r="W62" s="467"/>
      <c r="X62" s="467"/>
      <c r="Y62" s="467"/>
      <c r="Z62" s="467"/>
    </row>
    <row r="63" spans="1:26" ht="12.75" hidden="1" customHeight="1">
      <c r="A63" s="467"/>
      <c r="B63" s="467"/>
      <c r="C63" s="409"/>
      <c r="D63" s="409"/>
      <c r="E63" s="409"/>
      <c r="F63" s="409"/>
      <c r="G63" s="409"/>
      <c r="H63" s="409"/>
      <c r="I63" s="409"/>
      <c r="J63" s="409"/>
      <c r="K63" s="409"/>
      <c r="L63" s="409"/>
      <c r="M63" s="467"/>
      <c r="N63" s="467"/>
      <c r="O63" s="467"/>
      <c r="P63" s="467"/>
      <c r="Q63" s="467"/>
      <c r="R63" s="467"/>
      <c r="S63" s="467"/>
      <c r="T63" s="467"/>
      <c r="U63" s="467"/>
      <c r="V63" s="467"/>
      <c r="W63" s="467"/>
      <c r="X63" s="467"/>
      <c r="Y63" s="467"/>
      <c r="Z63" s="467"/>
    </row>
    <row r="64" spans="1:26" ht="12.75" hidden="1" customHeight="1">
      <c r="A64" s="467"/>
      <c r="B64" s="467"/>
      <c r="C64" s="409"/>
      <c r="D64" s="409"/>
      <c r="E64" s="409"/>
      <c r="F64" s="409"/>
      <c r="G64" s="409"/>
      <c r="H64" s="409"/>
      <c r="I64" s="409"/>
      <c r="J64" s="409"/>
      <c r="K64" s="409"/>
      <c r="L64" s="409"/>
      <c r="M64" s="467"/>
      <c r="N64" s="467"/>
      <c r="O64" s="467"/>
      <c r="P64" s="467"/>
      <c r="Q64" s="467"/>
      <c r="R64" s="467"/>
      <c r="S64" s="467"/>
      <c r="T64" s="467"/>
      <c r="U64" s="467"/>
      <c r="V64" s="467"/>
      <c r="W64" s="467"/>
      <c r="X64" s="467"/>
      <c r="Y64" s="467"/>
      <c r="Z64" s="467"/>
    </row>
    <row r="65" spans="1:26" ht="12.75" hidden="1" customHeight="1">
      <c r="A65" s="467"/>
      <c r="B65" s="467"/>
      <c r="C65" s="409"/>
      <c r="D65" s="409"/>
      <c r="E65" s="409"/>
      <c r="F65" s="409"/>
      <c r="G65" s="409"/>
      <c r="H65" s="409"/>
      <c r="I65" s="409"/>
      <c r="J65" s="409"/>
      <c r="K65" s="409"/>
      <c r="L65" s="409"/>
      <c r="M65" s="467"/>
      <c r="N65" s="467"/>
      <c r="O65" s="467"/>
      <c r="P65" s="467"/>
      <c r="Q65" s="467"/>
      <c r="R65" s="467"/>
      <c r="S65" s="467"/>
      <c r="T65" s="467"/>
      <c r="U65" s="467"/>
      <c r="V65" s="467"/>
      <c r="W65" s="467"/>
      <c r="X65" s="467"/>
      <c r="Y65" s="467"/>
      <c r="Z65" s="467"/>
    </row>
    <row r="66" spans="1:26" ht="12.75" hidden="1" customHeight="1">
      <c r="A66" s="467"/>
      <c r="B66" s="467"/>
      <c r="C66" s="409"/>
      <c r="D66" s="409"/>
      <c r="E66" s="409"/>
      <c r="F66" s="409"/>
      <c r="G66" s="409"/>
      <c r="H66" s="409"/>
      <c r="I66" s="409"/>
      <c r="J66" s="409"/>
      <c r="K66" s="409"/>
      <c r="L66" s="409"/>
      <c r="M66" s="467"/>
      <c r="N66" s="467"/>
      <c r="O66" s="467"/>
      <c r="P66" s="467"/>
      <c r="Q66" s="467"/>
      <c r="R66" s="467"/>
      <c r="S66" s="467"/>
      <c r="T66" s="467"/>
      <c r="U66" s="467"/>
      <c r="V66" s="467"/>
      <c r="W66" s="467"/>
      <c r="X66" s="467"/>
      <c r="Y66" s="467"/>
      <c r="Z66" s="467"/>
    </row>
    <row r="67" spans="1:26" ht="12.75" hidden="1" customHeight="1">
      <c r="A67" s="467"/>
      <c r="B67" s="467"/>
      <c r="C67" s="409"/>
      <c r="D67" s="409"/>
      <c r="E67" s="409"/>
      <c r="F67" s="409"/>
      <c r="G67" s="409"/>
      <c r="H67" s="409"/>
      <c r="I67" s="409"/>
      <c r="J67" s="409"/>
      <c r="K67" s="409"/>
      <c r="L67" s="409"/>
      <c r="M67" s="467"/>
      <c r="N67" s="467"/>
      <c r="O67" s="467"/>
      <c r="P67" s="467"/>
      <c r="Q67" s="467"/>
      <c r="R67" s="467"/>
      <c r="S67" s="467"/>
      <c r="T67" s="467"/>
      <c r="U67" s="467"/>
      <c r="V67" s="467"/>
      <c r="W67" s="467"/>
      <c r="X67" s="467"/>
      <c r="Y67" s="467"/>
      <c r="Z67" s="467"/>
    </row>
    <row r="68" spans="1:26" ht="15.75" customHeight="1">
      <c r="A68" s="409"/>
      <c r="B68" s="409"/>
      <c r="C68" s="409"/>
      <c r="D68" s="409"/>
      <c r="E68" s="409"/>
      <c r="F68" s="409"/>
      <c r="G68" s="409"/>
      <c r="H68" s="409"/>
      <c r="I68" s="409"/>
      <c r="J68" s="409"/>
      <c r="K68" s="409"/>
      <c r="L68" s="409"/>
      <c r="M68" s="409"/>
      <c r="N68" s="409"/>
      <c r="O68" s="467"/>
      <c r="P68" s="467"/>
      <c r="Q68" s="467"/>
      <c r="R68" s="467"/>
      <c r="S68" s="467"/>
      <c r="T68" s="467"/>
      <c r="U68" s="467"/>
      <c r="V68" s="467"/>
      <c r="W68" s="467"/>
      <c r="X68" s="467"/>
      <c r="Y68" s="467"/>
      <c r="Z68" s="467"/>
    </row>
    <row r="69" spans="1:26" ht="15.75" customHeight="1">
      <c r="A69" s="409"/>
      <c r="B69" s="409"/>
      <c r="C69" s="409"/>
      <c r="D69" s="409"/>
      <c r="E69" s="409"/>
      <c r="F69" s="409"/>
      <c r="G69" s="409"/>
      <c r="H69" s="409"/>
      <c r="I69" s="409"/>
      <c r="J69" s="409"/>
      <c r="K69" s="409"/>
      <c r="L69" s="409"/>
      <c r="M69" s="409"/>
      <c r="N69" s="409"/>
      <c r="O69" s="467"/>
      <c r="P69" s="467"/>
      <c r="Q69" s="467"/>
      <c r="R69" s="467"/>
      <c r="S69" s="467"/>
      <c r="T69" s="467"/>
      <c r="U69" s="467"/>
      <c r="V69" s="467"/>
      <c r="W69" s="467"/>
      <c r="X69" s="467"/>
      <c r="Y69" s="467"/>
      <c r="Z69" s="467"/>
    </row>
    <row r="70" spans="1:26" ht="15.75" customHeight="1">
      <c r="A70" s="409"/>
      <c r="B70" s="409"/>
      <c r="C70" s="409"/>
      <c r="D70" s="409"/>
      <c r="E70" s="409"/>
      <c r="F70" s="409"/>
      <c r="G70" s="409"/>
      <c r="H70" s="409"/>
      <c r="I70" s="409"/>
      <c r="J70" s="409"/>
      <c r="K70" s="409"/>
      <c r="L70" s="409"/>
      <c r="M70" s="409"/>
      <c r="N70" s="409"/>
      <c r="O70" s="467"/>
      <c r="P70" s="467"/>
      <c r="Q70" s="467"/>
      <c r="R70" s="467"/>
      <c r="S70" s="467"/>
      <c r="T70" s="467"/>
      <c r="U70" s="467"/>
      <c r="V70" s="467"/>
      <c r="W70" s="467"/>
      <c r="X70" s="467"/>
      <c r="Y70" s="467"/>
      <c r="Z70" s="467"/>
    </row>
    <row r="71" spans="1:26" ht="15.75" customHeight="1">
      <c r="A71" s="409"/>
      <c r="B71" s="409"/>
      <c r="C71" s="409"/>
      <c r="D71" s="409"/>
      <c r="E71" s="409"/>
      <c r="F71" s="409"/>
      <c r="G71" s="409"/>
      <c r="H71" s="409"/>
      <c r="I71" s="409"/>
      <c r="J71" s="409"/>
      <c r="K71" s="409"/>
      <c r="L71" s="409"/>
      <c r="M71" s="409"/>
      <c r="N71" s="409"/>
      <c r="O71" s="467"/>
      <c r="P71" s="467"/>
      <c r="Q71" s="467"/>
      <c r="R71" s="467"/>
      <c r="S71" s="467"/>
      <c r="T71" s="467"/>
      <c r="U71" s="467"/>
      <c r="V71" s="467"/>
      <c r="W71" s="467"/>
      <c r="X71" s="467"/>
      <c r="Y71" s="467"/>
      <c r="Z71" s="467"/>
    </row>
    <row r="72" spans="1:26" ht="15.75" customHeight="1">
      <c r="A72" s="409"/>
      <c r="B72" s="409"/>
      <c r="C72" s="409"/>
      <c r="D72" s="409"/>
      <c r="E72" s="409"/>
      <c r="F72" s="409"/>
      <c r="G72" s="409"/>
      <c r="H72" s="409"/>
      <c r="I72" s="409"/>
      <c r="J72" s="409"/>
      <c r="K72" s="409"/>
      <c r="L72" s="409"/>
      <c r="M72" s="409"/>
      <c r="N72" s="409"/>
      <c r="O72" s="467"/>
      <c r="P72" s="467"/>
      <c r="Q72" s="467"/>
      <c r="R72" s="467"/>
      <c r="S72" s="467"/>
      <c r="T72" s="467"/>
      <c r="U72" s="467"/>
      <c r="V72" s="467"/>
      <c r="W72" s="467"/>
      <c r="X72" s="467"/>
      <c r="Y72" s="467"/>
      <c r="Z72" s="467"/>
    </row>
    <row r="73" spans="1:26" ht="15.75" customHeight="1">
      <c r="A73" s="409"/>
      <c r="B73" s="409"/>
      <c r="C73" s="409"/>
      <c r="D73" s="409"/>
      <c r="E73" s="409"/>
      <c r="F73" s="409"/>
      <c r="G73" s="409"/>
      <c r="H73" s="409"/>
      <c r="I73" s="409"/>
      <c r="J73" s="409"/>
      <c r="K73" s="409"/>
      <c r="L73" s="409"/>
      <c r="M73" s="409"/>
      <c r="N73" s="409"/>
      <c r="O73" s="467"/>
      <c r="P73" s="467"/>
      <c r="Q73" s="467"/>
      <c r="R73" s="467"/>
      <c r="S73" s="467"/>
      <c r="T73" s="467"/>
      <c r="U73" s="467"/>
      <c r="V73" s="467"/>
      <c r="W73" s="467"/>
      <c r="X73" s="467"/>
      <c r="Y73" s="467"/>
      <c r="Z73" s="467"/>
    </row>
    <row r="74" spans="1:26" ht="15.75" customHeight="1">
      <c r="A74" s="409"/>
      <c r="B74" s="409"/>
      <c r="C74" s="409"/>
      <c r="D74" s="409"/>
      <c r="E74" s="409"/>
      <c r="F74" s="409"/>
      <c r="G74" s="409"/>
      <c r="H74" s="409"/>
      <c r="I74" s="409"/>
      <c r="J74" s="409"/>
      <c r="K74" s="409"/>
      <c r="L74" s="409"/>
      <c r="M74" s="409"/>
      <c r="N74" s="409"/>
      <c r="O74" s="467"/>
      <c r="P74" s="467"/>
      <c r="Q74" s="467"/>
      <c r="R74" s="467"/>
      <c r="S74" s="467"/>
      <c r="T74" s="467"/>
      <c r="U74" s="467"/>
      <c r="V74" s="467"/>
      <c r="W74" s="467"/>
      <c r="X74" s="467"/>
      <c r="Y74" s="467"/>
      <c r="Z74" s="467"/>
    </row>
    <row r="75" spans="1:26" ht="15.75" customHeight="1">
      <c r="A75" s="409"/>
      <c r="B75" s="409"/>
      <c r="C75" s="409"/>
      <c r="D75" s="409"/>
      <c r="E75" s="409"/>
      <c r="F75" s="409"/>
      <c r="G75" s="409"/>
      <c r="H75" s="409"/>
      <c r="I75" s="409"/>
      <c r="J75" s="409"/>
      <c r="K75" s="409"/>
      <c r="L75" s="409"/>
      <c r="M75" s="409"/>
      <c r="N75" s="409"/>
      <c r="O75" s="467"/>
      <c r="P75" s="467"/>
      <c r="Q75" s="467"/>
      <c r="R75" s="467"/>
      <c r="S75" s="467"/>
      <c r="T75" s="467"/>
      <c r="U75" s="467"/>
      <c r="V75" s="467"/>
      <c r="W75" s="467"/>
      <c r="X75" s="467"/>
      <c r="Y75" s="467"/>
      <c r="Z75" s="467"/>
    </row>
    <row r="76" spans="1:26" ht="15.75" customHeight="1">
      <c r="A76" s="409"/>
      <c r="B76" s="409"/>
      <c r="C76" s="409"/>
      <c r="D76" s="409"/>
      <c r="E76" s="409"/>
      <c r="F76" s="409"/>
      <c r="G76" s="409"/>
      <c r="H76" s="409"/>
      <c r="I76" s="409"/>
      <c r="J76" s="409"/>
      <c r="K76" s="409"/>
      <c r="L76" s="409"/>
      <c r="M76" s="409"/>
      <c r="N76" s="409"/>
      <c r="O76" s="467"/>
      <c r="P76" s="467"/>
      <c r="Q76" s="467"/>
      <c r="R76" s="467"/>
      <c r="S76" s="467"/>
      <c r="T76" s="467"/>
      <c r="U76" s="467"/>
      <c r="V76" s="467"/>
      <c r="W76" s="467"/>
      <c r="X76" s="467"/>
      <c r="Y76" s="467"/>
      <c r="Z76" s="467"/>
    </row>
    <row r="77" spans="1:26" ht="15.75" customHeight="1">
      <c r="A77" s="409"/>
      <c r="B77" s="409"/>
      <c r="C77" s="409"/>
      <c r="D77" s="409"/>
      <c r="E77" s="409"/>
      <c r="F77" s="409"/>
      <c r="G77" s="409"/>
      <c r="H77" s="409"/>
      <c r="I77" s="409"/>
      <c r="J77" s="409"/>
      <c r="K77" s="409"/>
      <c r="L77" s="409"/>
      <c r="M77" s="409"/>
      <c r="N77" s="409"/>
      <c r="O77" s="467"/>
      <c r="P77" s="467"/>
      <c r="Q77" s="467"/>
      <c r="R77" s="467"/>
      <c r="S77" s="467"/>
      <c r="T77" s="467"/>
      <c r="U77" s="467"/>
      <c r="V77" s="467"/>
      <c r="W77" s="467"/>
      <c r="X77" s="467"/>
      <c r="Y77" s="467"/>
      <c r="Z77" s="467"/>
    </row>
    <row r="78" spans="1:26" ht="15.75" customHeight="1">
      <c r="A78" s="409"/>
      <c r="B78" s="409"/>
      <c r="C78" s="409"/>
      <c r="D78" s="409"/>
      <c r="E78" s="409"/>
      <c r="F78" s="409"/>
      <c r="G78" s="409"/>
      <c r="H78" s="409"/>
      <c r="I78" s="409"/>
      <c r="J78" s="409"/>
      <c r="K78" s="409"/>
      <c r="L78" s="409"/>
      <c r="M78" s="409"/>
      <c r="N78" s="409"/>
      <c r="O78" s="467"/>
      <c r="P78" s="467"/>
      <c r="Q78" s="467"/>
      <c r="R78" s="467"/>
      <c r="S78" s="467"/>
      <c r="T78" s="467"/>
      <c r="U78" s="467"/>
      <c r="V78" s="467"/>
      <c r="W78" s="467"/>
      <c r="X78" s="467"/>
      <c r="Y78" s="467"/>
      <c r="Z78" s="467"/>
    </row>
    <row r="79" spans="1:26" ht="15.75" customHeight="1">
      <c r="A79" s="409"/>
      <c r="B79" s="409"/>
      <c r="C79" s="409"/>
      <c r="D79" s="409"/>
      <c r="E79" s="409"/>
      <c r="F79" s="409"/>
      <c r="G79" s="409"/>
      <c r="H79" s="409"/>
      <c r="I79" s="409"/>
      <c r="J79" s="409"/>
      <c r="K79" s="409"/>
      <c r="L79" s="409"/>
      <c r="M79" s="409"/>
      <c r="N79" s="409"/>
      <c r="O79" s="467"/>
      <c r="P79" s="467"/>
      <c r="Q79" s="467"/>
      <c r="R79" s="467"/>
      <c r="S79" s="467"/>
      <c r="T79" s="467"/>
      <c r="U79" s="467"/>
      <c r="V79" s="467"/>
      <c r="W79" s="467"/>
      <c r="X79" s="467"/>
      <c r="Y79" s="467"/>
      <c r="Z79" s="467"/>
    </row>
    <row r="80" spans="1:26" ht="15.75" customHeight="1">
      <c r="A80" s="409"/>
      <c r="B80" s="409"/>
      <c r="C80" s="409"/>
      <c r="D80" s="409"/>
      <c r="E80" s="409"/>
      <c r="F80" s="409"/>
      <c r="G80" s="409"/>
      <c r="H80" s="409"/>
      <c r="I80" s="409"/>
      <c r="J80" s="409"/>
      <c r="K80" s="409"/>
      <c r="L80" s="409"/>
      <c r="M80" s="409"/>
      <c r="N80" s="409"/>
      <c r="O80" s="467"/>
      <c r="P80" s="467"/>
      <c r="Q80" s="467"/>
      <c r="R80" s="467"/>
      <c r="S80" s="467"/>
      <c r="T80" s="467"/>
      <c r="U80" s="467"/>
      <c r="V80" s="467"/>
      <c r="W80" s="467"/>
      <c r="X80" s="467"/>
      <c r="Y80" s="467"/>
      <c r="Z80" s="467"/>
    </row>
    <row r="81" spans="1:26" ht="15.75" customHeight="1">
      <c r="A81" s="409"/>
      <c r="B81" s="409"/>
      <c r="C81" s="409"/>
      <c r="D81" s="409"/>
      <c r="E81" s="409"/>
      <c r="F81" s="409"/>
      <c r="G81" s="409"/>
      <c r="H81" s="409"/>
      <c r="I81" s="409"/>
      <c r="J81" s="409"/>
      <c r="K81" s="409"/>
      <c r="L81" s="409"/>
      <c r="M81" s="409"/>
      <c r="N81" s="409"/>
      <c r="O81" s="467"/>
      <c r="P81" s="467"/>
      <c r="Q81" s="467"/>
      <c r="R81" s="467"/>
      <c r="S81" s="467"/>
      <c r="T81" s="467"/>
      <c r="U81" s="467"/>
      <c r="V81" s="467"/>
      <c r="W81" s="467"/>
      <c r="X81" s="467"/>
      <c r="Y81" s="467"/>
      <c r="Z81" s="467"/>
    </row>
    <row r="82" spans="1:26" ht="15.75" customHeight="1">
      <c r="A82" s="409"/>
      <c r="B82" s="409"/>
      <c r="C82" s="409"/>
      <c r="D82" s="409"/>
      <c r="E82" s="409"/>
      <c r="F82" s="409"/>
      <c r="G82" s="409"/>
      <c r="H82" s="409"/>
      <c r="I82" s="409"/>
      <c r="J82" s="409"/>
      <c r="K82" s="409"/>
      <c r="L82" s="409"/>
      <c r="M82" s="409"/>
      <c r="N82" s="409"/>
      <c r="O82" s="467"/>
      <c r="P82" s="467"/>
      <c r="Q82" s="467"/>
      <c r="R82" s="467"/>
      <c r="S82" s="467"/>
      <c r="T82" s="467"/>
      <c r="U82" s="467"/>
      <c r="V82" s="467"/>
      <c r="W82" s="467"/>
      <c r="X82" s="467"/>
      <c r="Y82" s="467"/>
      <c r="Z82" s="467"/>
    </row>
    <row r="83" spans="1:26" ht="15.75" customHeight="1">
      <c r="A83" s="409"/>
      <c r="B83" s="409"/>
      <c r="C83" s="409"/>
      <c r="D83" s="409"/>
      <c r="E83" s="409"/>
      <c r="F83" s="409"/>
      <c r="G83" s="409"/>
      <c r="H83" s="409"/>
      <c r="I83" s="409"/>
      <c r="J83" s="409"/>
      <c r="K83" s="409"/>
      <c r="L83" s="409"/>
      <c r="M83" s="409"/>
      <c r="N83" s="409"/>
      <c r="O83" s="467"/>
      <c r="P83" s="467"/>
      <c r="Q83" s="467"/>
      <c r="R83" s="467"/>
      <c r="S83" s="467"/>
      <c r="T83" s="467"/>
      <c r="U83" s="467"/>
      <c r="V83" s="467"/>
      <c r="W83" s="467"/>
      <c r="X83" s="467"/>
      <c r="Y83" s="467"/>
      <c r="Z83" s="467"/>
    </row>
    <row r="84" spans="1:26" ht="15.75" customHeight="1">
      <c r="A84" s="409"/>
      <c r="B84" s="409"/>
      <c r="C84" s="409"/>
      <c r="D84" s="409"/>
      <c r="E84" s="409"/>
      <c r="F84" s="409"/>
      <c r="G84" s="409"/>
      <c r="H84" s="409"/>
      <c r="I84" s="409"/>
      <c r="J84" s="409"/>
      <c r="K84" s="409"/>
      <c r="L84" s="409"/>
      <c r="M84" s="409"/>
      <c r="N84" s="409"/>
      <c r="O84" s="467"/>
      <c r="P84" s="467"/>
      <c r="Q84" s="467"/>
      <c r="R84" s="467"/>
      <c r="S84" s="467"/>
      <c r="T84" s="467"/>
      <c r="U84" s="467"/>
      <c r="V84" s="467"/>
      <c r="W84" s="467"/>
      <c r="X84" s="467"/>
      <c r="Y84" s="467"/>
      <c r="Z84" s="467"/>
    </row>
    <row r="85" spans="1:26" ht="15.75" customHeight="1">
      <c r="A85" s="409"/>
      <c r="B85" s="409"/>
      <c r="C85" s="409"/>
      <c r="D85" s="409"/>
      <c r="E85" s="409"/>
      <c r="F85" s="409"/>
      <c r="G85" s="409"/>
      <c r="H85" s="409"/>
      <c r="I85" s="409"/>
      <c r="J85" s="409"/>
      <c r="K85" s="409"/>
      <c r="L85" s="409"/>
      <c r="M85" s="409"/>
      <c r="N85" s="409"/>
      <c r="O85" s="467"/>
      <c r="P85" s="467"/>
      <c r="Q85" s="467"/>
      <c r="R85" s="467"/>
      <c r="S85" s="467"/>
      <c r="T85" s="467"/>
      <c r="U85" s="467"/>
      <c r="V85" s="467"/>
      <c r="W85" s="467"/>
      <c r="X85" s="467"/>
      <c r="Y85" s="467"/>
      <c r="Z85" s="467"/>
    </row>
    <row r="86" spans="1:26" ht="15.75" customHeight="1">
      <c r="A86" s="409"/>
      <c r="B86" s="409"/>
      <c r="C86" s="409"/>
      <c r="D86" s="409"/>
      <c r="E86" s="409"/>
      <c r="F86" s="409"/>
      <c r="G86" s="409"/>
      <c r="H86" s="409"/>
      <c r="I86" s="409"/>
      <c r="J86" s="409"/>
      <c r="K86" s="409"/>
      <c r="L86" s="409"/>
      <c r="M86" s="409"/>
      <c r="N86" s="409"/>
      <c r="O86" s="467"/>
      <c r="P86" s="467"/>
      <c r="Q86" s="467"/>
      <c r="R86" s="467"/>
      <c r="S86" s="467"/>
      <c r="T86" s="467"/>
      <c r="U86" s="467"/>
      <c r="V86" s="467"/>
      <c r="W86" s="467"/>
      <c r="X86" s="467"/>
      <c r="Y86" s="467"/>
      <c r="Z86" s="467"/>
    </row>
    <row r="87" spans="1:26" ht="15.75" customHeight="1">
      <c r="A87" s="409"/>
      <c r="B87" s="409"/>
      <c r="C87" s="409"/>
      <c r="D87" s="409"/>
      <c r="E87" s="409"/>
      <c r="F87" s="409"/>
      <c r="G87" s="409"/>
      <c r="H87" s="409"/>
      <c r="I87" s="409"/>
      <c r="J87" s="409"/>
      <c r="K87" s="409"/>
      <c r="L87" s="409"/>
      <c r="M87" s="409"/>
      <c r="N87" s="409"/>
      <c r="O87" s="467"/>
      <c r="P87" s="467"/>
      <c r="Q87" s="467"/>
      <c r="R87" s="467"/>
      <c r="S87" s="467"/>
      <c r="T87" s="467"/>
      <c r="U87" s="467"/>
      <c r="V87" s="467"/>
      <c r="W87" s="467"/>
      <c r="X87" s="467"/>
      <c r="Y87" s="467"/>
      <c r="Z87" s="467"/>
    </row>
    <row r="88" spans="1:26" ht="15.75" customHeight="1">
      <c r="A88" s="409"/>
      <c r="B88" s="409"/>
      <c r="C88" s="409"/>
      <c r="D88" s="409"/>
      <c r="E88" s="409"/>
      <c r="F88" s="409"/>
      <c r="G88" s="409"/>
      <c r="H88" s="409"/>
      <c r="I88" s="409"/>
      <c r="J88" s="409"/>
      <c r="K88" s="409"/>
      <c r="L88" s="409"/>
      <c r="M88" s="409"/>
      <c r="N88" s="409"/>
      <c r="O88" s="467"/>
      <c r="P88" s="467"/>
      <c r="Q88" s="467"/>
      <c r="R88" s="467"/>
      <c r="S88" s="467"/>
      <c r="T88" s="467"/>
      <c r="U88" s="467"/>
      <c r="V88" s="467"/>
      <c r="W88" s="467"/>
      <c r="X88" s="467"/>
      <c r="Y88" s="467"/>
      <c r="Z88" s="467"/>
    </row>
    <row r="89" spans="1:26" ht="15.75" customHeight="1">
      <c r="A89" s="409"/>
      <c r="B89" s="409"/>
      <c r="C89" s="409"/>
      <c r="D89" s="409"/>
      <c r="E89" s="409"/>
      <c r="F89" s="409"/>
      <c r="G89" s="409"/>
      <c r="H89" s="409"/>
      <c r="I89" s="409"/>
      <c r="J89" s="409"/>
      <c r="K89" s="409"/>
      <c r="L89" s="409"/>
      <c r="M89" s="409"/>
      <c r="N89" s="409"/>
      <c r="O89" s="467"/>
      <c r="P89" s="467"/>
      <c r="Q89" s="467"/>
      <c r="R89" s="467"/>
      <c r="S89" s="467"/>
      <c r="T89" s="467"/>
      <c r="U89" s="467"/>
      <c r="V89" s="467"/>
      <c r="W89" s="467"/>
      <c r="X89" s="467"/>
      <c r="Y89" s="467"/>
      <c r="Z89" s="467"/>
    </row>
    <row r="90" spans="1:26" ht="15.75" customHeight="1">
      <c r="A90" s="409"/>
      <c r="B90" s="409"/>
      <c r="C90" s="409"/>
      <c r="D90" s="409"/>
      <c r="E90" s="409"/>
      <c r="F90" s="409"/>
      <c r="G90" s="409"/>
      <c r="H90" s="409"/>
      <c r="I90" s="409"/>
      <c r="J90" s="409"/>
      <c r="K90" s="409"/>
      <c r="L90" s="409"/>
      <c r="M90" s="409"/>
      <c r="N90" s="409"/>
      <c r="O90" s="467"/>
      <c r="P90" s="467"/>
      <c r="Q90" s="467"/>
      <c r="R90" s="467"/>
      <c r="S90" s="467"/>
      <c r="T90" s="467"/>
      <c r="U90" s="467"/>
      <c r="V90" s="467"/>
      <c r="W90" s="467"/>
      <c r="X90" s="467"/>
      <c r="Y90" s="467"/>
      <c r="Z90" s="467"/>
    </row>
    <row r="91" spans="1:26" ht="15.75" customHeight="1">
      <c r="A91" s="409"/>
      <c r="B91" s="409"/>
      <c r="C91" s="409"/>
      <c r="D91" s="409"/>
      <c r="E91" s="409"/>
      <c r="F91" s="409"/>
      <c r="G91" s="409"/>
      <c r="H91" s="409"/>
      <c r="I91" s="409"/>
      <c r="J91" s="409"/>
      <c r="K91" s="409"/>
      <c r="L91" s="409"/>
      <c r="M91" s="409"/>
      <c r="N91" s="409"/>
      <c r="O91" s="467"/>
      <c r="P91" s="467"/>
      <c r="Q91" s="467"/>
      <c r="R91" s="467"/>
      <c r="S91" s="467"/>
      <c r="T91" s="467"/>
      <c r="U91" s="467"/>
      <c r="V91" s="467"/>
      <c r="W91" s="467"/>
      <c r="X91" s="467"/>
      <c r="Y91" s="467"/>
      <c r="Z91" s="467"/>
    </row>
    <row r="92" spans="1:26" ht="15.75" customHeight="1">
      <c r="A92" s="409"/>
      <c r="B92" s="409"/>
      <c r="C92" s="409"/>
      <c r="D92" s="409"/>
      <c r="E92" s="409"/>
      <c r="F92" s="409"/>
      <c r="G92" s="409"/>
      <c r="H92" s="409"/>
      <c r="I92" s="409"/>
      <c r="J92" s="409"/>
      <c r="K92" s="409"/>
      <c r="L92" s="409"/>
      <c r="M92" s="409"/>
      <c r="N92" s="409"/>
      <c r="O92" s="467"/>
      <c r="P92" s="467"/>
      <c r="Q92" s="467"/>
      <c r="R92" s="467"/>
      <c r="S92" s="467"/>
      <c r="T92" s="467"/>
      <c r="U92" s="467"/>
      <c r="V92" s="467"/>
      <c r="W92" s="467"/>
      <c r="X92" s="467"/>
      <c r="Y92" s="467"/>
      <c r="Z92" s="467"/>
    </row>
    <row r="93" spans="1:26" ht="15.75" customHeight="1">
      <c r="A93" s="409"/>
      <c r="B93" s="409"/>
      <c r="C93" s="409"/>
      <c r="D93" s="409"/>
      <c r="E93" s="409"/>
      <c r="F93" s="409"/>
      <c r="G93" s="409"/>
      <c r="H93" s="409"/>
      <c r="I93" s="409"/>
      <c r="J93" s="409"/>
      <c r="K93" s="409"/>
      <c r="L93" s="409"/>
      <c r="M93" s="409"/>
      <c r="N93" s="409"/>
      <c r="O93" s="467"/>
      <c r="P93" s="467"/>
      <c r="Q93" s="467"/>
      <c r="R93" s="467"/>
      <c r="S93" s="467"/>
      <c r="T93" s="467"/>
      <c r="U93" s="467"/>
      <c r="V93" s="467"/>
      <c r="W93" s="467"/>
      <c r="X93" s="467"/>
      <c r="Y93" s="467"/>
      <c r="Z93" s="467"/>
    </row>
    <row r="94" spans="1:26" ht="15.75" customHeight="1">
      <c r="A94" s="409"/>
      <c r="B94" s="409"/>
      <c r="C94" s="409"/>
      <c r="D94" s="409"/>
      <c r="E94" s="409"/>
      <c r="F94" s="409"/>
      <c r="G94" s="409"/>
      <c r="H94" s="409"/>
      <c r="I94" s="409"/>
      <c r="J94" s="409"/>
      <c r="K94" s="409"/>
      <c r="L94" s="409"/>
      <c r="M94" s="409"/>
      <c r="N94" s="409"/>
      <c r="O94" s="467"/>
      <c r="P94" s="467"/>
      <c r="Q94" s="467"/>
      <c r="R94" s="467"/>
      <c r="S94" s="467"/>
      <c r="T94" s="467"/>
      <c r="U94" s="467"/>
      <c r="V94" s="467"/>
      <c r="W94" s="467"/>
      <c r="X94" s="467"/>
      <c r="Y94" s="467"/>
      <c r="Z94" s="467"/>
    </row>
    <row r="95" spans="1:26" ht="15.75" customHeight="1">
      <c r="A95" s="409"/>
      <c r="B95" s="409"/>
      <c r="C95" s="409"/>
      <c r="D95" s="409"/>
      <c r="E95" s="409"/>
      <c r="F95" s="409"/>
      <c r="G95" s="409"/>
      <c r="H95" s="409"/>
      <c r="I95" s="409"/>
      <c r="J95" s="409"/>
      <c r="K95" s="409"/>
      <c r="L95" s="409"/>
      <c r="M95" s="409"/>
      <c r="N95" s="409"/>
      <c r="O95" s="467"/>
      <c r="P95" s="467"/>
      <c r="Q95" s="467"/>
      <c r="R95" s="467"/>
      <c r="S95" s="467"/>
      <c r="T95" s="467"/>
      <c r="U95" s="467"/>
      <c r="V95" s="467"/>
      <c r="W95" s="467"/>
      <c r="X95" s="467"/>
      <c r="Y95" s="467"/>
      <c r="Z95" s="467"/>
    </row>
    <row r="96" spans="1:26" ht="15.75" customHeight="1">
      <c r="A96" s="409"/>
      <c r="B96" s="409"/>
      <c r="C96" s="409"/>
      <c r="D96" s="409"/>
      <c r="E96" s="409"/>
      <c r="F96" s="409"/>
      <c r="G96" s="409"/>
      <c r="H96" s="409"/>
      <c r="I96" s="409"/>
      <c r="J96" s="409"/>
      <c r="K96" s="409"/>
      <c r="L96" s="409"/>
      <c r="M96" s="409"/>
      <c r="N96" s="409"/>
      <c r="O96" s="467"/>
      <c r="P96" s="467"/>
      <c r="Q96" s="467"/>
      <c r="R96" s="467"/>
      <c r="S96" s="467"/>
      <c r="T96" s="467"/>
      <c r="U96" s="467"/>
      <c r="V96" s="467"/>
      <c r="W96" s="467"/>
      <c r="X96" s="467"/>
      <c r="Y96" s="467"/>
      <c r="Z96" s="467"/>
    </row>
    <row r="97" spans="1:26" ht="15.75" customHeight="1">
      <c r="A97" s="409"/>
      <c r="B97" s="409"/>
      <c r="C97" s="409"/>
      <c r="D97" s="409"/>
      <c r="E97" s="409"/>
      <c r="F97" s="409"/>
      <c r="G97" s="409"/>
      <c r="H97" s="409"/>
      <c r="I97" s="409"/>
      <c r="J97" s="409"/>
      <c r="K97" s="409"/>
      <c r="L97" s="409"/>
      <c r="M97" s="409"/>
      <c r="N97" s="409"/>
      <c r="O97" s="467"/>
      <c r="P97" s="467"/>
      <c r="Q97" s="467"/>
      <c r="R97" s="467"/>
      <c r="S97" s="467"/>
      <c r="T97" s="467"/>
      <c r="U97" s="467"/>
      <c r="V97" s="467"/>
      <c r="W97" s="467"/>
      <c r="X97" s="467"/>
      <c r="Y97" s="467"/>
      <c r="Z97" s="467"/>
    </row>
    <row r="98" spans="1:26" ht="15.75" customHeight="1">
      <c r="A98" s="409"/>
      <c r="B98" s="409"/>
      <c r="C98" s="409"/>
      <c r="D98" s="409"/>
      <c r="E98" s="409"/>
      <c r="F98" s="409"/>
      <c r="G98" s="409"/>
      <c r="H98" s="409"/>
      <c r="I98" s="409"/>
      <c r="J98" s="409"/>
      <c r="K98" s="409"/>
      <c r="L98" s="409"/>
      <c r="M98" s="409"/>
      <c r="N98" s="409"/>
      <c r="O98" s="467"/>
      <c r="P98" s="467"/>
      <c r="Q98" s="467"/>
      <c r="R98" s="467"/>
      <c r="S98" s="467"/>
      <c r="T98" s="467"/>
      <c r="U98" s="467"/>
      <c r="V98" s="467"/>
      <c r="W98" s="467"/>
      <c r="X98" s="467"/>
      <c r="Y98" s="467"/>
      <c r="Z98" s="467"/>
    </row>
    <row r="99" spans="1:26" ht="15.75" customHeight="1">
      <c r="A99" s="409"/>
      <c r="B99" s="409"/>
      <c r="C99" s="409"/>
      <c r="D99" s="409"/>
      <c r="E99" s="409"/>
      <c r="F99" s="409"/>
      <c r="G99" s="409"/>
      <c r="H99" s="409"/>
      <c r="I99" s="409"/>
      <c r="J99" s="409"/>
      <c r="K99" s="409"/>
      <c r="L99" s="409"/>
      <c r="M99" s="409"/>
      <c r="N99" s="409"/>
      <c r="O99" s="467"/>
      <c r="P99" s="467"/>
      <c r="Q99" s="467"/>
      <c r="R99" s="467"/>
      <c r="S99" s="467"/>
      <c r="T99" s="467"/>
      <c r="U99" s="467"/>
      <c r="V99" s="467"/>
      <c r="W99" s="467"/>
      <c r="X99" s="467"/>
      <c r="Y99" s="467"/>
      <c r="Z99" s="467"/>
    </row>
    <row r="100" spans="1:26" ht="15.75" customHeight="1">
      <c r="A100" s="409"/>
      <c r="B100" s="409"/>
      <c r="C100" s="409"/>
      <c r="D100" s="409"/>
      <c r="E100" s="409"/>
      <c r="F100" s="409"/>
      <c r="G100" s="409"/>
      <c r="H100" s="409"/>
      <c r="I100" s="409"/>
      <c r="J100" s="409"/>
      <c r="K100" s="409"/>
      <c r="L100" s="409"/>
      <c r="M100" s="409"/>
      <c r="N100" s="409"/>
      <c r="O100" s="467"/>
      <c r="P100" s="467"/>
      <c r="Q100" s="467"/>
      <c r="R100" s="467"/>
      <c r="S100" s="467"/>
      <c r="T100" s="467"/>
      <c r="U100" s="467"/>
      <c r="V100" s="467"/>
      <c r="W100" s="467"/>
      <c r="X100" s="467"/>
      <c r="Y100" s="467"/>
      <c r="Z100" s="467"/>
    </row>
    <row r="101" spans="1:26" ht="15.75" customHeight="1">
      <c r="A101" s="409"/>
      <c r="B101" s="409"/>
      <c r="C101" s="409"/>
      <c r="D101" s="409"/>
      <c r="E101" s="409"/>
      <c r="F101" s="409"/>
      <c r="G101" s="409"/>
      <c r="H101" s="409"/>
      <c r="I101" s="409"/>
      <c r="J101" s="409"/>
      <c r="K101" s="409"/>
      <c r="L101" s="409"/>
      <c r="M101" s="409"/>
      <c r="N101" s="409"/>
      <c r="O101" s="467"/>
      <c r="P101" s="467"/>
      <c r="Q101" s="467"/>
      <c r="R101" s="467"/>
      <c r="S101" s="467"/>
      <c r="T101" s="467"/>
      <c r="U101" s="467"/>
      <c r="V101" s="467"/>
      <c r="W101" s="467"/>
      <c r="X101" s="467"/>
      <c r="Y101" s="467"/>
      <c r="Z101" s="467"/>
    </row>
    <row r="102" spans="1:26" ht="15.75" customHeight="1">
      <c r="A102" s="409"/>
      <c r="B102" s="409"/>
      <c r="C102" s="409"/>
      <c r="D102" s="409"/>
      <c r="E102" s="409"/>
      <c r="F102" s="409"/>
      <c r="G102" s="409"/>
      <c r="H102" s="409"/>
      <c r="I102" s="409"/>
      <c r="J102" s="409"/>
      <c r="K102" s="409"/>
      <c r="L102" s="409"/>
      <c r="M102" s="409"/>
      <c r="N102" s="409"/>
      <c r="O102" s="467"/>
      <c r="P102" s="467"/>
      <c r="Q102" s="467"/>
      <c r="R102" s="467"/>
      <c r="S102" s="467"/>
      <c r="T102" s="467"/>
      <c r="U102" s="467"/>
      <c r="V102" s="467"/>
      <c r="W102" s="467"/>
      <c r="X102" s="467"/>
      <c r="Y102" s="467"/>
      <c r="Z102" s="467"/>
    </row>
    <row r="103" spans="1:26" ht="15.75" customHeight="1">
      <c r="A103" s="409"/>
      <c r="B103" s="409"/>
      <c r="C103" s="409"/>
      <c r="D103" s="409"/>
      <c r="E103" s="409"/>
      <c r="F103" s="409"/>
      <c r="G103" s="409"/>
      <c r="H103" s="409"/>
      <c r="I103" s="409"/>
      <c r="J103" s="409"/>
      <c r="K103" s="409"/>
      <c r="L103" s="409"/>
      <c r="M103" s="409"/>
      <c r="N103" s="409"/>
      <c r="O103" s="467"/>
      <c r="P103" s="467"/>
      <c r="Q103" s="467"/>
      <c r="R103" s="467"/>
      <c r="S103" s="467"/>
      <c r="T103" s="467"/>
      <c r="U103" s="467"/>
      <c r="V103" s="467"/>
      <c r="W103" s="467"/>
      <c r="X103" s="467"/>
      <c r="Y103" s="467"/>
      <c r="Z103" s="467"/>
    </row>
    <row r="104" spans="1:26" ht="15.75" customHeight="1">
      <c r="A104" s="409"/>
      <c r="B104" s="409"/>
      <c r="C104" s="409"/>
      <c r="D104" s="409"/>
      <c r="E104" s="409"/>
      <c r="F104" s="409"/>
      <c r="G104" s="409"/>
      <c r="H104" s="409"/>
      <c r="I104" s="409"/>
      <c r="J104" s="409"/>
      <c r="K104" s="409"/>
      <c r="L104" s="409"/>
      <c r="M104" s="409"/>
      <c r="N104" s="409"/>
      <c r="O104" s="467"/>
      <c r="P104" s="467"/>
      <c r="Q104" s="467"/>
      <c r="R104" s="467"/>
      <c r="S104" s="467"/>
      <c r="T104" s="467"/>
      <c r="U104" s="467"/>
      <c r="V104" s="467"/>
      <c r="W104" s="467"/>
      <c r="X104" s="467"/>
      <c r="Y104" s="467"/>
      <c r="Z104" s="467"/>
    </row>
    <row r="105" spans="1:26" ht="15.75" customHeight="1">
      <c r="A105" s="409"/>
      <c r="B105" s="409"/>
      <c r="C105" s="409"/>
      <c r="D105" s="409"/>
      <c r="E105" s="409"/>
      <c r="F105" s="409"/>
      <c r="G105" s="409"/>
      <c r="H105" s="409"/>
      <c r="I105" s="409"/>
      <c r="J105" s="409"/>
      <c r="K105" s="409"/>
      <c r="L105" s="409"/>
      <c r="M105" s="409"/>
      <c r="N105" s="409"/>
      <c r="O105" s="467"/>
      <c r="P105" s="467"/>
      <c r="Q105" s="467"/>
      <c r="R105" s="467"/>
      <c r="S105" s="467"/>
      <c r="T105" s="467"/>
      <c r="U105" s="467"/>
      <c r="V105" s="467"/>
      <c r="W105" s="467"/>
      <c r="X105" s="467"/>
      <c r="Y105" s="467"/>
      <c r="Z105" s="467"/>
    </row>
    <row r="106" spans="1:26" ht="15.75" customHeight="1">
      <c r="A106" s="409"/>
      <c r="B106" s="409"/>
      <c r="C106" s="409"/>
      <c r="D106" s="409"/>
      <c r="E106" s="409"/>
      <c r="F106" s="409"/>
      <c r="G106" s="409"/>
      <c r="H106" s="409"/>
      <c r="I106" s="409"/>
      <c r="J106" s="409"/>
      <c r="K106" s="409"/>
      <c r="L106" s="409"/>
      <c r="M106" s="409"/>
      <c r="N106" s="409"/>
      <c r="O106" s="467"/>
      <c r="P106" s="467"/>
      <c r="Q106" s="467"/>
      <c r="R106" s="467"/>
      <c r="S106" s="467"/>
      <c r="T106" s="467"/>
      <c r="U106" s="467"/>
      <c r="V106" s="467"/>
      <c r="W106" s="467"/>
      <c r="X106" s="467"/>
      <c r="Y106" s="467"/>
      <c r="Z106" s="467"/>
    </row>
    <row r="107" spans="1:26" ht="15.75" customHeight="1">
      <c r="A107" s="409"/>
      <c r="B107" s="409"/>
      <c r="C107" s="409"/>
      <c r="D107" s="409"/>
      <c r="E107" s="409"/>
      <c r="F107" s="409"/>
      <c r="G107" s="409"/>
      <c r="H107" s="409"/>
      <c r="I107" s="409"/>
      <c r="J107" s="409"/>
      <c r="K107" s="409"/>
      <c r="L107" s="409"/>
      <c r="M107" s="409"/>
      <c r="N107" s="409"/>
      <c r="O107" s="467"/>
      <c r="P107" s="467"/>
      <c r="Q107" s="467"/>
      <c r="R107" s="467"/>
      <c r="S107" s="467"/>
      <c r="T107" s="467"/>
      <c r="U107" s="467"/>
      <c r="V107" s="467"/>
      <c r="W107" s="467"/>
      <c r="X107" s="467"/>
      <c r="Y107" s="467"/>
      <c r="Z107" s="467"/>
    </row>
    <row r="108" spans="1:26" ht="15.75" customHeight="1">
      <c r="A108" s="409"/>
      <c r="B108" s="409"/>
      <c r="C108" s="409"/>
      <c r="D108" s="409"/>
      <c r="E108" s="409"/>
      <c r="F108" s="409"/>
      <c r="G108" s="409"/>
      <c r="H108" s="409"/>
      <c r="I108" s="409"/>
      <c r="J108" s="409"/>
      <c r="K108" s="409"/>
      <c r="L108" s="409"/>
      <c r="M108" s="409"/>
      <c r="N108" s="409"/>
      <c r="O108" s="467"/>
      <c r="P108" s="467"/>
      <c r="Q108" s="467"/>
      <c r="R108" s="467"/>
      <c r="S108" s="467"/>
      <c r="T108" s="467"/>
      <c r="U108" s="467"/>
      <c r="V108" s="467"/>
      <c r="W108" s="467"/>
      <c r="X108" s="467"/>
      <c r="Y108" s="467"/>
      <c r="Z108" s="467"/>
    </row>
    <row r="109" spans="1:26" ht="15.75" customHeight="1">
      <c r="A109" s="409"/>
      <c r="B109" s="409"/>
      <c r="C109" s="409"/>
      <c r="D109" s="409"/>
      <c r="E109" s="409"/>
      <c r="F109" s="409"/>
      <c r="G109" s="409"/>
      <c r="H109" s="409"/>
      <c r="I109" s="409"/>
      <c r="J109" s="409"/>
      <c r="K109" s="409"/>
      <c r="L109" s="409"/>
      <c r="M109" s="409"/>
      <c r="N109" s="409"/>
      <c r="O109" s="467"/>
      <c r="P109" s="467"/>
      <c r="Q109" s="467"/>
      <c r="R109" s="467"/>
      <c r="S109" s="467"/>
      <c r="T109" s="467"/>
      <c r="U109" s="467"/>
      <c r="V109" s="467"/>
      <c r="W109" s="467"/>
      <c r="X109" s="467"/>
      <c r="Y109" s="467"/>
      <c r="Z109" s="467"/>
    </row>
    <row r="110" spans="1:26" ht="15.75" customHeight="1">
      <c r="A110" s="409"/>
      <c r="B110" s="409"/>
      <c r="C110" s="409"/>
      <c r="D110" s="409"/>
      <c r="E110" s="409"/>
      <c r="F110" s="409"/>
      <c r="G110" s="409"/>
      <c r="H110" s="409"/>
      <c r="I110" s="409"/>
      <c r="J110" s="409"/>
      <c r="K110" s="409"/>
      <c r="L110" s="409"/>
      <c r="M110" s="409"/>
      <c r="N110" s="409"/>
      <c r="O110" s="467"/>
      <c r="P110" s="467"/>
      <c r="Q110" s="467"/>
      <c r="R110" s="467"/>
      <c r="S110" s="467"/>
      <c r="T110" s="467"/>
      <c r="U110" s="467"/>
      <c r="V110" s="467"/>
      <c r="W110" s="467"/>
      <c r="X110" s="467"/>
      <c r="Y110" s="467"/>
      <c r="Z110" s="467"/>
    </row>
    <row r="111" spans="1:26" ht="15.75" customHeight="1">
      <c r="A111" s="409"/>
      <c r="B111" s="409"/>
      <c r="C111" s="409"/>
      <c r="D111" s="409"/>
      <c r="E111" s="409"/>
      <c r="F111" s="409"/>
      <c r="G111" s="409"/>
      <c r="H111" s="409"/>
      <c r="I111" s="409"/>
      <c r="J111" s="409"/>
      <c r="K111" s="409"/>
      <c r="L111" s="409"/>
      <c r="M111" s="409"/>
      <c r="N111" s="409"/>
      <c r="O111" s="467"/>
      <c r="P111" s="467"/>
      <c r="Q111" s="467"/>
      <c r="R111" s="467"/>
      <c r="S111" s="467"/>
      <c r="T111" s="467"/>
      <c r="U111" s="467"/>
      <c r="V111" s="467"/>
      <c r="W111" s="467"/>
      <c r="X111" s="467"/>
      <c r="Y111" s="467"/>
      <c r="Z111" s="467"/>
    </row>
    <row r="112" spans="1:26" ht="15.75" customHeight="1">
      <c r="A112" s="409"/>
      <c r="B112" s="409"/>
      <c r="C112" s="409"/>
      <c r="D112" s="409"/>
      <c r="E112" s="409"/>
      <c r="F112" s="409"/>
      <c r="G112" s="409"/>
      <c r="H112" s="409"/>
      <c r="I112" s="409"/>
      <c r="J112" s="409"/>
      <c r="K112" s="409"/>
      <c r="L112" s="409"/>
      <c r="M112" s="409"/>
      <c r="N112" s="409"/>
      <c r="O112" s="467"/>
      <c r="P112" s="467"/>
      <c r="Q112" s="467"/>
      <c r="R112" s="467"/>
      <c r="S112" s="467"/>
      <c r="T112" s="467"/>
      <c r="U112" s="467"/>
      <c r="V112" s="467"/>
      <c r="W112" s="467"/>
      <c r="X112" s="467"/>
      <c r="Y112" s="467"/>
      <c r="Z112" s="467"/>
    </row>
    <row r="113" spans="1:26" ht="15.75" customHeight="1">
      <c r="A113" s="409"/>
      <c r="B113" s="409"/>
      <c r="C113" s="409"/>
      <c r="D113" s="409"/>
      <c r="E113" s="409"/>
      <c r="F113" s="409"/>
      <c r="G113" s="409"/>
      <c r="H113" s="409"/>
      <c r="I113" s="409"/>
      <c r="J113" s="409"/>
      <c r="K113" s="409"/>
      <c r="L113" s="409"/>
      <c r="M113" s="409"/>
      <c r="N113" s="409"/>
      <c r="O113" s="467"/>
      <c r="P113" s="467"/>
      <c r="Q113" s="467"/>
      <c r="R113" s="467"/>
      <c r="S113" s="467"/>
      <c r="T113" s="467"/>
      <c r="U113" s="467"/>
      <c r="V113" s="467"/>
      <c r="W113" s="467"/>
      <c r="X113" s="467"/>
      <c r="Y113" s="467"/>
      <c r="Z113" s="467"/>
    </row>
    <row r="114" spans="1:26" ht="15.75" customHeight="1">
      <c r="A114" s="409"/>
      <c r="B114" s="409"/>
      <c r="C114" s="409"/>
      <c r="D114" s="409"/>
      <c r="E114" s="409"/>
      <c r="F114" s="409"/>
      <c r="G114" s="409"/>
      <c r="H114" s="409"/>
      <c r="I114" s="409"/>
      <c r="J114" s="409"/>
      <c r="K114" s="409"/>
      <c r="L114" s="409"/>
      <c r="M114" s="409"/>
      <c r="N114" s="409"/>
      <c r="O114" s="467"/>
      <c r="P114" s="467"/>
      <c r="Q114" s="467"/>
      <c r="R114" s="467"/>
      <c r="S114" s="467"/>
      <c r="T114" s="467"/>
      <c r="U114" s="467"/>
      <c r="V114" s="467"/>
      <c r="W114" s="467"/>
      <c r="X114" s="467"/>
      <c r="Y114" s="467"/>
      <c r="Z114" s="467"/>
    </row>
    <row r="115" spans="1:26" ht="15.75" customHeight="1">
      <c r="A115" s="409"/>
      <c r="B115" s="409"/>
      <c r="C115" s="409"/>
      <c r="D115" s="409"/>
      <c r="E115" s="409"/>
      <c r="F115" s="409"/>
      <c r="G115" s="409"/>
      <c r="H115" s="409"/>
      <c r="I115" s="409"/>
      <c r="J115" s="409"/>
      <c r="K115" s="409"/>
      <c r="L115" s="409"/>
      <c r="M115" s="409"/>
      <c r="N115" s="409"/>
      <c r="O115" s="467"/>
      <c r="P115" s="467"/>
      <c r="Q115" s="467"/>
      <c r="R115" s="467"/>
      <c r="S115" s="467"/>
      <c r="T115" s="467"/>
      <c r="U115" s="467"/>
      <c r="V115" s="467"/>
      <c r="W115" s="467"/>
      <c r="X115" s="467"/>
      <c r="Y115" s="467"/>
      <c r="Z115" s="467"/>
    </row>
    <row r="116" spans="1:26" ht="15.75" customHeight="1">
      <c r="A116" s="409"/>
      <c r="B116" s="409"/>
      <c r="C116" s="409"/>
      <c r="D116" s="409"/>
      <c r="E116" s="409"/>
      <c r="F116" s="409"/>
      <c r="G116" s="409"/>
      <c r="H116" s="409"/>
      <c r="I116" s="409"/>
      <c r="J116" s="409"/>
      <c r="K116" s="409"/>
      <c r="L116" s="409"/>
      <c r="M116" s="409"/>
      <c r="N116" s="409"/>
      <c r="O116" s="467"/>
      <c r="P116" s="467"/>
      <c r="Q116" s="467"/>
      <c r="R116" s="467"/>
      <c r="S116" s="467"/>
      <c r="T116" s="467"/>
      <c r="U116" s="467"/>
      <c r="V116" s="467"/>
      <c r="W116" s="467"/>
      <c r="X116" s="467"/>
      <c r="Y116" s="467"/>
      <c r="Z116" s="467"/>
    </row>
    <row r="117" spans="1:26" ht="15.75" customHeight="1">
      <c r="A117" s="409"/>
      <c r="B117" s="409"/>
      <c r="C117" s="409"/>
      <c r="D117" s="409"/>
      <c r="E117" s="409"/>
      <c r="F117" s="409"/>
      <c r="G117" s="409"/>
      <c r="H117" s="409"/>
      <c r="I117" s="409"/>
      <c r="J117" s="409"/>
      <c r="K117" s="409"/>
      <c r="L117" s="409"/>
      <c r="M117" s="409"/>
      <c r="N117" s="409"/>
      <c r="O117" s="467"/>
      <c r="P117" s="467"/>
      <c r="Q117" s="467"/>
      <c r="R117" s="467"/>
      <c r="S117" s="467"/>
      <c r="T117" s="467"/>
      <c r="U117" s="467"/>
      <c r="V117" s="467"/>
      <c r="W117" s="467"/>
      <c r="X117" s="467"/>
      <c r="Y117" s="467"/>
      <c r="Z117" s="467"/>
    </row>
    <row r="118" spans="1:26" ht="15.75" customHeight="1">
      <c r="A118" s="409"/>
      <c r="B118" s="409"/>
      <c r="C118" s="409"/>
      <c r="D118" s="409"/>
      <c r="E118" s="409"/>
      <c r="F118" s="409"/>
      <c r="G118" s="409"/>
      <c r="H118" s="409"/>
      <c r="I118" s="409"/>
      <c r="J118" s="409"/>
      <c r="K118" s="409"/>
      <c r="L118" s="409"/>
      <c r="M118" s="409"/>
      <c r="N118" s="409"/>
      <c r="O118" s="467"/>
      <c r="P118" s="467"/>
      <c r="Q118" s="467"/>
      <c r="R118" s="467"/>
      <c r="S118" s="467"/>
      <c r="T118" s="467"/>
      <c r="U118" s="467"/>
      <c r="V118" s="467"/>
      <c r="W118" s="467"/>
      <c r="X118" s="467"/>
      <c r="Y118" s="467"/>
      <c r="Z118" s="467"/>
    </row>
    <row r="119" spans="1:26" ht="15.75" customHeight="1">
      <c r="A119" s="409"/>
      <c r="B119" s="409"/>
      <c r="C119" s="409"/>
      <c r="D119" s="409"/>
      <c r="E119" s="409"/>
      <c r="F119" s="409"/>
      <c r="G119" s="409"/>
      <c r="H119" s="409"/>
      <c r="I119" s="409"/>
      <c r="J119" s="409"/>
      <c r="K119" s="409"/>
      <c r="L119" s="409"/>
      <c r="M119" s="409"/>
      <c r="N119" s="409"/>
      <c r="O119" s="467"/>
      <c r="P119" s="467"/>
      <c r="Q119" s="467"/>
      <c r="R119" s="467"/>
      <c r="S119" s="467"/>
      <c r="T119" s="467"/>
      <c r="U119" s="467"/>
      <c r="V119" s="467"/>
      <c r="W119" s="467"/>
      <c r="X119" s="467"/>
      <c r="Y119" s="467"/>
      <c r="Z119" s="467"/>
    </row>
    <row r="120" spans="1:26" ht="15.75" customHeight="1">
      <c r="A120" s="409"/>
      <c r="B120" s="409"/>
      <c r="C120" s="409"/>
      <c r="D120" s="409"/>
      <c r="E120" s="409"/>
      <c r="F120" s="409"/>
      <c r="G120" s="409"/>
      <c r="H120" s="409"/>
      <c r="I120" s="409"/>
      <c r="J120" s="409"/>
      <c r="K120" s="409"/>
      <c r="L120" s="409"/>
      <c r="M120" s="409"/>
      <c r="N120" s="409"/>
      <c r="O120" s="467"/>
      <c r="P120" s="467"/>
      <c r="Q120" s="467"/>
      <c r="R120" s="467"/>
      <c r="S120" s="467"/>
      <c r="T120" s="467"/>
      <c r="U120" s="467"/>
      <c r="V120" s="467"/>
      <c r="W120" s="467"/>
      <c r="X120" s="467"/>
      <c r="Y120" s="467"/>
      <c r="Z120" s="467"/>
    </row>
    <row r="121" spans="1:26" ht="15.75" customHeight="1">
      <c r="A121" s="409"/>
      <c r="B121" s="409"/>
      <c r="C121" s="409"/>
      <c r="D121" s="409"/>
      <c r="E121" s="409"/>
      <c r="F121" s="409"/>
      <c r="G121" s="409"/>
      <c r="H121" s="409"/>
      <c r="I121" s="409"/>
      <c r="J121" s="409"/>
      <c r="K121" s="409"/>
      <c r="L121" s="409"/>
      <c r="M121" s="409"/>
      <c r="N121" s="409"/>
      <c r="O121" s="467"/>
      <c r="P121" s="467"/>
      <c r="Q121" s="467"/>
      <c r="R121" s="467"/>
      <c r="S121" s="467"/>
      <c r="T121" s="467"/>
      <c r="U121" s="467"/>
      <c r="V121" s="467"/>
      <c r="W121" s="467"/>
      <c r="X121" s="467"/>
      <c r="Y121" s="467"/>
      <c r="Z121" s="467"/>
    </row>
    <row r="122" spans="1:26" ht="15.75" customHeight="1">
      <c r="A122" s="409"/>
      <c r="B122" s="409"/>
      <c r="C122" s="409"/>
      <c r="D122" s="409"/>
      <c r="E122" s="409"/>
      <c r="F122" s="409"/>
      <c r="G122" s="409"/>
      <c r="H122" s="409"/>
      <c r="I122" s="409"/>
      <c r="J122" s="409"/>
      <c r="K122" s="409"/>
      <c r="L122" s="409"/>
      <c r="M122" s="409"/>
      <c r="N122" s="409"/>
      <c r="O122" s="467"/>
      <c r="P122" s="467"/>
      <c r="Q122" s="467"/>
      <c r="R122" s="467"/>
      <c r="S122" s="467"/>
      <c r="T122" s="467"/>
      <c r="U122" s="467"/>
      <c r="V122" s="467"/>
      <c r="W122" s="467"/>
      <c r="X122" s="467"/>
      <c r="Y122" s="467"/>
      <c r="Z122" s="467"/>
    </row>
    <row r="123" spans="1:26" ht="15.75" customHeight="1">
      <c r="A123" s="409"/>
      <c r="B123" s="409"/>
      <c r="C123" s="409"/>
      <c r="D123" s="409"/>
      <c r="E123" s="409"/>
      <c r="F123" s="409"/>
      <c r="G123" s="409"/>
      <c r="H123" s="409"/>
      <c r="I123" s="409"/>
      <c r="J123" s="409"/>
      <c r="K123" s="409"/>
      <c r="L123" s="409"/>
      <c r="M123" s="409"/>
      <c r="N123" s="409"/>
      <c r="O123" s="467"/>
      <c r="P123" s="467"/>
      <c r="Q123" s="467"/>
      <c r="R123" s="467"/>
      <c r="S123" s="467"/>
      <c r="T123" s="467"/>
      <c r="U123" s="467"/>
      <c r="V123" s="467"/>
      <c r="W123" s="467"/>
      <c r="X123" s="467"/>
      <c r="Y123" s="467"/>
      <c r="Z123" s="467"/>
    </row>
    <row r="124" spans="1:26" ht="15.75" customHeight="1">
      <c r="A124" s="409"/>
      <c r="B124" s="409"/>
      <c r="C124" s="409"/>
      <c r="D124" s="409"/>
      <c r="E124" s="409"/>
      <c r="F124" s="409"/>
      <c r="G124" s="409"/>
      <c r="H124" s="409"/>
      <c r="I124" s="409"/>
      <c r="J124" s="409"/>
      <c r="K124" s="409"/>
      <c r="L124" s="409"/>
      <c r="M124" s="409"/>
      <c r="N124" s="409"/>
      <c r="O124" s="467"/>
      <c r="P124" s="467"/>
      <c r="Q124" s="467"/>
      <c r="R124" s="467"/>
      <c r="S124" s="467"/>
      <c r="T124" s="467"/>
      <c r="U124" s="467"/>
      <c r="V124" s="467"/>
      <c r="W124" s="467"/>
      <c r="X124" s="467"/>
      <c r="Y124" s="467"/>
      <c r="Z124" s="467"/>
    </row>
    <row r="125" spans="1:26" ht="15.75" customHeight="1">
      <c r="A125" s="409"/>
      <c r="B125" s="409"/>
      <c r="C125" s="409"/>
      <c r="D125" s="409"/>
      <c r="E125" s="409"/>
      <c r="F125" s="409"/>
      <c r="G125" s="409"/>
      <c r="H125" s="409"/>
      <c r="I125" s="409"/>
      <c r="J125" s="409"/>
      <c r="K125" s="409"/>
      <c r="L125" s="409"/>
      <c r="M125" s="409"/>
      <c r="N125" s="409"/>
      <c r="O125" s="467"/>
      <c r="P125" s="467"/>
      <c r="Q125" s="467"/>
      <c r="R125" s="467"/>
      <c r="S125" s="467"/>
      <c r="T125" s="467"/>
      <c r="U125" s="467"/>
      <c r="V125" s="467"/>
      <c r="W125" s="467"/>
      <c r="X125" s="467"/>
      <c r="Y125" s="467"/>
      <c r="Z125" s="467"/>
    </row>
    <row r="126" spans="1:26" ht="15.75" customHeight="1">
      <c r="A126" s="409"/>
      <c r="B126" s="409"/>
      <c r="C126" s="409"/>
      <c r="D126" s="409"/>
      <c r="E126" s="409"/>
      <c r="F126" s="409"/>
      <c r="G126" s="409"/>
      <c r="H126" s="409"/>
      <c r="I126" s="409"/>
      <c r="J126" s="409"/>
      <c r="K126" s="409"/>
      <c r="L126" s="409"/>
      <c r="M126" s="409"/>
      <c r="N126" s="409"/>
      <c r="O126" s="467"/>
      <c r="P126" s="467"/>
      <c r="Q126" s="467"/>
      <c r="R126" s="467"/>
      <c r="S126" s="467"/>
      <c r="T126" s="467"/>
      <c r="U126" s="467"/>
      <c r="V126" s="467"/>
      <c r="W126" s="467"/>
      <c r="X126" s="467"/>
      <c r="Y126" s="467"/>
      <c r="Z126" s="467"/>
    </row>
    <row r="127" spans="1:26" ht="15.75" customHeight="1">
      <c r="A127" s="409"/>
      <c r="B127" s="409"/>
      <c r="C127" s="409"/>
      <c r="D127" s="409"/>
      <c r="E127" s="409"/>
      <c r="F127" s="409"/>
      <c r="G127" s="409"/>
      <c r="H127" s="409"/>
      <c r="I127" s="409"/>
      <c r="J127" s="409"/>
      <c r="K127" s="409"/>
      <c r="L127" s="409"/>
      <c r="M127" s="409"/>
      <c r="N127" s="409"/>
      <c r="O127" s="467"/>
      <c r="P127" s="467"/>
      <c r="Q127" s="467"/>
      <c r="R127" s="467"/>
      <c r="S127" s="467"/>
      <c r="T127" s="467"/>
      <c r="U127" s="467"/>
      <c r="V127" s="467"/>
      <c r="W127" s="467"/>
      <c r="X127" s="467"/>
      <c r="Y127" s="467"/>
      <c r="Z127" s="467"/>
    </row>
    <row r="128" spans="1:26" ht="15.75" customHeight="1">
      <c r="A128" s="409"/>
      <c r="B128" s="409"/>
      <c r="C128" s="409"/>
      <c r="D128" s="409"/>
      <c r="E128" s="409"/>
      <c r="F128" s="409"/>
      <c r="G128" s="409"/>
      <c r="H128" s="409"/>
      <c r="I128" s="409"/>
      <c r="J128" s="409"/>
      <c r="K128" s="409"/>
      <c r="L128" s="409"/>
      <c r="M128" s="409"/>
      <c r="N128" s="409"/>
      <c r="O128" s="467"/>
      <c r="P128" s="467"/>
      <c r="Q128" s="467"/>
      <c r="R128" s="467"/>
      <c r="S128" s="467"/>
      <c r="T128" s="467"/>
      <c r="U128" s="467"/>
      <c r="V128" s="467"/>
      <c r="W128" s="467"/>
      <c r="X128" s="467"/>
      <c r="Y128" s="467"/>
      <c r="Z128" s="467"/>
    </row>
    <row r="129" spans="1:26" ht="15.75" customHeight="1">
      <c r="A129" s="409"/>
      <c r="B129" s="409"/>
      <c r="C129" s="409"/>
      <c r="D129" s="409"/>
      <c r="E129" s="409"/>
      <c r="F129" s="409"/>
      <c r="G129" s="409"/>
      <c r="H129" s="409"/>
      <c r="I129" s="409"/>
      <c r="J129" s="409"/>
      <c r="K129" s="409"/>
      <c r="L129" s="409"/>
      <c r="M129" s="409"/>
      <c r="N129" s="409"/>
      <c r="O129" s="467"/>
      <c r="P129" s="467"/>
      <c r="Q129" s="467"/>
      <c r="R129" s="467"/>
      <c r="S129" s="467"/>
      <c r="T129" s="467"/>
      <c r="U129" s="467"/>
      <c r="V129" s="467"/>
      <c r="W129" s="467"/>
      <c r="X129" s="467"/>
      <c r="Y129" s="467"/>
      <c r="Z129" s="467"/>
    </row>
    <row r="130" spans="1:26" ht="15.75" customHeight="1">
      <c r="A130" s="409"/>
      <c r="B130" s="409"/>
      <c r="C130" s="409"/>
      <c r="D130" s="409"/>
      <c r="E130" s="409"/>
      <c r="F130" s="409"/>
      <c r="G130" s="409"/>
      <c r="H130" s="409"/>
      <c r="I130" s="409"/>
      <c r="J130" s="409"/>
      <c r="K130" s="409"/>
      <c r="L130" s="409"/>
      <c r="M130" s="409"/>
      <c r="N130" s="409"/>
      <c r="O130" s="467"/>
      <c r="P130" s="467"/>
      <c r="Q130" s="467"/>
      <c r="R130" s="467"/>
      <c r="S130" s="467"/>
      <c r="T130" s="467"/>
      <c r="U130" s="467"/>
      <c r="V130" s="467"/>
      <c r="W130" s="467"/>
      <c r="X130" s="467"/>
      <c r="Y130" s="467"/>
      <c r="Z130" s="467"/>
    </row>
    <row r="131" spans="1:26" ht="15.75" customHeight="1">
      <c r="A131" s="409"/>
      <c r="B131" s="409"/>
      <c r="C131" s="409"/>
      <c r="D131" s="409"/>
      <c r="E131" s="409"/>
      <c r="F131" s="409"/>
      <c r="G131" s="409"/>
      <c r="H131" s="409"/>
      <c r="I131" s="409"/>
      <c r="J131" s="409"/>
      <c r="K131" s="409"/>
      <c r="L131" s="409"/>
      <c r="M131" s="409"/>
      <c r="N131" s="409"/>
      <c r="O131" s="467"/>
      <c r="P131" s="467"/>
      <c r="Q131" s="467"/>
      <c r="R131" s="467"/>
      <c r="S131" s="467"/>
      <c r="T131" s="467"/>
      <c r="U131" s="467"/>
      <c r="V131" s="467"/>
      <c r="W131" s="467"/>
      <c r="X131" s="467"/>
      <c r="Y131" s="467"/>
      <c r="Z131" s="467"/>
    </row>
    <row r="132" spans="1:26" ht="15.75" customHeight="1">
      <c r="A132" s="409"/>
      <c r="B132" s="409"/>
      <c r="C132" s="409"/>
      <c r="D132" s="409"/>
      <c r="E132" s="409"/>
      <c r="F132" s="409"/>
      <c r="G132" s="409"/>
      <c r="H132" s="409"/>
      <c r="I132" s="409"/>
      <c r="J132" s="409"/>
      <c r="K132" s="409"/>
      <c r="L132" s="409"/>
      <c r="M132" s="409"/>
      <c r="N132" s="409"/>
      <c r="O132" s="467"/>
      <c r="P132" s="467"/>
      <c r="Q132" s="467"/>
      <c r="R132" s="467"/>
      <c r="S132" s="467"/>
      <c r="T132" s="467"/>
      <c r="U132" s="467"/>
      <c r="V132" s="467"/>
      <c r="W132" s="467"/>
      <c r="X132" s="467"/>
      <c r="Y132" s="467"/>
      <c r="Z132" s="467"/>
    </row>
    <row r="133" spans="1:26" ht="15.75" customHeight="1">
      <c r="A133" s="409"/>
      <c r="B133" s="409"/>
      <c r="C133" s="409"/>
      <c r="D133" s="409"/>
      <c r="E133" s="409"/>
      <c r="F133" s="409"/>
      <c r="G133" s="409"/>
      <c r="H133" s="409"/>
      <c r="I133" s="409"/>
      <c r="J133" s="409"/>
      <c r="K133" s="409"/>
      <c r="L133" s="409"/>
      <c r="M133" s="409"/>
      <c r="N133" s="409"/>
      <c r="O133" s="467"/>
      <c r="P133" s="467"/>
      <c r="Q133" s="467"/>
      <c r="R133" s="467"/>
      <c r="S133" s="467"/>
      <c r="T133" s="467"/>
      <c r="U133" s="467"/>
      <c r="V133" s="467"/>
      <c r="W133" s="467"/>
      <c r="X133" s="467"/>
      <c r="Y133" s="467"/>
      <c r="Z133" s="467"/>
    </row>
    <row r="134" spans="1:26" ht="15.75" customHeight="1">
      <c r="A134" s="409"/>
      <c r="B134" s="409"/>
      <c r="C134" s="409"/>
      <c r="D134" s="409"/>
      <c r="E134" s="409"/>
      <c r="F134" s="409"/>
      <c r="G134" s="409"/>
      <c r="H134" s="409"/>
      <c r="I134" s="409"/>
      <c r="J134" s="409"/>
      <c r="K134" s="409"/>
      <c r="L134" s="409"/>
      <c r="M134" s="409"/>
      <c r="N134" s="409"/>
      <c r="O134" s="467"/>
      <c r="P134" s="467"/>
      <c r="Q134" s="467"/>
      <c r="R134" s="467"/>
      <c r="S134" s="467"/>
      <c r="T134" s="467"/>
      <c r="U134" s="467"/>
      <c r="V134" s="467"/>
      <c r="W134" s="467"/>
      <c r="X134" s="467"/>
      <c r="Y134" s="467"/>
      <c r="Z134" s="467"/>
    </row>
    <row r="135" spans="1:26" ht="15.75" customHeight="1">
      <c r="A135" s="409"/>
      <c r="B135" s="409"/>
      <c r="C135" s="409"/>
      <c r="D135" s="409"/>
      <c r="E135" s="409"/>
      <c r="F135" s="409"/>
      <c r="G135" s="409"/>
      <c r="H135" s="409"/>
      <c r="I135" s="409"/>
      <c r="J135" s="409"/>
      <c r="K135" s="409"/>
      <c r="L135" s="409"/>
      <c r="M135" s="409"/>
      <c r="N135" s="409"/>
      <c r="O135" s="467"/>
      <c r="P135" s="467"/>
      <c r="Q135" s="467"/>
      <c r="R135" s="467"/>
      <c r="S135" s="467"/>
      <c r="T135" s="467"/>
      <c r="U135" s="467"/>
      <c r="V135" s="467"/>
      <c r="W135" s="467"/>
      <c r="X135" s="467"/>
      <c r="Y135" s="467"/>
      <c r="Z135" s="467"/>
    </row>
    <row r="136" spans="1:26" ht="15.75" customHeight="1">
      <c r="A136" s="409"/>
      <c r="B136" s="409"/>
      <c r="C136" s="409"/>
      <c r="D136" s="409"/>
      <c r="E136" s="409"/>
      <c r="F136" s="409"/>
      <c r="G136" s="409"/>
      <c r="H136" s="409"/>
      <c r="I136" s="409"/>
      <c r="J136" s="409"/>
      <c r="K136" s="409"/>
      <c r="L136" s="409"/>
      <c r="M136" s="409"/>
      <c r="N136" s="409"/>
      <c r="O136" s="467"/>
      <c r="P136" s="467"/>
      <c r="Q136" s="467"/>
      <c r="R136" s="467"/>
      <c r="S136" s="467"/>
      <c r="T136" s="467"/>
      <c r="U136" s="467"/>
      <c r="V136" s="467"/>
      <c r="W136" s="467"/>
      <c r="X136" s="467"/>
      <c r="Y136" s="467"/>
      <c r="Z136" s="467"/>
    </row>
    <row r="137" spans="1:26" ht="15.75" customHeight="1">
      <c r="A137" s="409"/>
      <c r="B137" s="409"/>
      <c r="C137" s="409"/>
      <c r="D137" s="409"/>
      <c r="E137" s="409"/>
      <c r="F137" s="409"/>
      <c r="G137" s="409"/>
      <c r="H137" s="409"/>
      <c r="I137" s="409"/>
      <c r="J137" s="409"/>
      <c r="K137" s="409"/>
      <c r="L137" s="409"/>
      <c r="M137" s="409"/>
      <c r="N137" s="409"/>
      <c r="O137" s="467"/>
      <c r="P137" s="467"/>
      <c r="Q137" s="467"/>
      <c r="R137" s="467"/>
      <c r="S137" s="467"/>
      <c r="T137" s="467"/>
      <c r="U137" s="467"/>
      <c r="V137" s="467"/>
      <c r="W137" s="467"/>
      <c r="X137" s="467"/>
      <c r="Y137" s="467"/>
      <c r="Z137" s="467"/>
    </row>
    <row r="138" spans="1:26" ht="15.75" customHeight="1">
      <c r="A138" s="409"/>
      <c r="B138" s="409"/>
      <c r="C138" s="409"/>
      <c r="D138" s="409"/>
      <c r="E138" s="409"/>
      <c r="F138" s="409"/>
      <c r="G138" s="409"/>
      <c r="H138" s="409"/>
      <c r="I138" s="409"/>
      <c r="J138" s="409"/>
      <c r="K138" s="409"/>
      <c r="L138" s="409"/>
      <c r="M138" s="409"/>
      <c r="N138" s="409"/>
      <c r="O138" s="467"/>
      <c r="P138" s="467"/>
      <c r="Q138" s="467"/>
      <c r="R138" s="467"/>
      <c r="S138" s="467"/>
      <c r="T138" s="467"/>
      <c r="U138" s="467"/>
      <c r="V138" s="467"/>
      <c r="W138" s="467"/>
      <c r="X138" s="467"/>
      <c r="Y138" s="467"/>
      <c r="Z138" s="467"/>
    </row>
    <row r="139" spans="1:26" ht="15.75" customHeight="1">
      <c r="A139" s="409"/>
      <c r="B139" s="409"/>
      <c r="C139" s="409"/>
      <c r="D139" s="409"/>
      <c r="E139" s="409"/>
      <c r="F139" s="409"/>
      <c r="G139" s="409"/>
      <c r="H139" s="409"/>
      <c r="I139" s="409"/>
      <c r="J139" s="409"/>
      <c r="K139" s="409"/>
      <c r="L139" s="409"/>
      <c r="M139" s="409"/>
      <c r="N139" s="409"/>
      <c r="O139" s="467"/>
      <c r="P139" s="467"/>
      <c r="Q139" s="467"/>
      <c r="R139" s="467"/>
      <c r="S139" s="467"/>
      <c r="T139" s="467"/>
      <c r="U139" s="467"/>
      <c r="V139" s="467"/>
      <c r="W139" s="467"/>
      <c r="X139" s="467"/>
      <c r="Y139" s="467"/>
      <c r="Z139" s="467"/>
    </row>
    <row r="140" spans="1:26" ht="15.75" customHeight="1">
      <c r="A140" s="409"/>
      <c r="B140" s="409"/>
      <c r="C140" s="409"/>
      <c r="D140" s="409"/>
      <c r="E140" s="409"/>
      <c r="F140" s="409"/>
      <c r="G140" s="409"/>
      <c r="H140" s="409"/>
      <c r="I140" s="409"/>
      <c r="J140" s="409"/>
      <c r="K140" s="409"/>
      <c r="L140" s="409"/>
      <c r="M140" s="409"/>
      <c r="N140" s="409"/>
      <c r="O140" s="467"/>
      <c r="P140" s="467"/>
      <c r="Q140" s="467"/>
      <c r="R140" s="467"/>
      <c r="S140" s="467"/>
      <c r="T140" s="467"/>
      <c r="U140" s="467"/>
      <c r="V140" s="467"/>
      <c r="W140" s="467"/>
      <c r="X140" s="467"/>
      <c r="Y140" s="467"/>
      <c r="Z140" s="467"/>
    </row>
    <row r="141" spans="1:26" ht="15.75" customHeight="1">
      <c r="A141" s="409"/>
      <c r="B141" s="409"/>
      <c r="C141" s="409"/>
      <c r="D141" s="409"/>
      <c r="E141" s="409"/>
      <c r="F141" s="409"/>
      <c r="G141" s="409"/>
      <c r="H141" s="409"/>
      <c r="I141" s="409"/>
      <c r="J141" s="409"/>
      <c r="K141" s="409"/>
      <c r="L141" s="409"/>
      <c r="M141" s="409"/>
      <c r="N141" s="409"/>
      <c r="O141" s="467"/>
      <c r="P141" s="467"/>
      <c r="Q141" s="467"/>
      <c r="R141" s="467"/>
      <c r="S141" s="467"/>
      <c r="T141" s="467"/>
      <c r="U141" s="467"/>
      <c r="V141" s="467"/>
      <c r="W141" s="467"/>
      <c r="X141" s="467"/>
      <c r="Y141" s="467"/>
      <c r="Z141" s="467"/>
    </row>
    <row r="142" spans="1:26" ht="15.75" customHeight="1">
      <c r="A142" s="409"/>
      <c r="B142" s="409"/>
      <c r="C142" s="409"/>
      <c r="D142" s="409"/>
      <c r="E142" s="409"/>
      <c r="F142" s="409"/>
      <c r="G142" s="409"/>
      <c r="H142" s="409"/>
      <c r="I142" s="409"/>
      <c r="J142" s="409"/>
      <c r="K142" s="409"/>
      <c r="L142" s="409"/>
      <c r="M142" s="409"/>
      <c r="N142" s="409"/>
      <c r="O142" s="467"/>
      <c r="P142" s="467"/>
      <c r="Q142" s="467"/>
      <c r="R142" s="467"/>
      <c r="S142" s="467"/>
      <c r="T142" s="467"/>
      <c r="U142" s="467"/>
      <c r="V142" s="467"/>
      <c r="W142" s="467"/>
      <c r="X142" s="467"/>
      <c r="Y142" s="467"/>
      <c r="Z142" s="467"/>
    </row>
    <row r="143" spans="1:26" ht="15.75" customHeight="1">
      <c r="A143" s="409"/>
      <c r="B143" s="409"/>
      <c r="C143" s="409"/>
      <c r="D143" s="409"/>
      <c r="E143" s="409"/>
      <c r="F143" s="409"/>
      <c r="G143" s="409"/>
      <c r="H143" s="409"/>
      <c r="I143" s="409"/>
      <c r="J143" s="409"/>
      <c r="K143" s="409"/>
      <c r="L143" s="409"/>
      <c r="M143" s="409"/>
      <c r="N143" s="409"/>
      <c r="O143" s="467"/>
      <c r="P143" s="467"/>
      <c r="Q143" s="467"/>
      <c r="R143" s="467"/>
      <c r="S143" s="467"/>
      <c r="T143" s="467"/>
      <c r="U143" s="467"/>
      <c r="V143" s="467"/>
      <c r="W143" s="467"/>
      <c r="X143" s="467"/>
      <c r="Y143" s="467"/>
      <c r="Z143" s="467"/>
    </row>
    <row r="144" spans="1:26" ht="15.75" customHeight="1">
      <c r="A144" s="409"/>
      <c r="B144" s="409"/>
      <c r="C144" s="409"/>
      <c r="D144" s="409"/>
      <c r="E144" s="409"/>
      <c r="F144" s="409"/>
      <c r="G144" s="409"/>
      <c r="H144" s="409"/>
      <c r="I144" s="409"/>
      <c r="J144" s="409"/>
      <c r="K144" s="409"/>
      <c r="L144" s="409"/>
      <c r="M144" s="409"/>
      <c r="N144" s="409"/>
      <c r="O144" s="467"/>
      <c r="P144" s="467"/>
      <c r="Q144" s="467"/>
      <c r="R144" s="467"/>
      <c r="S144" s="467"/>
      <c r="T144" s="467"/>
      <c r="U144" s="467"/>
      <c r="V144" s="467"/>
      <c r="W144" s="467"/>
      <c r="X144" s="467"/>
      <c r="Y144" s="467"/>
      <c r="Z144" s="467"/>
    </row>
    <row r="145" spans="1:26" ht="15.75" customHeight="1">
      <c r="A145" s="409"/>
      <c r="B145" s="409"/>
      <c r="C145" s="409"/>
      <c r="D145" s="409"/>
      <c r="E145" s="409"/>
      <c r="F145" s="409"/>
      <c r="G145" s="409"/>
      <c r="H145" s="409"/>
      <c r="I145" s="409"/>
      <c r="J145" s="409"/>
      <c r="K145" s="409"/>
      <c r="L145" s="409"/>
      <c r="M145" s="409"/>
      <c r="N145" s="409"/>
      <c r="O145" s="467"/>
      <c r="P145" s="467"/>
      <c r="Q145" s="467"/>
      <c r="R145" s="467"/>
      <c r="S145" s="467"/>
      <c r="T145" s="467"/>
      <c r="U145" s="467"/>
      <c r="V145" s="467"/>
      <c r="W145" s="467"/>
      <c r="X145" s="467"/>
      <c r="Y145" s="467"/>
      <c r="Z145" s="467"/>
    </row>
    <row r="146" spans="1:26" ht="15.75" customHeight="1">
      <c r="A146" s="409"/>
      <c r="B146" s="409"/>
      <c r="C146" s="409"/>
      <c r="D146" s="409"/>
      <c r="E146" s="409"/>
      <c r="F146" s="409"/>
      <c r="G146" s="409"/>
      <c r="H146" s="409"/>
      <c r="I146" s="409"/>
      <c r="J146" s="409"/>
      <c r="K146" s="409"/>
      <c r="L146" s="409"/>
      <c r="M146" s="409"/>
      <c r="N146" s="409"/>
      <c r="O146" s="467"/>
      <c r="P146" s="467"/>
      <c r="Q146" s="467"/>
      <c r="R146" s="467"/>
      <c r="S146" s="467"/>
      <c r="T146" s="467"/>
      <c r="U146" s="467"/>
      <c r="V146" s="467"/>
      <c r="W146" s="467"/>
      <c r="X146" s="467"/>
      <c r="Y146" s="467"/>
      <c r="Z146" s="467"/>
    </row>
    <row r="147" spans="1:26" ht="15.75" customHeight="1">
      <c r="A147" s="409"/>
      <c r="B147" s="409"/>
      <c r="C147" s="409"/>
      <c r="D147" s="409"/>
      <c r="E147" s="409"/>
      <c r="F147" s="409"/>
      <c r="G147" s="409"/>
      <c r="H147" s="409"/>
      <c r="I147" s="409"/>
      <c r="J147" s="409"/>
      <c r="K147" s="409"/>
      <c r="L147" s="409"/>
      <c r="M147" s="409"/>
      <c r="N147" s="409"/>
      <c r="O147" s="467"/>
      <c r="P147" s="467"/>
      <c r="Q147" s="467"/>
      <c r="R147" s="467"/>
      <c r="S147" s="467"/>
      <c r="T147" s="467"/>
      <c r="U147" s="467"/>
      <c r="V147" s="467"/>
      <c r="W147" s="467"/>
      <c r="X147" s="467"/>
      <c r="Y147" s="467"/>
      <c r="Z147" s="467"/>
    </row>
    <row r="148" spans="1:26" ht="15.75" customHeight="1">
      <c r="A148" s="409"/>
      <c r="B148" s="409"/>
      <c r="C148" s="409"/>
      <c r="D148" s="409"/>
      <c r="E148" s="409"/>
      <c r="F148" s="409"/>
      <c r="G148" s="409"/>
      <c r="H148" s="409"/>
      <c r="I148" s="409"/>
      <c r="J148" s="409"/>
      <c r="K148" s="409"/>
      <c r="L148" s="409"/>
      <c r="M148" s="409"/>
      <c r="N148" s="409"/>
      <c r="O148" s="467"/>
      <c r="P148" s="467"/>
      <c r="Q148" s="467"/>
      <c r="R148" s="467"/>
      <c r="S148" s="467"/>
      <c r="T148" s="467"/>
      <c r="U148" s="467"/>
      <c r="V148" s="467"/>
      <c r="W148" s="467"/>
      <c r="X148" s="467"/>
      <c r="Y148" s="467"/>
      <c r="Z148" s="467"/>
    </row>
    <row r="149" spans="1:26" ht="15.75" customHeight="1">
      <c r="A149" s="409"/>
      <c r="B149" s="409"/>
      <c r="C149" s="409"/>
      <c r="D149" s="409"/>
      <c r="E149" s="409"/>
      <c r="F149" s="409"/>
      <c r="G149" s="409"/>
      <c r="H149" s="409"/>
      <c r="I149" s="409"/>
      <c r="J149" s="409"/>
      <c r="K149" s="409"/>
      <c r="L149" s="409"/>
      <c r="M149" s="409"/>
      <c r="N149" s="409"/>
      <c r="O149" s="467"/>
      <c r="P149" s="467"/>
      <c r="Q149" s="467"/>
      <c r="R149" s="467"/>
      <c r="S149" s="467"/>
      <c r="T149" s="467"/>
      <c r="U149" s="467"/>
      <c r="V149" s="467"/>
      <c r="W149" s="467"/>
      <c r="X149" s="467"/>
      <c r="Y149" s="467"/>
      <c r="Z149" s="467"/>
    </row>
    <row r="150" spans="1:26" ht="15.75" customHeight="1">
      <c r="A150" s="409"/>
      <c r="B150" s="409"/>
      <c r="C150" s="409"/>
      <c r="D150" s="409"/>
      <c r="E150" s="409"/>
      <c r="F150" s="409"/>
      <c r="G150" s="409"/>
      <c r="H150" s="409"/>
      <c r="I150" s="409"/>
      <c r="J150" s="409"/>
      <c r="K150" s="409"/>
      <c r="L150" s="409"/>
      <c r="M150" s="409"/>
      <c r="N150" s="409"/>
      <c r="O150" s="467"/>
      <c r="P150" s="467"/>
      <c r="Q150" s="467"/>
      <c r="R150" s="467"/>
      <c r="S150" s="467"/>
      <c r="T150" s="467"/>
      <c r="U150" s="467"/>
      <c r="V150" s="467"/>
      <c r="W150" s="467"/>
      <c r="X150" s="467"/>
      <c r="Y150" s="467"/>
      <c r="Z150" s="467"/>
    </row>
    <row r="151" spans="1:26" ht="15.75" customHeight="1">
      <c r="A151" s="409"/>
      <c r="B151" s="409"/>
      <c r="C151" s="409"/>
      <c r="D151" s="409"/>
      <c r="E151" s="409"/>
      <c r="F151" s="409"/>
      <c r="G151" s="409"/>
      <c r="H151" s="409"/>
      <c r="I151" s="409"/>
      <c r="J151" s="409"/>
      <c r="K151" s="409"/>
      <c r="L151" s="409"/>
      <c r="M151" s="409"/>
      <c r="N151" s="409"/>
      <c r="O151" s="467"/>
      <c r="P151" s="467"/>
      <c r="Q151" s="467"/>
      <c r="R151" s="467"/>
      <c r="S151" s="467"/>
      <c r="T151" s="467"/>
      <c r="U151" s="467"/>
      <c r="V151" s="467"/>
      <c r="W151" s="467"/>
      <c r="X151" s="467"/>
      <c r="Y151" s="467"/>
      <c r="Z151" s="467"/>
    </row>
    <row r="152" spans="1:26" ht="15.75" customHeight="1">
      <c r="A152" s="409"/>
      <c r="B152" s="409"/>
      <c r="C152" s="409"/>
      <c r="D152" s="409"/>
      <c r="E152" s="409"/>
      <c r="F152" s="409"/>
      <c r="G152" s="409"/>
      <c r="H152" s="409"/>
      <c r="I152" s="409"/>
      <c r="J152" s="409"/>
      <c r="K152" s="409"/>
      <c r="L152" s="409"/>
      <c r="M152" s="409"/>
      <c r="N152" s="409"/>
      <c r="O152" s="467"/>
      <c r="P152" s="467"/>
      <c r="Q152" s="467"/>
      <c r="R152" s="467"/>
      <c r="S152" s="467"/>
      <c r="T152" s="467"/>
      <c r="U152" s="467"/>
      <c r="V152" s="467"/>
      <c r="W152" s="467"/>
      <c r="X152" s="467"/>
      <c r="Y152" s="467"/>
      <c r="Z152" s="467"/>
    </row>
    <row r="153" spans="1:26" ht="15.75" customHeight="1">
      <c r="A153" s="409"/>
      <c r="B153" s="409"/>
      <c r="C153" s="409"/>
      <c r="D153" s="409"/>
      <c r="E153" s="409"/>
      <c r="F153" s="409"/>
      <c r="G153" s="409"/>
      <c r="H153" s="409"/>
      <c r="I153" s="409"/>
      <c r="J153" s="409"/>
      <c r="K153" s="409"/>
      <c r="L153" s="409"/>
      <c r="M153" s="409"/>
      <c r="N153" s="409"/>
      <c r="O153" s="467"/>
      <c r="P153" s="467"/>
      <c r="Q153" s="467"/>
      <c r="R153" s="467"/>
      <c r="S153" s="467"/>
      <c r="T153" s="467"/>
      <c r="U153" s="467"/>
      <c r="V153" s="467"/>
      <c r="W153" s="467"/>
      <c r="X153" s="467"/>
      <c r="Y153" s="467"/>
      <c r="Z153" s="467"/>
    </row>
    <row r="154" spans="1:26" ht="15.75" customHeight="1">
      <c r="A154" s="409"/>
      <c r="B154" s="409"/>
      <c r="C154" s="409"/>
      <c r="D154" s="409"/>
      <c r="E154" s="409"/>
      <c r="F154" s="409"/>
      <c r="G154" s="409"/>
      <c r="H154" s="409"/>
      <c r="I154" s="409"/>
      <c r="J154" s="409"/>
      <c r="K154" s="409"/>
      <c r="L154" s="409"/>
      <c r="M154" s="409"/>
      <c r="N154" s="409"/>
      <c r="O154" s="467"/>
      <c r="P154" s="467"/>
      <c r="Q154" s="467"/>
      <c r="R154" s="467"/>
      <c r="S154" s="467"/>
      <c r="T154" s="467"/>
      <c r="U154" s="467"/>
      <c r="V154" s="467"/>
      <c r="W154" s="467"/>
      <c r="X154" s="467"/>
      <c r="Y154" s="467"/>
      <c r="Z154" s="467"/>
    </row>
    <row r="155" spans="1:26" ht="15.75" customHeight="1">
      <c r="A155" s="409"/>
      <c r="B155" s="409"/>
      <c r="C155" s="409"/>
      <c r="D155" s="409"/>
      <c r="E155" s="409"/>
      <c r="F155" s="409"/>
      <c r="G155" s="409"/>
      <c r="H155" s="409"/>
      <c r="I155" s="409"/>
      <c r="J155" s="409"/>
      <c r="K155" s="409"/>
      <c r="L155" s="409"/>
      <c r="M155" s="409"/>
      <c r="N155" s="409"/>
      <c r="O155" s="467"/>
      <c r="P155" s="467"/>
      <c r="Q155" s="467"/>
      <c r="R155" s="467"/>
      <c r="S155" s="467"/>
      <c r="T155" s="467"/>
      <c r="U155" s="467"/>
      <c r="V155" s="467"/>
      <c r="W155" s="467"/>
      <c r="X155" s="467"/>
      <c r="Y155" s="467"/>
      <c r="Z155" s="467"/>
    </row>
    <row r="156" spans="1:26" ht="15.75" customHeight="1">
      <c r="A156" s="409"/>
      <c r="B156" s="409"/>
      <c r="C156" s="409"/>
      <c r="D156" s="409"/>
      <c r="E156" s="409"/>
      <c r="F156" s="409"/>
      <c r="G156" s="409"/>
      <c r="H156" s="409"/>
      <c r="I156" s="409"/>
      <c r="J156" s="409"/>
      <c r="K156" s="409"/>
      <c r="L156" s="409"/>
      <c r="M156" s="409"/>
      <c r="N156" s="409"/>
      <c r="O156" s="467"/>
      <c r="P156" s="467"/>
      <c r="Q156" s="467"/>
      <c r="R156" s="467"/>
      <c r="S156" s="467"/>
      <c r="T156" s="467"/>
      <c r="U156" s="467"/>
      <c r="V156" s="467"/>
      <c r="W156" s="467"/>
      <c r="X156" s="467"/>
      <c r="Y156" s="467"/>
      <c r="Z156" s="467"/>
    </row>
    <row r="157" spans="1:26" ht="15.75" customHeight="1">
      <c r="A157" s="409"/>
      <c r="B157" s="409"/>
      <c r="C157" s="409"/>
      <c r="D157" s="409"/>
      <c r="E157" s="409"/>
      <c r="F157" s="409"/>
      <c r="G157" s="409"/>
      <c r="H157" s="409"/>
      <c r="I157" s="409"/>
      <c r="J157" s="409"/>
      <c r="K157" s="409"/>
      <c r="L157" s="409"/>
      <c r="M157" s="409"/>
      <c r="N157" s="409"/>
      <c r="O157" s="467"/>
      <c r="P157" s="467"/>
      <c r="Q157" s="467"/>
      <c r="R157" s="467"/>
      <c r="S157" s="467"/>
      <c r="T157" s="467"/>
      <c r="U157" s="467"/>
      <c r="V157" s="467"/>
      <c r="W157" s="467"/>
      <c r="X157" s="467"/>
      <c r="Y157" s="467"/>
      <c r="Z157" s="467"/>
    </row>
    <row r="158" spans="1:26" ht="15.75" customHeight="1">
      <c r="A158" s="409"/>
      <c r="B158" s="409"/>
      <c r="C158" s="409"/>
      <c r="D158" s="409"/>
      <c r="E158" s="409"/>
      <c r="F158" s="409"/>
      <c r="G158" s="409"/>
      <c r="H158" s="409"/>
      <c r="I158" s="409"/>
      <c r="J158" s="409"/>
      <c r="K158" s="409"/>
      <c r="L158" s="409"/>
      <c r="M158" s="409"/>
      <c r="N158" s="409"/>
      <c r="O158" s="467"/>
      <c r="P158" s="467"/>
      <c r="Q158" s="467"/>
      <c r="R158" s="467"/>
      <c r="S158" s="467"/>
      <c r="T158" s="467"/>
      <c r="U158" s="467"/>
      <c r="V158" s="467"/>
      <c r="W158" s="467"/>
      <c r="X158" s="467"/>
      <c r="Y158" s="467"/>
      <c r="Z158" s="467"/>
    </row>
    <row r="159" spans="1:26" ht="15.75" customHeight="1">
      <c r="A159" s="409"/>
      <c r="B159" s="409"/>
      <c r="C159" s="409"/>
      <c r="D159" s="409"/>
      <c r="E159" s="409"/>
      <c r="F159" s="409"/>
      <c r="G159" s="409"/>
      <c r="H159" s="409"/>
      <c r="I159" s="409"/>
      <c r="J159" s="409"/>
      <c r="K159" s="409"/>
      <c r="L159" s="409"/>
      <c r="M159" s="409"/>
      <c r="N159" s="409"/>
      <c r="O159" s="467"/>
      <c r="P159" s="467"/>
      <c r="Q159" s="467"/>
      <c r="R159" s="467"/>
      <c r="S159" s="467"/>
      <c r="T159" s="467"/>
      <c r="U159" s="467"/>
      <c r="V159" s="467"/>
      <c r="W159" s="467"/>
      <c r="X159" s="467"/>
      <c r="Y159" s="467"/>
      <c r="Z159" s="467"/>
    </row>
    <row r="160" spans="1:26" ht="15.75" customHeight="1">
      <c r="A160" s="409"/>
      <c r="B160" s="409"/>
      <c r="C160" s="409"/>
      <c r="D160" s="409"/>
      <c r="E160" s="409"/>
      <c r="F160" s="409"/>
      <c r="G160" s="409"/>
      <c r="H160" s="409"/>
      <c r="I160" s="409"/>
      <c r="J160" s="409"/>
      <c r="K160" s="409"/>
      <c r="L160" s="409"/>
      <c r="M160" s="409"/>
      <c r="N160" s="409"/>
      <c r="O160" s="467"/>
      <c r="P160" s="467"/>
      <c r="Q160" s="467"/>
      <c r="R160" s="467"/>
      <c r="S160" s="467"/>
      <c r="T160" s="467"/>
      <c r="U160" s="467"/>
      <c r="V160" s="467"/>
      <c r="W160" s="467"/>
      <c r="X160" s="467"/>
      <c r="Y160" s="467"/>
      <c r="Z160" s="467"/>
    </row>
    <row r="161" spans="1:26" ht="15.75" customHeight="1">
      <c r="A161" s="409"/>
      <c r="B161" s="409"/>
      <c r="C161" s="409"/>
      <c r="D161" s="409"/>
      <c r="E161" s="409"/>
      <c r="F161" s="409"/>
      <c r="G161" s="409"/>
      <c r="H161" s="409"/>
      <c r="I161" s="409"/>
      <c r="J161" s="409"/>
      <c r="K161" s="409"/>
      <c r="L161" s="409"/>
      <c r="M161" s="409"/>
      <c r="N161" s="409"/>
      <c r="O161" s="467"/>
      <c r="P161" s="467"/>
      <c r="Q161" s="467"/>
      <c r="R161" s="467"/>
      <c r="S161" s="467"/>
      <c r="T161" s="467"/>
      <c r="U161" s="467"/>
      <c r="V161" s="467"/>
      <c r="W161" s="467"/>
      <c r="X161" s="467"/>
      <c r="Y161" s="467"/>
      <c r="Z161" s="467"/>
    </row>
    <row r="162" spans="1:26" ht="15.75" customHeight="1">
      <c r="A162" s="409"/>
      <c r="B162" s="409"/>
      <c r="C162" s="409"/>
      <c r="D162" s="409"/>
      <c r="E162" s="409"/>
      <c r="F162" s="409"/>
      <c r="G162" s="409"/>
      <c r="H162" s="409"/>
      <c r="I162" s="409"/>
      <c r="J162" s="409"/>
      <c r="K162" s="409"/>
      <c r="L162" s="409"/>
      <c r="M162" s="409"/>
      <c r="N162" s="409"/>
      <c r="O162" s="467"/>
      <c r="P162" s="467"/>
      <c r="Q162" s="467"/>
      <c r="R162" s="467"/>
      <c r="S162" s="467"/>
      <c r="T162" s="467"/>
      <c r="U162" s="467"/>
      <c r="V162" s="467"/>
      <c r="W162" s="467"/>
      <c r="X162" s="467"/>
      <c r="Y162" s="467"/>
      <c r="Z162" s="467"/>
    </row>
    <row r="163" spans="1:26" ht="15.75" customHeight="1">
      <c r="A163" s="409"/>
      <c r="B163" s="409"/>
      <c r="C163" s="409"/>
      <c r="D163" s="409"/>
      <c r="E163" s="409"/>
      <c r="F163" s="409"/>
      <c r="G163" s="409"/>
      <c r="H163" s="409"/>
      <c r="I163" s="409"/>
      <c r="J163" s="409"/>
      <c r="K163" s="409"/>
      <c r="L163" s="409"/>
      <c r="M163" s="409"/>
      <c r="N163" s="409"/>
      <c r="O163" s="467"/>
      <c r="P163" s="467"/>
      <c r="Q163" s="467"/>
      <c r="R163" s="467"/>
      <c r="S163" s="467"/>
      <c r="T163" s="467"/>
      <c r="U163" s="467"/>
      <c r="V163" s="467"/>
      <c r="W163" s="467"/>
      <c r="X163" s="467"/>
      <c r="Y163" s="467"/>
      <c r="Z163" s="467"/>
    </row>
    <row r="164" spans="1:26" ht="15.75" customHeight="1">
      <c r="A164" s="409"/>
      <c r="B164" s="409"/>
      <c r="C164" s="409"/>
      <c r="D164" s="409"/>
      <c r="E164" s="409"/>
      <c r="F164" s="409"/>
      <c r="G164" s="409"/>
      <c r="H164" s="409"/>
      <c r="I164" s="409"/>
      <c r="J164" s="409"/>
      <c r="K164" s="409"/>
      <c r="L164" s="409"/>
      <c r="M164" s="409"/>
      <c r="N164" s="409"/>
      <c r="O164" s="467"/>
      <c r="P164" s="467"/>
      <c r="Q164" s="467"/>
      <c r="R164" s="467"/>
      <c r="S164" s="467"/>
      <c r="T164" s="467"/>
      <c r="U164" s="467"/>
      <c r="V164" s="467"/>
      <c r="W164" s="467"/>
      <c r="X164" s="467"/>
      <c r="Y164" s="467"/>
      <c r="Z164" s="467"/>
    </row>
    <row r="165" spans="1:26" ht="15.75" customHeight="1">
      <c r="A165" s="409"/>
      <c r="B165" s="409"/>
      <c r="C165" s="409"/>
      <c r="D165" s="409"/>
      <c r="E165" s="409"/>
      <c r="F165" s="409"/>
      <c r="G165" s="409"/>
      <c r="H165" s="409"/>
      <c r="I165" s="409"/>
      <c r="J165" s="409"/>
      <c r="K165" s="409"/>
      <c r="L165" s="409"/>
      <c r="M165" s="409"/>
      <c r="N165" s="409"/>
      <c r="O165" s="467"/>
      <c r="P165" s="467"/>
      <c r="Q165" s="467"/>
      <c r="R165" s="467"/>
      <c r="S165" s="467"/>
      <c r="T165" s="467"/>
      <c r="U165" s="467"/>
      <c r="V165" s="467"/>
      <c r="W165" s="467"/>
      <c r="X165" s="467"/>
      <c r="Y165" s="467"/>
      <c r="Z165" s="467"/>
    </row>
    <row r="166" spans="1:26" ht="15.75" customHeight="1">
      <c r="A166" s="409"/>
      <c r="B166" s="409"/>
      <c r="C166" s="409"/>
      <c r="D166" s="409"/>
      <c r="E166" s="409"/>
      <c r="F166" s="409"/>
      <c r="G166" s="409"/>
      <c r="H166" s="409"/>
      <c r="I166" s="409"/>
      <c r="J166" s="409"/>
      <c r="K166" s="409"/>
      <c r="L166" s="409"/>
      <c r="M166" s="409"/>
      <c r="N166" s="409"/>
      <c r="O166" s="467"/>
      <c r="P166" s="467"/>
      <c r="Q166" s="467"/>
      <c r="R166" s="467"/>
      <c r="S166" s="467"/>
      <c r="T166" s="467"/>
      <c r="U166" s="467"/>
      <c r="V166" s="467"/>
      <c r="W166" s="467"/>
      <c r="X166" s="467"/>
      <c r="Y166" s="467"/>
      <c r="Z166" s="467"/>
    </row>
    <row r="167" spans="1:26" ht="15.75" customHeight="1">
      <c r="A167" s="409"/>
      <c r="B167" s="409"/>
      <c r="C167" s="409"/>
      <c r="D167" s="409"/>
      <c r="E167" s="409"/>
      <c r="F167" s="409"/>
      <c r="G167" s="409"/>
      <c r="H167" s="409"/>
      <c r="I167" s="409"/>
      <c r="J167" s="409"/>
      <c r="K167" s="409"/>
      <c r="L167" s="409"/>
      <c r="M167" s="409"/>
      <c r="N167" s="409"/>
      <c r="O167" s="467"/>
      <c r="P167" s="467"/>
      <c r="Q167" s="467"/>
      <c r="R167" s="467"/>
      <c r="S167" s="467"/>
      <c r="T167" s="467"/>
      <c r="U167" s="467"/>
      <c r="V167" s="467"/>
      <c r="W167" s="467"/>
      <c r="X167" s="467"/>
      <c r="Y167" s="467"/>
      <c r="Z167" s="467"/>
    </row>
    <row r="168" spans="1:26" ht="15.75" customHeight="1">
      <c r="A168" s="409"/>
      <c r="B168" s="409"/>
      <c r="C168" s="409"/>
      <c r="D168" s="409"/>
      <c r="E168" s="409"/>
      <c r="F168" s="409"/>
      <c r="G168" s="409"/>
      <c r="H168" s="409"/>
      <c r="I168" s="409"/>
      <c r="J168" s="409"/>
      <c r="K168" s="409"/>
      <c r="L168" s="409"/>
      <c r="M168" s="409"/>
      <c r="N168" s="409"/>
      <c r="O168" s="467"/>
      <c r="P168" s="467"/>
      <c r="Q168" s="467"/>
      <c r="R168" s="467"/>
      <c r="S168" s="467"/>
      <c r="T168" s="467"/>
      <c r="U168" s="467"/>
      <c r="V168" s="467"/>
      <c r="W168" s="467"/>
      <c r="X168" s="467"/>
      <c r="Y168" s="467"/>
      <c r="Z168" s="467"/>
    </row>
    <row r="169" spans="1:26" ht="15.75" customHeight="1">
      <c r="A169" s="409"/>
      <c r="B169" s="409"/>
      <c r="C169" s="409"/>
      <c r="D169" s="409"/>
      <c r="E169" s="409"/>
      <c r="F169" s="409"/>
      <c r="G169" s="409"/>
      <c r="H169" s="409"/>
      <c r="I169" s="409"/>
      <c r="J169" s="409"/>
      <c r="K169" s="409"/>
      <c r="L169" s="409"/>
      <c r="M169" s="409"/>
      <c r="N169" s="409"/>
      <c r="O169" s="467"/>
      <c r="P169" s="467"/>
      <c r="Q169" s="467"/>
      <c r="R169" s="467"/>
      <c r="S169" s="467"/>
      <c r="T169" s="467"/>
      <c r="U169" s="467"/>
      <c r="V169" s="467"/>
      <c r="W169" s="467"/>
      <c r="X169" s="467"/>
      <c r="Y169" s="467"/>
      <c r="Z169" s="467"/>
    </row>
    <row r="170" spans="1:26" ht="15.75" customHeight="1">
      <c r="A170" s="409"/>
      <c r="B170" s="409"/>
      <c r="C170" s="409"/>
      <c r="D170" s="409"/>
      <c r="E170" s="409"/>
      <c r="F170" s="409"/>
      <c r="G170" s="409"/>
      <c r="H170" s="409"/>
      <c r="I170" s="409"/>
      <c r="J170" s="409"/>
      <c r="K170" s="409"/>
      <c r="L170" s="409"/>
      <c r="M170" s="409"/>
      <c r="N170" s="409"/>
      <c r="O170" s="467"/>
      <c r="P170" s="467"/>
      <c r="Q170" s="467"/>
      <c r="R170" s="467"/>
      <c r="S170" s="467"/>
      <c r="T170" s="467"/>
      <c r="U170" s="467"/>
      <c r="V170" s="467"/>
      <c r="W170" s="467"/>
      <c r="X170" s="467"/>
      <c r="Y170" s="467"/>
      <c r="Z170" s="467"/>
    </row>
    <row r="171" spans="1:26" ht="15.75" customHeight="1">
      <c r="A171" s="409"/>
      <c r="B171" s="409"/>
      <c r="C171" s="409"/>
      <c r="D171" s="409"/>
      <c r="E171" s="409"/>
      <c r="F171" s="409"/>
      <c r="G171" s="409"/>
      <c r="H171" s="409"/>
      <c r="I171" s="409"/>
      <c r="J171" s="409"/>
      <c r="K171" s="409"/>
      <c r="L171" s="409"/>
      <c r="M171" s="409"/>
      <c r="N171" s="409"/>
      <c r="O171" s="467"/>
      <c r="P171" s="467"/>
      <c r="Q171" s="467"/>
      <c r="R171" s="467"/>
      <c r="S171" s="467"/>
      <c r="T171" s="467"/>
      <c r="U171" s="467"/>
      <c r="V171" s="467"/>
      <c r="W171" s="467"/>
      <c r="X171" s="467"/>
      <c r="Y171" s="467"/>
      <c r="Z171" s="467"/>
    </row>
    <row r="172" spans="1:26" ht="15.75" customHeight="1">
      <c r="A172" s="409"/>
      <c r="B172" s="409"/>
      <c r="C172" s="409"/>
      <c r="D172" s="409"/>
      <c r="E172" s="409"/>
      <c r="F172" s="409"/>
      <c r="G172" s="409"/>
      <c r="H172" s="409"/>
      <c r="I172" s="409"/>
      <c r="J172" s="409"/>
      <c r="K172" s="409"/>
      <c r="L172" s="409"/>
      <c r="M172" s="409"/>
      <c r="N172" s="409"/>
      <c r="O172" s="467"/>
      <c r="P172" s="467"/>
      <c r="Q172" s="467"/>
      <c r="R172" s="467"/>
      <c r="S172" s="467"/>
      <c r="T172" s="467"/>
      <c r="U172" s="467"/>
      <c r="V172" s="467"/>
      <c r="W172" s="467"/>
      <c r="X172" s="467"/>
      <c r="Y172" s="467"/>
      <c r="Z172" s="467"/>
    </row>
    <row r="173" spans="1:26" ht="15.75" customHeight="1">
      <c r="A173" s="409"/>
      <c r="B173" s="409"/>
      <c r="C173" s="409"/>
      <c r="D173" s="409"/>
      <c r="E173" s="409"/>
      <c r="F173" s="409"/>
      <c r="G173" s="409"/>
      <c r="H173" s="409"/>
      <c r="I173" s="409"/>
      <c r="J173" s="409"/>
      <c r="K173" s="409"/>
      <c r="L173" s="409"/>
      <c r="M173" s="409"/>
      <c r="N173" s="409"/>
      <c r="O173" s="467"/>
      <c r="P173" s="467"/>
      <c r="Q173" s="467"/>
      <c r="R173" s="467"/>
      <c r="S173" s="467"/>
      <c r="T173" s="467"/>
      <c r="U173" s="467"/>
      <c r="V173" s="467"/>
      <c r="W173" s="467"/>
      <c r="X173" s="467"/>
      <c r="Y173" s="467"/>
      <c r="Z173" s="467"/>
    </row>
    <row r="174" spans="1:26" ht="15.75" customHeight="1">
      <c r="A174" s="409"/>
      <c r="B174" s="409"/>
      <c r="C174" s="409"/>
      <c r="D174" s="409"/>
      <c r="E174" s="409"/>
      <c r="F174" s="409"/>
      <c r="G174" s="409"/>
      <c r="H174" s="409"/>
      <c r="I174" s="409"/>
      <c r="J174" s="409"/>
      <c r="K174" s="409"/>
      <c r="L174" s="409"/>
      <c r="M174" s="409"/>
      <c r="N174" s="409"/>
      <c r="O174" s="467"/>
      <c r="P174" s="467"/>
      <c r="Q174" s="467"/>
      <c r="R174" s="467"/>
      <c r="S174" s="467"/>
      <c r="T174" s="467"/>
      <c r="U174" s="467"/>
      <c r="V174" s="467"/>
      <c r="W174" s="467"/>
      <c r="X174" s="467"/>
      <c r="Y174" s="467"/>
      <c r="Z174" s="467"/>
    </row>
    <row r="175" spans="1:26" ht="15.75" customHeight="1">
      <c r="A175" s="409"/>
      <c r="B175" s="409"/>
      <c r="C175" s="409"/>
      <c r="D175" s="409"/>
      <c r="E175" s="409"/>
      <c r="F175" s="409"/>
      <c r="G175" s="409"/>
      <c r="H175" s="409"/>
      <c r="I175" s="409"/>
      <c r="J175" s="409"/>
      <c r="K175" s="409"/>
      <c r="L175" s="409"/>
      <c r="M175" s="409"/>
      <c r="N175" s="409"/>
      <c r="O175" s="467"/>
      <c r="P175" s="467"/>
      <c r="Q175" s="467"/>
      <c r="R175" s="467"/>
      <c r="S175" s="467"/>
      <c r="T175" s="467"/>
      <c r="U175" s="467"/>
      <c r="V175" s="467"/>
      <c r="W175" s="467"/>
      <c r="X175" s="467"/>
      <c r="Y175" s="467"/>
      <c r="Z175" s="467"/>
    </row>
    <row r="176" spans="1:26" ht="15.75" customHeight="1">
      <c r="A176" s="409"/>
      <c r="B176" s="409"/>
      <c r="C176" s="409"/>
      <c r="D176" s="409"/>
      <c r="E176" s="409"/>
      <c r="F176" s="409"/>
      <c r="G176" s="409"/>
      <c r="H176" s="409"/>
      <c r="I176" s="409"/>
      <c r="J176" s="409"/>
      <c r="K176" s="409"/>
      <c r="L176" s="409"/>
      <c r="M176" s="409"/>
      <c r="N176" s="409"/>
      <c r="O176" s="467"/>
      <c r="P176" s="467"/>
      <c r="Q176" s="467"/>
      <c r="R176" s="467"/>
      <c r="S176" s="467"/>
      <c r="T176" s="467"/>
      <c r="U176" s="467"/>
      <c r="V176" s="467"/>
      <c r="W176" s="467"/>
      <c r="X176" s="467"/>
      <c r="Y176" s="467"/>
      <c r="Z176" s="467"/>
    </row>
    <row r="177" spans="1:26" ht="15.75" customHeight="1">
      <c r="A177" s="409"/>
      <c r="B177" s="409"/>
      <c r="C177" s="409"/>
      <c r="D177" s="409"/>
      <c r="E177" s="409"/>
      <c r="F177" s="409"/>
      <c r="G177" s="409"/>
      <c r="H177" s="409"/>
      <c r="I177" s="409"/>
      <c r="J177" s="409"/>
      <c r="K177" s="409"/>
      <c r="L177" s="409"/>
      <c r="M177" s="409"/>
      <c r="N177" s="409"/>
      <c r="O177" s="467"/>
      <c r="P177" s="467"/>
      <c r="Q177" s="467"/>
      <c r="R177" s="467"/>
      <c r="S177" s="467"/>
      <c r="T177" s="467"/>
      <c r="U177" s="467"/>
      <c r="V177" s="467"/>
      <c r="W177" s="467"/>
      <c r="X177" s="467"/>
      <c r="Y177" s="467"/>
      <c r="Z177" s="467"/>
    </row>
    <row r="178" spans="1:26" ht="15.75" customHeight="1">
      <c r="A178" s="409"/>
      <c r="B178" s="409"/>
      <c r="C178" s="409"/>
      <c r="D178" s="409"/>
      <c r="E178" s="409"/>
      <c r="F178" s="409"/>
      <c r="G178" s="409"/>
      <c r="H178" s="409"/>
      <c r="I178" s="409"/>
      <c r="J178" s="409"/>
      <c r="K178" s="409"/>
      <c r="L178" s="409"/>
      <c r="M178" s="409"/>
      <c r="N178" s="409"/>
      <c r="O178" s="467"/>
      <c r="P178" s="467"/>
      <c r="Q178" s="467"/>
      <c r="R178" s="467"/>
      <c r="S178" s="467"/>
      <c r="T178" s="467"/>
      <c r="U178" s="467"/>
      <c r="V178" s="467"/>
      <c r="W178" s="467"/>
      <c r="X178" s="467"/>
      <c r="Y178" s="467"/>
      <c r="Z178" s="467"/>
    </row>
    <row r="179" spans="1:26" ht="15.75" customHeight="1">
      <c r="A179" s="409"/>
      <c r="B179" s="409"/>
      <c r="C179" s="409"/>
      <c r="D179" s="409"/>
      <c r="E179" s="409"/>
      <c r="F179" s="409"/>
      <c r="G179" s="409"/>
      <c r="H179" s="409"/>
      <c r="I179" s="409"/>
      <c r="J179" s="409"/>
      <c r="K179" s="409"/>
      <c r="L179" s="409"/>
      <c r="M179" s="409"/>
      <c r="N179" s="409"/>
      <c r="O179" s="467"/>
      <c r="P179" s="467"/>
      <c r="Q179" s="467"/>
      <c r="R179" s="467"/>
      <c r="S179" s="467"/>
      <c r="T179" s="467"/>
      <c r="U179" s="467"/>
      <c r="V179" s="467"/>
      <c r="W179" s="467"/>
      <c r="X179" s="467"/>
      <c r="Y179" s="467"/>
      <c r="Z179" s="467"/>
    </row>
    <row r="180" spans="1:26" ht="15.75" customHeight="1">
      <c r="A180" s="409"/>
      <c r="B180" s="409"/>
      <c r="C180" s="409"/>
      <c r="D180" s="409"/>
      <c r="E180" s="409"/>
      <c r="F180" s="409"/>
      <c r="G180" s="409"/>
      <c r="H180" s="409"/>
      <c r="I180" s="409"/>
      <c r="J180" s="409"/>
      <c r="K180" s="409"/>
      <c r="L180" s="409"/>
      <c r="M180" s="409"/>
      <c r="N180" s="409"/>
      <c r="O180" s="467"/>
      <c r="P180" s="467"/>
      <c r="Q180" s="467"/>
      <c r="R180" s="467"/>
      <c r="S180" s="467"/>
      <c r="T180" s="467"/>
      <c r="U180" s="467"/>
      <c r="V180" s="467"/>
      <c r="W180" s="467"/>
      <c r="X180" s="467"/>
      <c r="Y180" s="467"/>
      <c r="Z180" s="467"/>
    </row>
    <row r="181" spans="1:26" ht="15.75" customHeight="1">
      <c r="A181" s="409"/>
      <c r="B181" s="409"/>
      <c r="C181" s="409"/>
      <c r="D181" s="409"/>
      <c r="E181" s="409"/>
      <c r="F181" s="409"/>
      <c r="G181" s="409"/>
      <c r="H181" s="409"/>
      <c r="I181" s="409"/>
      <c r="J181" s="409"/>
      <c r="K181" s="409"/>
      <c r="L181" s="409"/>
      <c r="M181" s="409"/>
      <c r="N181" s="409"/>
      <c r="O181" s="467"/>
      <c r="P181" s="467"/>
      <c r="Q181" s="467"/>
      <c r="R181" s="467"/>
      <c r="S181" s="467"/>
      <c r="T181" s="467"/>
      <c r="U181" s="467"/>
      <c r="V181" s="467"/>
      <c r="W181" s="467"/>
      <c r="X181" s="467"/>
      <c r="Y181" s="467"/>
      <c r="Z181" s="467"/>
    </row>
    <row r="182" spans="1:26" ht="15.75" customHeight="1">
      <c r="A182" s="409"/>
      <c r="B182" s="409"/>
      <c r="C182" s="409"/>
      <c r="D182" s="409"/>
      <c r="E182" s="409"/>
      <c r="F182" s="409"/>
      <c r="G182" s="409"/>
      <c r="H182" s="409"/>
      <c r="I182" s="409"/>
      <c r="J182" s="409"/>
      <c r="K182" s="409"/>
      <c r="L182" s="409"/>
      <c r="M182" s="409"/>
      <c r="N182" s="409"/>
      <c r="O182" s="467"/>
      <c r="P182" s="467"/>
      <c r="Q182" s="467"/>
      <c r="R182" s="467"/>
      <c r="S182" s="467"/>
      <c r="T182" s="467"/>
      <c r="U182" s="467"/>
      <c r="V182" s="467"/>
      <c r="W182" s="467"/>
      <c r="X182" s="467"/>
      <c r="Y182" s="467"/>
      <c r="Z182" s="467"/>
    </row>
    <row r="183" spans="1:26" ht="15.75" customHeight="1">
      <c r="A183" s="409"/>
      <c r="B183" s="409"/>
      <c r="C183" s="409"/>
      <c r="D183" s="409"/>
      <c r="E183" s="409"/>
      <c r="F183" s="409"/>
      <c r="G183" s="409"/>
      <c r="H183" s="409"/>
      <c r="I183" s="409"/>
      <c r="J183" s="409"/>
      <c r="K183" s="409"/>
      <c r="L183" s="409"/>
      <c r="M183" s="409"/>
      <c r="N183" s="409"/>
      <c r="O183" s="467"/>
      <c r="P183" s="467"/>
      <c r="Q183" s="467"/>
      <c r="R183" s="467"/>
      <c r="S183" s="467"/>
      <c r="T183" s="467"/>
      <c r="U183" s="467"/>
      <c r="V183" s="467"/>
      <c r="W183" s="467"/>
      <c r="X183" s="467"/>
      <c r="Y183" s="467"/>
      <c r="Z183" s="467"/>
    </row>
    <row r="184" spans="1:26" ht="15.75" customHeight="1">
      <c r="A184" s="409"/>
      <c r="B184" s="409"/>
      <c r="C184" s="409"/>
      <c r="D184" s="409"/>
      <c r="E184" s="409"/>
      <c r="F184" s="409"/>
      <c r="G184" s="409"/>
      <c r="H184" s="409"/>
      <c r="I184" s="409"/>
      <c r="J184" s="409"/>
      <c r="K184" s="409"/>
      <c r="L184" s="409"/>
      <c r="M184" s="409"/>
      <c r="N184" s="409"/>
      <c r="O184" s="467"/>
      <c r="P184" s="467"/>
      <c r="Q184" s="467"/>
      <c r="R184" s="467"/>
      <c r="S184" s="467"/>
      <c r="T184" s="467"/>
      <c r="U184" s="467"/>
      <c r="V184" s="467"/>
      <c r="W184" s="467"/>
      <c r="X184" s="467"/>
      <c r="Y184" s="467"/>
      <c r="Z184" s="467"/>
    </row>
    <row r="185" spans="1:26" ht="15.75" customHeight="1">
      <c r="A185" s="409"/>
      <c r="B185" s="409"/>
      <c r="C185" s="409"/>
      <c r="D185" s="409"/>
      <c r="E185" s="409"/>
      <c r="F185" s="409"/>
      <c r="G185" s="409"/>
      <c r="H185" s="409"/>
      <c r="I185" s="409"/>
      <c r="J185" s="409"/>
      <c r="K185" s="409"/>
      <c r="L185" s="409"/>
      <c r="M185" s="409"/>
      <c r="N185" s="409"/>
      <c r="O185" s="467"/>
      <c r="P185" s="467"/>
      <c r="Q185" s="467"/>
      <c r="R185" s="467"/>
      <c r="S185" s="467"/>
      <c r="T185" s="467"/>
      <c r="U185" s="467"/>
      <c r="V185" s="467"/>
      <c r="W185" s="467"/>
      <c r="X185" s="467"/>
      <c r="Y185" s="467"/>
      <c r="Z185" s="467"/>
    </row>
    <row r="186" spans="1:26" ht="15.75" customHeight="1">
      <c r="A186" s="409"/>
      <c r="B186" s="409"/>
      <c r="C186" s="409"/>
      <c r="D186" s="409"/>
      <c r="E186" s="409"/>
      <c r="F186" s="409"/>
      <c r="G186" s="409"/>
      <c r="H186" s="409"/>
      <c r="I186" s="409"/>
      <c r="J186" s="409"/>
      <c r="K186" s="409"/>
      <c r="L186" s="409"/>
      <c r="M186" s="409"/>
      <c r="N186" s="409"/>
      <c r="O186" s="467"/>
      <c r="P186" s="467"/>
      <c r="Q186" s="467"/>
      <c r="R186" s="467"/>
      <c r="S186" s="467"/>
      <c r="T186" s="467"/>
      <c r="U186" s="467"/>
      <c r="V186" s="467"/>
      <c r="W186" s="467"/>
      <c r="X186" s="467"/>
      <c r="Y186" s="467"/>
      <c r="Z186" s="467"/>
    </row>
    <row r="187" spans="1:26" ht="15.75" customHeight="1">
      <c r="A187" s="409"/>
      <c r="B187" s="409"/>
      <c r="C187" s="409"/>
      <c r="D187" s="409"/>
      <c r="E187" s="409"/>
      <c r="F187" s="409"/>
      <c r="G187" s="409"/>
      <c r="H187" s="409"/>
      <c r="I187" s="409"/>
      <c r="J187" s="409"/>
      <c r="K187" s="409"/>
      <c r="L187" s="409"/>
      <c r="M187" s="409"/>
      <c r="N187" s="409"/>
      <c r="O187" s="467"/>
      <c r="P187" s="467"/>
      <c r="Q187" s="467"/>
      <c r="R187" s="467"/>
      <c r="S187" s="467"/>
      <c r="T187" s="467"/>
      <c r="U187" s="467"/>
      <c r="V187" s="467"/>
      <c r="W187" s="467"/>
      <c r="X187" s="467"/>
      <c r="Y187" s="467"/>
      <c r="Z187" s="467"/>
    </row>
    <row r="188" spans="1:26" ht="15.75" customHeight="1">
      <c r="A188" s="409"/>
      <c r="B188" s="409"/>
      <c r="C188" s="409"/>
      <c r="D188" s="409"/>
      <c r="E188" s="409"/>
      <c r="F188" s="409"/>
      <c r="G188" s="409"/>
      <c r="H188" s="409"/>
      <c r="I188" s="409"/>
      <c r="J188" s="409"/>
      <c r="K188" s="409"/>
      <c r="L188" s="409"/>
      <c r="M188" s="409"/>
      <c r="N188" s="409"/>
      <c r="O188" s="467"/>
      <c r="P188" s="467"/>
      <c r="Q188" s="467"/>
      <c r="R188" s="467"/>
      <c r="S188" s="467"/>
      <c r="T188" s="467"/>
      <c r="U188" s="467"/>
      <c r="V188" s="467"/>
      <c r="W188" s="467"/>
      <c r="X188" s="467"/>
      <c r="Y188" s="467"/>
      <c r="Z188" s="467"/>
    </row>
    <row r="189" spans="1:26" ht="15.75" customHeight="1">
      <c r="A189" s="409"/>
      <c r="B189" s="409"/>
      <c r="C189" s="409"/>
      <c r="D189" s="409"/>
      <c r="E189" s="409"/>
      <c r="F189" s="409"/>
      <c r="G189" s="409"/>
      <c r="H189" s="409"/>
      <c r="I189" s="409"/>
      <c r="J189" s="409"/>
      <c r="K189" s="409"/>
      <c r="L189" s="409"/>
      <c r="M189" s="409"/>
      <c r="N189" s="409"/>
      <c r="O189" s="467"/>
      <c r="P189" s="467"/>
      <c r="Q189" s="467"/>
      <c r="R189" s="467"/>
      <c r="S189" s="467"/>
      <c r="T189" s="467"/>
      <c r="U189" s="467"/>
      <c r="V189" s="467"/>
      <c r="W189" s="467"/>
      <c r="X189" s="467"/>
      <c r="Y189" s="467"/>
      <c r="Z189" s="467"/>
    </row>
    <row r="190" spans="1:26" ht="15.75" customHeight="1">
      <c r="A190" s="409"/>
      <c r="B190" s="409"/>
      <c r="C190" s="409"/>
      <c r="D190" s="409"/>
      <c r="E190" s="409"/>
      <c r="F190" s="409"/>
      <c r="G190" s="409"/>
      <c r="H190" s="409"/>
      <c r="I190" s="409"/>
      <c r="J190" s="409"/>
      <c r="K190" s="409"/>
      <c r="L190" s="409"/>
      <c r="M190" s="409"/>
      <c r="N190" s="409"/>
      <c r="O190" s="467"/>
      <c r="P190" s="467"/>
      <c r="Q190" s="467"/>
      <c r="R190" s="467"/>
      <c r="S190" s="467"/>
      <c r="T190" s="467"/>
      <c r="U190" s="467"/>
      <c r="V190" s="467"/>
      <c r="W190" s="467"/>
      <c r="X190" s="467"/>
      <c r="Y190" s="467"/>
      <c r="Z190" s="467"/>
    </row>
    <row r="191" spans="1:26" ht="15.75" customHeight="1">
      <c r="A191" s="409"/>
      <c r="B191" s="409"/>
      <c r="C191" s="409"/>
      <c r="D191" s="409"/>
      <c r="E191" s="409"/>
      <c r="F191" s="409"/>
      <c r="G191" s="409"/>
      <c r="H191" s="409"/>
      <c r="I191" s="409"/>
      <c r="J191" s="409"/>
      <c r="K191" s="409"/>
      <c r="L191" s="409"/>
      <c r="M191" s="409"/>
      <c r="N191" s="409"/>
      <c r="O191" s="467"/>
      <c r="P191" s="467"/>
      <c r="Q191" s="467"/>
      <c r="R191" s="467"/>
      <c r="S191" s="467"/>
      <c r="T191" s="467"/>
      <c r="U191" s="467"/>
      <c r="V191" s="467"/>
      <c r="W191" s="467"/>
      <c r="X191" s="467"/>
      <c r="Y191" s="467"/>
      <c r="Z191" s="467"/>
    </row>
    <row r="192" spans="1:26" ht="15.75" customHeight="1">
      <c r="A192" s="409"/>
      <c r="B192" s="409"/>
      <c r="C192" s="409"/>
      <c r="D192" s="409"/>
      <c r="E192" s="409"/>
      <c r="F192" s="409"/>
      <c r="G192" s="409"/>
      <c r="H192" s="409"/>
      <c r="I192" s="409"/>
      <c r="J192" s="409"/>
      <c r="K192" s="409"/>
      <c r="L192" s="409"/>
      <c r="M192" s="409"/>
      <c r="N192" s="409"/>
      <c r="O192" s="467"/>
      <c r="P192" s="467"/>
      <c r="Q192" s="467"/>
      <c r="R192" s="467"/>
      <c r="S192" s="467"/>
      <c r="T192" s="467"/>
      <c r="U192" s="467"/>
      <c r="V192" s="467"/>
      <c r="W192" s="467"/>
      <c r="X192" s="467"/>
      <c r="Y192" s="467"/>
      <c r="Z192" s="467"/>
    </row>
    <row r="193" spans="1:26" ht="15.75" customHeight="1">
      <c r="A193" s="409"/>
      <c r="B193" s="409"/>
      <c r="C193" s="409"/>
      <c r="D193" s="409"/>
      <c r="E193" s="409"/>
      <c r="F193" s="409"/>
      <c r="G193" s="409"/>
      <c r="H193" s="409"/>
      <c r="I193" s="409"/>
      <c r="J193" s="409"/>
      <c r="K193" s="409"/>
      <c r="L193" s="409"/>
      <c r="M193" s="409"/>
      <c r="N193" s="409"/>
      <c r="O193" s="467"/>
      <c r="P193" s="467"/>
      <c r="Q193" s="467"/>
      <c r="R193" s="467"/>
      <c r="S193" s="467"/>
      <c r="T193" s="467"/>
      <c r="U193" s="467"/>
      <c r="V193" s="467"/>
      <c r="W193" s="467"/>
      <c r="X193" s="467"/>
      <c r="Y193" s="467"/>
      <c r="Z193" s="467"/>
    </row>
    <row r="194" spans="1:26" ht="15.75" customHeight="1">
      <c r="A194" s="409"/>
      <c r="B194" s="409"/>
      <c r="C194" s="409"/>
      <c r="D194" s="409"/>
      <c r="E194" s="409"/>
      <c r="F194" s="409"/>
      <c r="G194" s="409"/>
      <c r="H194" s="409"/>
      <c r="I194" s="409"/>
      <c r="J194" s="409"/>
      <c r="K194" s="409"/>
      <c r="L194" s="409"/>
      <c r="M194" s="409"/>
      <c r="N194" s="409"/>
      <c r="O194" s="467"/>
      <c r="P194" s="467"/>
      <c r="Q194" s="467"/>
      <c r="R194" s="467"/>
      <c r="S194" s="467"/>
      <c r="T194" s="467"/>
      <c r="U194" s="467"/>
      <c r="V194" s="467"/>
      <c r="W194" s="467"/>
      <c r="X194" s="467"/>
      <c r="Y194" s="467"/>
      <c r="Z194" s="467"/>
    </row>
    <row r="195" spans="1:26" ht="15.75" customHeight="1">
      <c r="A195" s="409"/>
      <c r="B195" s="409"/>
      <c r="C195" s="409"/>
      <c r="D195" s="409"/>
      <c r="E195" s="409"/>
      <c r="F195" s="409"/>
      <c r="G195" s="409"/>
      <c r="H195" s="409"/>
      <c r="I195" s="409"/>
      <c r="J195" s="409"/>
      <c r="K195" s="409"/>
      <c r="L195" s="409"/>
      <c r="M195" s="409"/>
      <c r="N195" s="409"/>
      <c r="O195" s="467"/>
      <c r="P195" s="467"/>
      <c r="Q195" s="467"/>
      <c r="R195" s="467"/>
      <c r="S195" s="467"/>
      <c r="T195" s="467"/>
      <c r="U195" s="467"/>
      <c r="V195" s="467"/>
      <c r="W195" s="467"/>
      <c r="X195" s="467"/>
      <c r="Y195" s="467"/>
      <c r="Z195" s="467"/>
    </row>
    <row r="196" spans="1:26" ht="15.75" customHeight="1">
      <c r="A196" s="409"/>
      <c r="B196" s="409"/>
      <c r="C196" s="409"/>
      <c r="D196" s="409"/>
      <c r="E196" s="409"/>
      <c r="F196" s="409"/>
      <c r="G196" s="409"/>
      <c r="H196" s="409"/>
      <c r="I196" s="409"/>
      <c r="J196" s="409"/>
      <c r="K196" s="409"/>
      <c r="L196" s="409"/>
      <c r="M196" s="409"/>
      <c r="N196" s="409"/>
      <c r="O196" s="467"/>
      <c r="P196" s="467"/>
      <c r="Q196" s="467"/>
      <c r="R196" s="467"/>
      <c r="S196" s="467"/>
      <c r="T196" s="467"/>
      <c r="U196" s="467"/>
      <c r="V196" s="467"/>
      <c r="W196" s="467"/>
      <c r="X196" s="467"/>
      <c r="Y196" s="467"/>
      <c r="Z196" s="467"/>
    </row>
    <row r="197" spans="1:26" ht="15.75" customHeight="1">
      <c r="A197" s="409"/>
      <c r="B197" s="409"/>
      <c r="C197" s="409"/>
      <c r="D197" s="409"/>
      <c r="E197" s="409"/>
      <c r="F197" s="409"/>
      <c r="G197" s="409"/>
      <c r="H197" s="409"/>
      <c r="I197" s="409"/>
      <c r="J197" s="409"/>
      <c r="K197" s="409"/>
      <c r="L197" s="409"/>
      <c r="M197" s="409"/>
      <c r="N197" s="409"/>
      <c r="O197" s="467"/>
      <c r="P197" s="467"/>
      <c r="Q197" s="467"/>
      <c r="R197" s="467"/>
      <c r="S197" s="467"/>
      <c r="T197" s="467"/>
      <c r="U197" s="467"/>
      <c r="V197" s="467"/>
      <c r="W197" s="467"/>
      <c r="X197" s="467"/>
      <c r="Y197" s="467"/>
      <c r="Z197" s="467"/>
    </row>
    <row r="198" spans="1:26" ht="15.75" customHeight="1">
      <c r="A198" s="409"/>
      <c r="B198" s="409"/>
      <c r="C198" s="409"/>
      <c r="D198" s="409"/>
      <c r="E198" s="409"/>
      <c r="F198" s="409"/>
      <c r="G198" s="409"/>
      <c r="H198" s="409"/>
      <c r="I198" s="409"/>
      <c r="J198" s="409"/>
      <c r="K198" s="409"/>
      <c r="L198" s="409"/>
      <c r="M198" s="409"/>
      <c r="N198" s="409"/>
      <c r="O198" s="467"/>
      <c r="P198" s="467"/>
      <c r="Q198" s="467"/>
      <c r="R198" s="467"/>
      <c r="S198" s="467"/>
      <c r="T198" s="467"/>
      <c r="U198" s="467"/>
      <c r="V198" s="467"/>
      <c r="W198" s="467"/>
      <c r="X198" s="467"/>
      <c r="Y198" s="467"/>
      <c r="Z198" s="467"/>
    </row>
    <row r="199" spans="1:26" ht="15.75" customHeight="1">
      <c r="A199" s="409"/>
      <c r="B199" s="409"/>
      <c r="C199" s="409"/>
      <c r="D199" s="409"/>
      <c r="E199" s="409"/>
      <c r="F199" s="409"/>
      <c r="G199" s="409"/>
      <c r="H199" s="409"/>
      <c r="I199" s="409"/>
      <c r="J199" s="409"/>
      <c r="K199" s="409"/>
      <c r="L199" s="409"/>
      <c r="M199" s="409"/>
      <c r="N199" s="409"/>
      <c r="O199" s="467"/>
      <c r="P199" s="467"/>
      <c r="Q199" s="467"/>
      <c r="R199" s="467"/>
      <c r="S199" s="467"/>
      <c r="T199" s="467"/>
      <c r="U199" s="467"/>
      <c r="V199" s="467"/>
      <c r="W199" s="467"/>
      <c r="X199" s="467"/>
      <c r="Y199" s="467"/>
      <c r="Z199" s="467"/>
    </row>
    <row r="200" spans="1:26" ht="15.75" customHeight="1">
      <c r="A200" s="409"/>
      <c r="B200" s="409"/>
      <c r="C200" s="409"/>
      <c r="D200" s="409"/>
      <c r="E200" s="409"/>
      <c r="F200" s="409"/>
      <c r="G200" s="409"/>
      <c r="H200" s="409"/>
      <c r="I200" s="409"/>
      <c r="J200" s="409"/>
      <c r="K200" s="409"/>
      <c r="L200" s="409"/>
      <c r="M200" s="409"/>
      <c r="N200" s="409"/>
      <c r="O200" s="467"/>
      <c r="P200" s="467"/>
      <c r="Q200" s="467"/>
      <c r="R200" s="467"/>
      <c r="S200" s="467"/>
      <c r="T200" s="467"/>
      <c r="U200" s="467"/>
      <c r="V200" s="467"/>
      <c r="W200" s="467"/>
      <c r="X200" s="467"/>
      <c r="Y200" s="467"/>
      <c r="Z200" s="467"/>
    </row>
    <row r="201" spans="1:26" ht="15.75" customHeight="1">
      <c r="A201" s="409"/>
      <c r="B201" s="409"/>
      <c r="C201" s="409"/>
      <c r="D201" s="409"/>
      <c r="E201" s="409"/>
      <c r="F201" s="409"/>
      <c r="G201" s="409"/>
      <c r="H201" s="409"/>
      <c r="I201" s="409"/>
      <c r="J201" s="409"/>
      <c r="K201" s="409"/>
      <c r="L201" s="409"/>
      <c r="M201" s="409"/>
      <c r="N201" s="409"/>
      <c r="O201" s="467"/>
      <c r="P201" s="467"/>
      <c r="Q201" s="467"/>
      <c r="R201" s="467"/>
      <c r="S201" s="467"/>
      <c r="T201" s="467"/>
      <c r="U201" s="467"/>
      <c r="V201" s="467"/>
      <c r="W201" s="467"/>
      <c r="X201" s="467"/>
      <c r="Y201" s="467"/>
      <c r="Z201" s="467"/>
    </row>
    <row r="202" spans="1:26" ht="15.75" customHeight="1">
      <c r="A202" s="409"/>
      <c r="B202" s="409"/>
      <c r="C202" s="409"/>
      <c r="D202" s="409"/>
      <c r="E202" s="409"/>
      <c r="F202" s="409"/>
      <c r="G202" s="409"/>
      <c r="H202" s="409"/>
      <c r="I202" s="409"/>
      <c r="J202" s="409"/>
      <c r="K202" s="409"/>
      <c r="L202" s="409"/>
      <c r="M202" s="409"/>
      <c r="N202" s="409"/>
      <c r="O202" s="467"/>
      <c r="P202" s="467"/>
      <c r="Q202" s="467"/>
      <c r="R202" s="467"/>
      <c r="S202" s="467"/>
      <c r="T202" s="467"/>
      <c r="U202" s="467"/>
      <c r="V202" s="467"/>
      <c r="W202" s="467"/>
      <c r="X202" s="467"/>
      <c r="Y202" s="467"/>
      <c r="Z202" s="467"/>
    </row>
    <row r="203" spans="1:26" ht="15.75" customHeight="1">
      <c r="A203" s="409"/>
      <c r="B203" s="409"/>
      <c r="C203" s="409"/>
      <c r="D203" s="409"/>
      <c r="E203" s="409"/>
      <c r="F203" s="409"/>
      <c r="G203" s="409"/>
      <c r="H203" s="409"/>
      <c r="I203" s="409"/>
      <c r="J203" s="409"/>
      <c r="K203" s="409"/>
      <c r="L203" s="409"/>
      <c r="M203" s="409"/>
      <c r="N203" s="409"/>
      <c r="O203" s="467"/>
      <c r="P203" s="467"/>
      <c r="Q203" s="467"/>
      <c r="R203" s="467"/>
      <c r="S203" s="467"/>
      <c r="T203" s="467"/>
      <c r="U203" s="467"/>
      <c r="V203" s="467"/>
      <c r="W203" s="467"/>
      <c r="X203" s="467"/>
      <c r="Y203" s="467"/>
      <c r="Z203" s="467"/>
    </row>
    <row r="204" spans="1:26" ht="15.75" customHeight="1">
      <c r="A204" s="409"/>
      <c r="B204" s="409"/>
      <c r="C204" s="409"/>
      <c r="D204" s="409"/>
      <c r="E204" s="409"/>
      <c r="F204" s="409"/>
      <c r="G204" s="409"/>
      <c r="H204" s="409"/>
      <c r="I204" s="409"/>
      <c r="J204" s="409"/>
      <c r="K204" s="409"/>
      <c r="L204" s="409"/>
      <c r="M204" s="409"/>
      <c r="N204" s="409"/>
      <c r="O204" s="467"/>
      <c r="P204" s="467"/>
      <c r="Q204" s="467"/>
      <c r="R204" s="467"/>
      <c r="S204" s="467"/>
      <c r="T204" s="467"/>
      <c r="U204" s="467"/>
      <c r="V204" s="467"/>
      <c r="W204" s="467"/>
      <c r="X204" s="467"/>
      <c r="Y204" s="467"/>
      <c r="Z204" s="467"/>
    </row>
    <row r="205" spans="1:26" ht="15.75" customHeight="1">
      <c r="A205" s="409"/>
      <c r="B205" s="409"/>
      <c r="C205" s="409"/>
      <c r="D205" s="409"/>
      <c r="E205" s="409"/>
      <c r="F205" s="409"/>
      <c r="G205" s="409"/>
      <c r="H205" s="409"/>
      <c r="I205" s="409"/>
      <c r="J205" s="409"/>
      <c r="K205" s="409"/>
      <c r="L205" s="409"/>
      <c r="M205" s="409"/>
      <c r="N205" s="409"/>
      <c r="O205" s="467"/>
      <c r="P205" s="467"/>
      <c r="Q205" s="467"/>
      <c r="R205" s="467"/>
      <c r="S205" s="467"/>
      <c r="T205" s="467"/>
      <c r="U205" s="467"/>
      <c r="V205" s="467"/>
      <c r="W205" s="467"/>
      <c r="X205" s="467"/>
      <c r="Y205" s="467"/>
      <c r="Z205" s="467"/>
    </row>
    <row r="206" spans="1:26" ht="15.75" customHeight="1">
      <c r="A206" s="409"/>
      <c r="B206" s="409"/>
      <c r="C206" s="409"/>
      <c r="D206" s="409"/>
      <c r="E206" s="409"/>
      <c r="F206" s="409"/>
      <c r="G206" s="409"/>
      <c r="H206" s="409"/>
      <c r="I206" s="409"/>
      <c r="J206" s="409"/>
      <c r="K206" s="409"/>
      <c r="L206" s="409"/>
      <c r="M206" s="409"/>
      <c r="N206" s="409"/>
      <c r="O206" s="467"/>
      <c r="P206" s="467"/>
      <c r="Q206" s="467"/>
      <c r="R206" s="467"/>
      <c r="S206" s="467"/>
      <c r="T206" s="467"/>
      <c r="U206" s="467"/>
      <c r="V206" s="467"/>
      <c r="W206" s="467"/>
      <c r="X206" s="467"/>
      <c r="Y206" s="467"/>
      <c r="Z206" s="467"/>
    </row>
    <row r="207" spans="1:26" ht="15.75" customHeight="1">
      <c r="A207" s="409"/>
      <c r="B207" s="409"/>
      <c r="C207" s="409"/>
      <c r="D207" s="409"/>
      <c r="E207" s="409"/>
      <c r="F207" s="409"/>
      <c r="G207" s="409"/>
      <c r="H207" s="409"/>
      <c r="I207" s="409"/>
      <c r="J207" s="409"/>
      <c r="K207" s="409"/>
      <c r="L207" s="409"/>
      <c r="M207" s="409"/>
      <c r="N207" s="409"/>
      <c r="O207" s="467"/>
      <c r="P207" s="467"/>
      <c r="Q207" s="467"/>
      <c r="R207" s="467"/>
      <c r="S207" s="467"/>
      <c r="T207" s="467"/>
      <c r="U207" s="467"/>
      <c r="V207" s="467"/>
      <c r="W207" s="467"/>
      <c r="X207" s="467"/>
      <c r="Y207" s="467"/>
      <c r="Z207" s="467"/>
    </row>
    <row r="208" spans="1:26" ht="15.75" customHeight="1">
      <c r="A208" s="409"/>
      <c r="B208" s="409"/>
      <c r="C208" s="409"/>
      <c r="D208" s="409"/>
      <c r="E208" s="409"/>
      <c r="F208" s="409"/>
      <c r="G208" s="409"/>
      <c r="H208" s="409"/>
      <c r="I208" s="409"/>
      <c r="J208" s="409"/>
      <c r="K208" s="409"/>
      <c r="L208" s="409"/>
      <c r="M208" s="409"/>
      <c r="N208" s="409"/>
      <c r="O208" s="467"/>
      <c r="P208" s="467"/>
      <c r="Q208" s="467"/>
      <c r="R208" s="467"/>
      <c r="S208" s="467"/>
      <c r="T208" s="467"/>
      <c r="U208" s="467"/>
      <c r="V208" s="467"/>
      <c r="W208" s="467"/>
      <c r="X208" s="467"/>
      <c r="Y208" s="467"/>
      <c r="Z208" s="467"/>
    </row>
    <row r="209" spans="1:26" ht="15.75" customHeight="1">
      <c r="A209" s="409"/>
      <c r="B209" s="409"/>
      <c r="C209" s="409"/>
      <c r="D209" s="409"/>
      <c r="E209" s="409"/>
      <c r="F209" s="409"/>
      <c r="G209" s="409"/>
      <c r="H209" s="409"/>
      <c r="I209" s="409"/>
      <c r="J209" s="409"/>
      <c r="K209" s="409"/>
      <c r="L209" s="409"/>
      <c r="M209" s="409"/>
      <c r="N209" s="409"/>
      <c r="O209" s="467"/>
      <c r="P209" s="467"/>
      <c r="Q209" s="467"/>
      <c r="R209" s="467"/>
      <c r="S209" s="467"/>
      <c r="T209" s="467"/>
      <c r="U209" s="467"/>
      <c r="V209" s="467"/>
      <c r="W209" s="467"/>
      <c r="X209" s="467"/>
      <c r="Y209" s="467"/>
      <c r="Z209" s="467"/>
    </row>
    <row r="210" spans="1:26" ht="15.75" customHeight="1">
      <c r="A210" s="409"/>
      <c r="B210" s="409"/>
      <c r="C210" s="409"/>
      <c r="D210" s="409"/>
      <c r="E210" s="409"/>
      <c r="F210" s="409"/>
      <c r="G210" s="409"/>
      <c r="H210" s="409"/>
      <c r="I210" s="409"/>
      <c r="J210" s="409"/>
      <c r="K210" s="409"/>
      <c r="L210" s="409"/>
      <c r="M210" s="409"/>
      <c r="N210" s="409"/>
      <c r="O210" s="467"/>
      <c r="P210" s="467"/>
      <c r="Q210" s="467"/>
      <c r="R210" s="467"/>
      <c r="S210" s="467"/>
      <c r="T210" s="467"/>
      <c r="U210" s="467"/>
      <c r="V210" s="467"/>
      <c r="W210" s="467"/>
      <c r="X210" s="467"/>
      <c r="Y210" s="467"/>
      <c r="Z210" s="467"/>
    </row>
    <row r="211" spans="1:26" ht="15.75" customHeight="1">
      <c r="A211" s="409"/>
      <c r="B211" s="409"/>
      <c r="C211" s="409"/>
      <c r="D211" s="409"/>
      <c r="E211" s="409"/>
      <c r="F211" s="409"/>
      <c r="G211" s="409"/>
      <c r="H211" s="409"/>
      <c r="I211" s="409"/>
      <c r="J211" s="409"/>
      <c r="K211" s="409"/>
      <c r="L211" s="409"/>
      <c r="M211" s="409"/>
      <c r="N211" s="409"/>
      <c r="O211" s="467"/>
      <c r="P211" s="467"/>
      <c r="Q211" s="467"/>
      <c r="R211" s="467"/>
      <c r="S211" s="467"/>
      <c r="T211" s="467"/>
      <c r="U211" s="467"/>
      <c r="V211" s="467"/>
      <c r="W211" s="467"/>
      <c r="X211" s="467"/>
      <c r="Y211" s="467"/>
      <c r="Z211" s="467"/>
    </row>
    <row r="212" spans="1:26" ht="15.75" customHeight="1">
      <c r="A212" s="409"/>
      <c r="B212" s="409"/>
      <c r="C212" s="409"/>
      <c r="D212" s="409"/>
      <c r="E212" s="409"/>
      <c r="F212" s="409"/>
      <c r="G212" s="409"/>
      <c r="H212" s="409"/>
      <c r="I212" s="409"/>
      <c r="J212" s="409"/>
      <c r="K212" s="409"/>
      <c r="L212" s="409"/>
      <c r="M212" s="409"/>
      <c r="N212" s="409"/>
      <c r="O212" s="467"/>
      <c r="P212" s="467"/>
      <c r="Q212" s="467"/>
      <c r="R212" s="467"/>
      <c r="S212" s="467"/>
      <c r="T212" s="467"/>
      <c r="U212" s="467"/>
      <c r="V212" s="467"/>
      <c r="W212" s="467"/>
      <c r="X212" s="467"/>
      <c r="Y212" s="467"/>
      <c r="Z212" s="467"/>
    </row>
    <row r="213" spans="1:26" ht="15.75" customHeight="1">
      <c r="A213" s="409"/>
      <c r="B213" s="409"/>
      <c r="C213" s="409"/>
      <c r="D213" s="409"/>
      <c r="E213" s="409"/>
      <c r="F213" s="409"/>
      <c r="G213" s="409"/>
      <c r="H213" s="409"/>
      <c r="I213" s="409"/>
      <c r="J213" s="409"/>
      <c r="K213" s="409"/>
      <c r="L213" s="409"/>
      <c r="M213" s="409"/>
      <c r="N213" s="409"/>
      <c r="O213" s="467"/>
      <c r="P213" s="467"/>
      <c r="Q213" s="467"/>
      <c r="R213" s="467"/>
      <c r="S213" s="467"/>
      <c r="T213" s="467"/>
      <c r="U213" s="467"/>
      <c r="V213" s="467"/>
      <c r="W213" s="467"/>
      <c r="X213" s="467"/>
      <c r="Y213" s="467"/>
      <c r="Z213" s="467"/>
    </row>
    <row r="214" spans="1:26" ht="15.75" customHeight="1">
      <c r="A214" s="409"/>
      <c r="B214" s="409"/>
      <c r="C214" s="409"/>
      <c r="D214" s="409"/>
      <c r="E214" s="409"/>
      <c r="F214" s="409"/>
      <c r="G214" s="409"/>
      <c r="H214" s="409"/>
      <c r="I214" s="409"/>
      <c r="J214" s="409"/>
      <c r="K214" s="409"/>
      <c r="L214" s="409"/>
      <c r="M214" s="409"/>
      <c r="N214" s="409"/>
      <c r="O214" s="467"/>
      <c r="P214" s="467"/>
      <c r="Q214" s="467"/>
      <c r="R214" s="467"/>
      <c r="S214" s="467"/>
      <c r="T214" s="467"/>
      <c r="U214" s="467"/>
      <c r="V214" s="467"/>
      <c r="W214" s="467"/>
      <c r="X214" s="467"/>
      <c r="Y214" s="467"/>
      <c r="Z214" s="467"/>
    </row>
    <row r="215" spans="1:26" ht="15.75" customHeight="1">
      <c r="A215" s="409"/>
      <c r="B215" s="409"/>
      <c r="C215" s="409"/>
      <c r="D215" s="409"/>
      <c r="E215" s="409"/>
      <c r="F215" s="409"/>
      <c r="G215" s="409"/>
      <c r="H215" s="409"/>
      <c r="I215" s="409"/>
      <c r="J215" s="409"/>
      <c r="K215" s="409"/>
      <c r="L215" s="409"/>
      <c r="M215" s="409"/>
      <c r="N215" s="409"/>
      <c r="O215" s="467"/>
      <c r="P215" s="467"/>
      <c r="Q215" s="467"/>
      <c r="R215" s="467"/>
      <c r="S215" s="467"/>
      <c r="T215" s="467"/>
      <c r="U215" s="467"/>
      <c r="V215" s="467"/>
      <c r="W215" s="467"/>
      <c r="X215" s="467"/>
      <c r="Y215" s="467"/>
      <c r="Z215" s="467"/>
    </row>
    <row r="216" spans="1:26" ht="15.75" customHeight="1">
      <c r="A216" s="409"/>
      <c r="B216" s="409"/>
      <c r="C216" s="409"/>
      <c r="D216" s="409"/>
      <c r="E216" s="409"/>
      <c r="F216" s="409"/>
      <c r="G216" s="409"/>
      <c r="H216" s="409"/>
      <c r="I216" s="409"/>
      <c r="J216" s="409"/>
      <c r="K216" s="409"/>
      <c r="L216" s="409"/>
      <c r="M216" s="409"/>
      <c r="N216" s="409"/>
      <c r="O216" s="467"/>
      <c r="P216" s="467"/>
      <c r="Q216" s="467"/>
      <c r="R216" s="467"/>
      <c r="S216" s="467"/>
      <c r="T216" s="467"/>
      <c r="U216" s="467"/>
      <c r="V216" s="467"/>
      <c r="W216" s="467"/>
      <c r="X216" s="467"/>
      <c r="Y216" s="467"/>
      <c r="Z216" s="467"/>
    </row>
    <row r="217" spans="1:26" ht="15.75" customHeight="1">
      <c r="A217" s="409"/>
      <c r="B217" s="409"/>
      <c r="C217" s="409"/>
      <c r="D217" s="409"/>
      <c r="E217" s="409"/>
      <c r="F217" s="409"/>
      <c r="G217" s="409"/>
      <c r="H217" s="409"/>
      <c r="I217" s="409"/>
      <c r="J217" s="409"/>
      <c r="K217" s="409"/>
      <c r="L217" s="409"/>
      <c r="M217" s="409"/>
      <c r="N217" s="409"/>
      <c r="O217" s="467"/>
      <c r="P217" s="467"/>
      <c r="Q217" s="467"/>
      <c r="R217" s="467"/>
      <c r="S217" s="467"/>
      <c r="T217" s="467"/>
      <c r="U217" s="467"/>
      <c r="V217" s="467"/>
      <c r="W217" s="467"/>
      <c r="X217" s="467"/>
      <c r="Y217" s="467"/>
      <c r="Z217" s="467"/>
    </row>
    <row r="218" spans="1:26" ht="15.75" customHeight="1">
      <c r="A218" s="409"/>
      <c r="B218" s="409"/>
      <c r="C218" s="409"/>
      <c r="D218" s="409"/>
      <c r="E218" s="409"/>
      <c r="F218" s="409"/>
      <c r="G218" s="409"/>
      <c r="H218" s="409"/>
      <c r="I218" s="409"/>
      <c r="J218" s="409"/>
      <c r="K218" s="409"/>
      <c r="L218" s="409"/>
      <c r="M218" s="409"/>
      <c r="N218" s="409"/>
      <c r="O218" s="467"/>
      <c r="P218" s="467"/>
      <c r="Q218" s="467"/>
      <c r="R218" s="467"/>
      <c r="S218" s="467"/>
      <c r="T218" s="467"/>
      <c r="U218" s="467"/>
      <c r="V218" s="467"/>
      <c r="W218" s="467"/>
      <c r="X218" s="467"/>
      <c r="Y218" s="467"/>
      <c r="Z218" s="467"/>
    </row>
    <row r="219" spans="1:26" ht="15.75" customHeight="1">
      <c r="A219" s="409"/>
      <c r="B219" s="409"/>
      <c r="C219" s="409"/>
      <c r="D219" s="409"/>
      <c r="E219" s="409"/>
      <c r="F219" s="409"/>
      <c r="G219" s="409"/>
      <c r="H219" s="409"/>
      <c r="I219" s="409"/>
      <c r="J219" s="409"/>
      <c r="K219" s="409"/>
      <c r="L219" s="409"/>
      <c r="M219" s="409"/>
      <c r="N219" s="409"/>
      <c r="O219" s="467"/>
      <c r="P219" s="467"/>
      <c r="Q219" s="467"/>
      <c r="R219" s="467"/>
      <c r="S219" s="467"/>
      <c r="T219" s="467"/>
      <c r="U219" s="467"/>
      <c r="V219" s="467"/>
      <c r="W219" s="467"/>
      <c r="X219" s="467"/>
      <c r="Y219" s="467"/>
      <c r="Z219" s="467"/>
    </row>
    <row r="220" spans="1:26" ht="15.75" customHeight="1">
      <c r="A220" s="409"/>
      <c r="B220" s="409"/>
      <c r="C220" s="409"/>
      <c r="D220" s="409"/>
      <c r="E220" s="409"/>
      <c r="F220" s="409"/>
      <c r="G220" s="409"/>
      <c r="H220" s="409"/>
      <c r="I220" s="409"/>
      <c r="J220" s="409"/>
      <c r="K220" s="409"/>
      <c r="L220" s="409"/>
      <c r="M220" s="409"/>
      <c r="N220" s="409"/>
      <c r="O220" s="467"/>
      <c r="P220" s="467"/>
      <c r="Q220" s="467"/>
      <c r="R220" s="467"/>
      <c r="S220" s="467"/>
      <c r="T220" s="467"/>
      <c r="U220" s="467"/>
      <c r="V220" s="467"/>
      <c r="W220" s="467"/>
      <c r="X220" s="467"/>
      <c r="Y220" s="467"/>
      <c r="Z220" s="467"/>
    </row>
    <row r="221" spans="1:26" ht="15.75" customHeight="1">
      <c r="A221" s="409"/>
      <c r="B221" s="409"/>
      <c r="C221" s="409"/>
      <c r="D221" s="409"/>
      <c r="E221" s="409"/>
      <c r="F221" s="409"/>
      <c r="G221" s="409"/>
      <c r="H221" s="409"/>
      <c r="I221" s="409"/>
      <c r="J221" s="409"/>
      <c r="K221" s="409"/>
      <c r="L221" s="409"/>
      <c r="M221" s="409"/>
      <c r="N221" s="409"/>
      <c r="O221" s="467"/>
      <c r="P221" s="467"/>
      <c r="Q221" s="467"/>
      <c r="R221" s="467"/>
      <c r="S221" s="467"/>
      <c r="T221" s="467"/>
      <c r="U221" s="467"/>
      <c r="V221" s="467"/>
      <c r="W221" s="467"/>
      <c r="X221" s="467"/>
      <c r="Y221" s="467"/>
      <c r="Z221" s="467"/>
    </row>
    <row r="222" spans="1:26" ht="15.75" customHeight="1">
      <c r="A222" s="409"/>
      <c r="B222" s="409"/>
      <c r="C222" s="409"/>
      <c r="D222" s="409"/>
      <c r="E222" s="409"/>
      <c r="F222" s="409"/>
      <c r="G222" s="409"/>
      <c r="H222" s="409"/>
      <c r="I222" s="409"/>
      <c r="J222" s="409"/>
      <c r="K222" s="409"/>
      <c r="L222" s="409"/>
      <c r="M222" s="409"/>
      <c r="N222" s="409"/>
      <c r="O222" s="467"/>
      <c r="P222" s="467"/>
      <c r="Q222" s="467"/>
      <c r="R222" s="467"/>
      <c r="S222" s="467"/>
      <c r="T222" s="467"/>
      <c r="U222" s="467"/>
      <c r="V222" s="467"/>
      <c r="W222" s="467"/>
      <c r="X222" s="467"/>
      <c r="Y222" s="467"/>
      <c r="Z222" s="467"/>
    </row>
    <row r="223" spans="1:26" ht="15.75" customHeight="1">
      <c r="A223" s="409"/>
      <c r="B223" s="409"/>
      <c r="C223" s="409"/>
      <c r="D223" s="409"/>
      <c r="E223" s="409"/>
      <c r="F223" s="409"/>
      <c r="G223" s="409"/>
      <c r="H223" s="409"/>
      <c r="I223" s="409"/>
      <c r="J223" s="409"/>
      <c r="K223" s="409"/>
      <c r="L223" s="409"/>
      <c r="M223" s="409"/>
      <c r="N223" s="409"/>
      <c r="O223" s="467"/>
      <c r="P223" s="467"/>
      <c r="Q223" s="467"/>
      <c r="R223" s="467"/>
      <c r="S223" s="467"/>
      <c r="T223" s="467"/>
      <c r="U223" s="467"/>
      <c r="V223" s="467"/>
      <c r="W223" s="467"/>
      <c r="X223" s="467"/>
      <c r="Y223" s="467"/>
      <c r="Z223" s="467"/>
    </row>
    <row r="224" spans="1:26" ht="15.75" customHeight="1">
      <c r="A224" s="409"/>
      <c r="B224" s="409"/>
      <c r="C224" s="409"/>
      <c r="D224" s="409"/>
      <c r="E224" s="409"/>
      <c r="F224" s="409"/>
      <c r="G224" s="409"/>
      <c r="H224" s="409"/>
      <c r="I224" s="409"/>
      <c r="J224" s="409"/>
      <c r="K224" s="409"/>
      <c r="L224" s="409"/>
      <c r="M224" s="409"/>
      <c r="N224" s="409"/>
      <c r="O224" s="467"/>
      <c r="P224" s="467"/>
      <c r="Q224" s="467"/>
      <c r="R224" s="467"/>
      <c r="S224" s="467"/>
      <c r="T224" s="467"/>
      <c r="U224" s="467"/>
      <c r="V224" s="467"/>
      <c r="W224" s="467"/>
      <c r="X224" s="467"/>
      <c r="Y224" s="467"/>
      <c r="Z224" s="467"/>
    </row>
    <row r="225" spans="1:26" ht="15.75" customHeight="1">
      <c r="A225" s="409"/>
      <c r="B225" s="409"/>
      <c r="C225" s="409"/>
      <c r="D225" s="409"/>
      <c r="E225" s="409"/>
      <c r="F225" s="409"/>
      <c r="G225" s="409"/>
      <c r="H225" s="409"/>
      <c r="I225" s="409"/>
      <c r="J225" s="409"/>
      <c r="K225" s="409"/>
      <c r="L225" s="409"/>
      <c r="M225" s="409"/>
      <c r="N225" s="409"/>
      <c r="O225" s="467"/>
      <c r="P225" s="467"/>
      <c r="Q225" s="467"/>
      <c r="R225" s="467"/>
      <c r="S225" s="467"/>
      <c r="T225" s="467"/>
      <c r="U225" s="467"/>
      <c r="V225" s="467"/>
      <c r="W225" s="467"/>
      <c r="X225" s="467"/>
      <c r="Y225" s="467"/>
      <c r="Z225" s="467"/>
    </row>
    <row r="226" spans="1:26" ht="15.75" customHeight="1">
      <c r="A226" s="409"/>
      <c r="B226" s="409"/>
      <c r="C226" s="409"/>
      <c r="D226" s="409"/>
      <c r="E226" s="409"/>
      <c r="F226" s="409"/>
      <c r="G226" s="409"/>
      <c r="H226" s="409"/>
      <c r="I226" s="409"/>
      <c r="J226" s="409"/>
      <c r="K226" s="409"/>
      <c r="L226" s="409"/>
      <c r="M226" s="409"/>
      <c r="N226" s="409"/>
      <c r="O226" s="467"/>
      <c r="P226" s="467"/>
      <c r="Q226" s="467"/>
      <c r="R226" s="467"/>
      <c r="S226" s="467"/>
      <c r="T226" s="467"/>
      <c r="U226" s="467"/>
      <c r="V226" s="467"/>
      <c r="W226" s="467"/>
      <c r="X226" s="467"/>
      <c r="Y226" s="467"/>
      <c r="Z226" s="467"/>
    </row>
    <row r="227" spans="1:26" ht="15.75" customHeight="1">
      <c r="A227" s="409"/>
      <c r="B227" s="409"/>
      <c r="C227" s="409"/>
      <c r="D227" s="409"/>
      <c r="E227" s="409"/>
      <c r="F227" s="409"/>
      <c r="G227" s="409"/>
      <c r="H227" s="409"/>
      <c r="I227" s="409"/>
      <c r="J227" s="409"/>
      <c r="K227" s="409"/>
      <c r="L227" s="409"/>
      <c r="M227" s="409"/>
      <c r="N227" s="409"/>
      <c r="O227" s="467"/>
      <c r="P227" s="467"/>
      <c r="Q227" s="467"/>
      <c r="R227" s="467"/>
      <c r="S227" s="467"/>
      <c r="T227" s="467"/>
      <c r="U227" s="467"/>
      <c r="V227" s="467"/>
      <c r="W227" s="467"/>
      <c r="X227" s="467"/>
      <c r="Y227" s="467"/>
      <c r="Z227" s="467"/>
    </row>
    <row r="228" spans="1:26" ht="15.75" customHeight="1">
      <c r="A228" s="409"/>
      <c r="B228" s="409"/>
      <c r="C228" s="409"/>
      <c r="D228" s="409"/>
      <c r="E228" s="409"/>
      <c r="F228" s="409"/>
      <c r="G228" s="409"/>
      <c r="H228" s="409"/>
      <c r="I228" s="409"/>
      <c r="J228" s="409"/>
      <c r="K228" s="409"/>
      <c r="L228" s="409"/>
      <c r="M228" s="409"/>
      <c r="N228" s="409"/>
      <c r="O228" s="467"/>
      <c r="P228" s="467"/>
      <c r="Q228" s="467"/>
      <c r="R228" s="467"/>
      <c r="S228" s="467"/>
      <c r="T228" s="467"/>
      <c r="U228" s="467"/>
      <c r="V228" s="467"/>
      <c r="W228" s="467"/>
      <c r="X228" s="467"/>
      <c r="Y228" s="467"/>
      <c r="Z228" s="467"/>
    </row>
    <row r="229" spans="1:26" ht="15.75" customHeight="1">
      <c r="A229" s="409"/>
      <c r="B229" s="409"/>
      <c r="C229" s="409"/>
      <c r="D229" s="409"/>
      <c r="E229" s="409"/>
      <c r="F229" s="409"/>
      <c r="G229" s="409"/>
      <c r="H229" s="409"/>
      <c r="I229" s="409"/>
      <c r="J229" s="409"/>
      <c r="K229" s="409"/>
      <c r="L229" s="409"/>
      <c r="M229" s="409"/>
      <c r="N229" s="409"/>
      <c r="O229" s="467"/>
      <c r="P229" s="467"/>
      <c r="Q229" s="467"/>
      <c r="R229" s="467"/>
      <c r="S229" s="467"/>
      <c r="T229" s="467"/>
      <c r="U229" s="467"/>
      <c r="V229" s="467"/>
      <c r="W229" s="467"/>
      <c r="X229" s="467"/>
      <c r="Y229" s="467"/>
      <c r="Z229" s="467"/>
    </row>
    <row r="230" spans="1:26" ht="15.75" customHeight="1">
      <c r="A230" s="409"/>
      <c r="B230" s="409"/>
      <c r="C230" s="409"/>
      <c r="D230" s="409"/>
      <c r="E230" s="409"/>
      <c r="F230" s="409"/>
      <c r="G230" s="409"/>
      <c r="H230" s="409"/>
      <c r="I230" s="409"/>
      <c r="J230" s="409"/>
      <c r="K230" s="409"/>
      <c r="L230" s="409"/>
      <c r="M230" s="409"/>
      <c r="N230" s="409"/>
      <c r="O230" s="467"/>
      <c r="P230" s="467"/>
      <c r="Q230" s="467"/>
      <c r="R230" s="467"/>
      <c r="S230" s="467"/>
      <c r="T230" s="467"/>
      <c r="U230" s="467"/>
      <c r="V230" s="467"/>
      <c r="W230" s="467"/>
      <c r="X230" s="467"/>
      <c r="Y230" s="467"/>
      <c r="Z230" s="467"/>
    </row>
    <row r="231" spans="1:26" ht="15.75" customHeight="1">
      <c r="A231" s="409"/>
      <c r="B231" s="409"/>
      <c r="C231" s="409"/>
      <c r="D231" s="409"/>
      <c r="E231" s="409"/>
      <c r="F231" s="409"/>
      <c r="G231" s="409"/>
      <c r="H231" s="409"/>
      <c r="I231" s="409"/>
      <c r="J231" s="409"/>
      <c r="K231" s="409"/>
      <c r="L231" s="409"/>
      <c r="M231" s="409"/>
      <c r="N231" s="409"/>
      <c r="O231" s="467"/>
      <c r="P231" s="467"/>
      <c r="Q231" s="467"/>
      <c r="R231" s="467"/>
      <c r="S231" s="467"/>
      <c r="T231" s="467"/>
      <c r="U231" s="467"/>
      <c r="V231" s="467"/>
      <c r="W231" s="467"/>
      <c r="X231" s="467"/>
      <c r="Y231" s="467"/>
      <c r="Z231" s="467"/>
    </row>
    <row r="232" spans="1:26" ht="15.75" customHeight="1">
      <c r="A232" s="409"/>
      <c r="B232" s="409"/>
      <c r="C232" s="409"/>
      <c r="D232" s="409"/>
      <c r="E232" s="409"/>
      <c r="F232" s="409"/>
      <c r="G232" s="409"/>
      <c r="H232" s="409"/>
      <c r="I232" s="409"/>
      <c r="J232" s="409"/>
      <c r="K232" s="409"/>
      <c r="L232" s="409"/>
      <c r="M232" s="409"/>
      <c r="N232" s="409"/>
      <c r="O232" s="467"/>
      <c r="P232" s="467"/>
      <c r="Q232" s="467"/>
      <c r="R232" s="467"/>
      <c r="S232" s="467"/>
      <c r="T232" s="467"/>
      <c r="U232" s="467"/>
      <c r="V232" s="467"/>
      <c r="W232" s="467"/>
      <c r="X232" s="467"/>
      <c r="Y232" s="467"/>
      <c r="Z232" s="467"/>
    </row>
    <row r="233" spans="1:26" ht="15.75" customHeight="1">
      <c r="A233" s="409"/>
      <c r="B233" s="409"/>
      <c r="C233" s="409"/>
      <c r="D233" s="409"/>
      <c r="E233" s="409"/>
      <c r="F233" s="409"/>
      <c r="G233" s="409"/>
      <c r="H233" s="409"/>
      <c r="I233" s="409"/>
      <c r="J233" s="409"/>
      <c r="K233" s="409"/>
      <c r="L233" s="409"/>
      <c r="M233" s="409"/>
      <c r="N233" s="409"/>
      <c r="O233" s="467"/>
      <c r="P233" s="467"/>
      <c r="Q233" s="467"/>
      <c r="R233" s="467"/>
      <c r="S233" s="467"/>
      <c r="T233" s="467"/>
      <c r="U233" s="467"/>
      <c r="V233" s="467"/>
      <c r="W233" s="467"/>
      <c r="X233" s="467"/>
      <c r="Y233" s="467"/>
      <c r="Z233" s="467"/>
    </row>
    <row r="234" spans="1:26" ht="15.75" customHeight="1">
      <c r="A234" s="409"/>
      <c r="B234" s="409"/>
      <c r="C234" s="409"/>
      <c r="D234" s="409"/>
      <c r="E234" s="409"/>
      <c r="F234" s="409"/>
      <c r="G234" s="409"/>
      <c r="H234" s="409"/>
      <c r="I234" s="409"/>
      <c r="J234" s="409"/>
      <c r="K234" s="409"/>
      <c r="L234" s="409"/>
      <c r="M234" s="409"/>
      <c r="N234" s="409"/>
      <c r="O234" s="467"/>
      <c r="P234" s="467"/>
      <c r="Q234" s="467"/>
      <c r="R234" s="467"/>
      <c r="S234" s="467"/>
      <c r="T234" s="467"/>
      <c r="U234" s="467"/>
      <c r="V234" s="467"/>
      <c r="W234" s="467"/>
      <c r="X234" s="467"/>
      <c r="Y234" s="467"/>
      <c r="Z234" s="467"/>
    </row>
    <row r="235" spans="1:26" ht="15.75" customHeight="1">
      <c r="A235" s="409"/>
      <c r="B235" s="409"/>
      <c r="C235" s="409"/>
      <c r="D235" s="409"/>
      <c r="E235" s="409"/>
      <c r="F235" s="409"/>
      <c r="G235" s="409"/>
      <c r="H235" s="409"/>
      <c r="I235" s="409"/>
      <c r="J235" s="409"/>
      <c r="K235" s="409"/>
      <c r="L235" s="409"/>
      <c r="M235" s="409"/>
      <c r="N235" s="409"/>
      <c r="O235" s="467"/>
      <c r="P235" s="467"/>
      <c r="Q235" s="467"/>
      <c r="R235" s="467"/>
      <c r="S235" s="467"/>
      <c r="T235" s="467"/>
      <c r="U235" s="467"/>
      <c r="V235" s="467"/>
      <c r="W235" s="467"/>
      <c r="X235" s="467"/>
      <c r="Y235" s="467"/>
      <c r="Z235" s="467"/>
    </row>
    <row r="236" spans="1:26" ht="15.75" customHeight="1">
      <c r="A236" s="409"/>
      <c r="B236" s="409"/>
      <c r="C236" s="409"/>
      <c r="D236" s="409"/>
      <c r="E236" s="409"/>
      <c r="F236" s="409"/>
      <c r="G236" s="409"/>
      <c r="H236" s="409"/>
      <c r="I236" s="409"/>
      <c r="J236" s="409"/>
      <c r="K236" s="409"/>
      <c r="L236" s="409"/>
      <c r="M236" s="409"/>
      <c r="N236" s="409"/>
      <c r="O236" s="467"/>
      <c r="P236" s="467"/>
      <c r="Q236" s="467"/>
      <c r="R236" s="467"/>
      <c r="S236" s="467"/>
      <c r="T236" s="467"/>
      <c r="U236" s="467"/>
      <c r="V236" s="467"/>
      <c r="W236" s="467"/>
      <c r="X236" s="467"/>
      <c r="Y236" s="467"/>
      <c r="Z236" s="467"/>
    </row>
    <row r="237" spans="1:26" ht="15.75" customHeight="1">
      <c r="A237" s="409"/>
      <c r="B237" s="409"/>
      <c r="C237" s="409"/>
      <c r="D237" s="409"/>
      <c r="E237" s="409"/>
      <c r="F237" s="409"/>
      <c r="G237" s="409"/>
      <c r="H237" s="409"/>
      <c r="I237" s="409"/>
      <c r="J237" s="409"/>
      <c r="K237" s="409"/>
      <c r="L237" s="409"/>
      <c r="M237" s="409"/>
      <c r="N237" s="409"/>
      <c r="O237" s="467"/>
      <c r="P237" s="467"/>
      <c r="Q237" s="467"/>
      <c r="R237" s="467"/>
      <c r="S237" s="467"/>
      <c r="T237" s="467"/>
      <c r="U237" s="467"/>
      <c r="V237" s="467"/>
      <c r="W237" s="467"/>
      <c r="X237" s="467"/>
      <c r="Y237" s="467"/>
      <c r="Z237" s="467"/>
    </row>
    <row r="238" spans="1:26" ht="15.75" customHeight="1">
      <c r="A238" s="409"/>
      <c r="B238" s="409"/>
      <c r="C238" s="409"/>
      <c r="D238" s="409"/>
      <c r="E238" s="409"/>
      <c r="F238" s="409"/>
      <c r="G238" s="409"/>
      <c r="H238" s="409"/>
      <c r="I238" s="409"/>
      <c r="J238" s="409"/>
      <c r="K238" s="409"/>
      <c r="L238" s="409"/>
      <c r="M238" s="409"/>
      <c r="N238" s="409"/>
      <c r="O238" s="467"/>
      <c r="P238" s="467"/>
      <c r="Q238" s="467"/>
      <c r="R238" s="467"/>
      <c r="S238" s="467"/>
      <c r="T238" s="467"/>
      <c r="U238" s="467"/>
      <c r="V238" s="467"/>
      <c r="W238" s="467"/>
      <c r="X238" s="467"/>
      <c r="Y238" s="467"/>
      <c r="Z238" s="467"/>
    </row>
    <row r="239" spans="1:26" ht="15.75" customHeight="1">
      <c r="A239" s="409"/>
      <c r="B239" s="409"/>
      <c r="C239" s="409"/>
      <c r="D239" s="409"/>
      <c r="E239" s="409"/>
      <c r="F239" s="409"/>
      <c r="G239" s="409"/>
      <c r="H239" s="409"/>
      <c r="I239" s="409"/>
      <c r="J239" s="409"/>
      <c r="K239" s="409"/>
      <c r="L239" s="409"/>
      <c r="M239" s="409"/>
      <c r="N239" s="409"/>
      <c r="O239" s="467"/>
      <c r="P239" s="467"/>
      <c r="Q239" s="467"/>
      <c r="R239" s="467"/>
      <c r="S239" s="467"/>
      <c r="T239" s="467"/>
      <c r="U239" s="467"/>
      <c r="V239" s="467"/>
      <c r="W239" s="467"/>
      <c r="X239" s="467"/>
      <c r="Y239" s="467"/>
      <c r="Z239" s="467"/>
    </row>
    <row r="240" spans="1:26" ht="15.75" customHeight="1">
      <c r="A240" s="409"/>
      <c r="B240" s="409"/>
      <c r="C240" s="409"/>
      <c r="D240" s="409"/>
      <c r="E240" s="409"/>
      <c r="F240" s="409"/>
      <c r="G240" s="409"/>
      <c r="H240" s="409"/>
      <c r="I240" s="409"/>
      <c r="J240" s="409"/>
      <c r="K240" s="409"/>
      <c r="L240" s="409"/>
      <c r="M240" s="409"/>
      <c r="N240" s="409"/>
      <c r="O240" s="467"/>
      <c r="P240" s="467"/>
      <c r="Q240" s="467"/>
      <c r="R240" s="467"/>
      <c r="S240" s="467"/>
      <c r="T240" s="467"/>
      <c r="U240" s="467"/>
      <c r="V240" s="467"/>
      <c r="W240" s="467"/>
      <c r="X240" s="467"/>
      <c r="Y240" s="467"/>
      <c r="Z240" s="467"/>
    </row>
    <row r="241" spans="1:26" ht="15.75" customHeight="1">
      <c r="A241" s="409"/>
      <c r="B241" s="409"/>
      <c r="C241" s="409"/>
      <c r="D241" s="409"/>
      <c r="E241" s="409"/>
      <c r="F241" s="409"/>
      <c r="G241" s="409"/>
      <c r="H241" s="409"/>
      <c r="I241" s="409"/>
      <c r="J241" s="409"/>
      <c r="K241" s="409"/>
      <c r="L241" s="409"/>
      <c r="M241" s="409"/>
      <c r="N241" s="409"/>
      <c r="O241" s="467"/>
      <c r="P241" s="467"/>
      <c r="Q241" s="467"/>
      <c r="R241" s="467"/>
      <c r="S241" s="467"/>
      <c r="T241" s="467"/>
      <c r="U241" s="467"/>
      <c r="V241" s="467"/>
      <c r="W241" s="467"/>
      <c r="X241" s="467"/>
      <c r="Y241" s="467"/>
      <c r="Z241" s="467"/>
    </row>
    <row r="242" spans="1:26" ht="15.75" customHeight="1">
      <c r="A242" s="409"/>
      <c r="B242" s="409"/>
      <c r="C242" s="409"/>
      <c r="D242" s="409"/>
      <c r="E242" s="409"/>
      <c r="F242" s="409"/>
      <c r="G242" s="409"/>
      <c r="H242" s="409"/>
      <c r="I242" s="409"/>
      <c r="J242" s="409"/>
      <c r="K242" s="409"/>
      <c r="L242" s="409"/>
      <c r="M242" s="409"/>
      <c r="N242" s="409"/>
      <c r="O242" s="467"/>
      <c r="P242" s="467"/>
      <c r="Q242" s="467"/>
      <c r="R242" s="467"/>
      <c r="S242" s="467"/>
      <c r="T242" s="467"/>
      <c r="U242" s="467"/>
      <c r="V242" s="467"/>
      <c r="W242" s="467"/>
      <c r="X242" s="467"/>
      <c r="Y242" s="467"/>
      <c r="Z242" s="467"/>
    </row>
    <row r="243" spans="1:26" ht="15.75" customHeight="1">
      <c r="A243" s="409"/>
      <c r="B243" s="409"/>
      <c r="C243" s="409"/>
      <c r="D243" s="409"/>
      <c r="E243" s="409"/>
      <c r="F243" s="409"/>
      <c r="G243" s="409"/>
      <c r="H243" s="409"/>
      <c r="I243" s="409"/>
      <c r="J243" s="409"/>
      <c r="K243" s="409"/>
      <c r="L243" s="409"/>
      <c r="M243" s="409"/>
      <c r="N243" s="409"/>
      <c r="O243" s="467"/>
      <c r="P243" s="467"/>
      <c r="Q243" s="467"/>
      <c r="R243" s="467"/>
      <c r="S243" s="467"/>
      <c r="T243" s="467"/>
      <c r="U243" s="467"/>
      <c r="V243" s="467"/>
      <c r="W243" s="467"/>
      <c r="X243" s="467"/>
      <c r="Y243" s="467"/>
      <c r="Z243" s="467"/>
    </row>
    <row r="244" spans="1:26" ht="15.75" customHeight="1">
      <c r="A244" s="409"/>
      <c r="B244" s="409"/>
      <c r="C244" s="409"/>
      <c r="D244" s="409"/>
      <c r="E244" s="409"/>
      <c r="F244" s="409"/>
      <c r="G244" s="409"/>
      <c r="H244" s="409"/>
      <c r="I244" s="409"/>
      <c r="J244" s="409"/>
      <c r="K244" s="409"/>
      <c r="L244" s="409"/>
      <c r="M244" s="409"/>
      <c r="N244" s="409"/>
      <c r="O244" s="467"/>
      <c r="P244" s="467"/>
      <c r="Q244" s="467"/>
      <c r="R244" s="467"/>
      <c r="S244" s="467"/>
      <c r="T244" s="467"/>
      <c r="U244" s="467"/>
      <c r="V244" s="467"/>
      <c r="W244" s="467"/>
      <c r="X244" s="467"/>
      <c r="Y244" s="467"/>
      <c r="Z244" s="467"/>
    </row>
    <row r="245" spans="1:26" ht="15.75" customHeight="1">
      <c r="A245" s="409"/>
      <c r="B245" s="409"/>
      <c r="C245" s="409"/>
      <c r="D245" s="409"/>
      <c r="E245" s="409"/>
      <c r="F245" s="409"/>
      <c r="G245" s="409"/>
      <c r="H245" s="409"/>
      <c r="I245" s="409"/>
      <c r="J245" s="409"/>
      <c r="K245" s="409"/>
      <c r="L245" s="409"/>
      <c r="M245" s="409"/>
      <c r="N245" s="409"/>
      <c r="O245" s="467"/>
      <c r="P245" s="467"/>
      <c r="Q245" s="467"/>
      <c r="R245" s="467"/>
      <c r="S245" s="467"/>
      <c r="T245" s="467"/>
      <c r="U245" s="467"/>
      <c r="V245" s="467"/>
      <c r="W245" s="467"/>
      <c r="X245" s="467"/>
      <c r="Y245" s="467"/>
      <c r="Z245" s="467"/>
    </row>
    <row r="246" spans="1:26" ht="15.75" customHeight="1">
      <c r="A246" s="409"/>
      <c r="B246" s="409"/>
      <c r="C246" s="409"/>
      <c r="D246" s="409"/>
      <c r="E246" s="409"/>
      <c r="F246" s="409"/>
      <c r="G246" s="409"/>
      <c r="H246" s="409"/>
      <c r="I246" s="409"/>
      <c r="J246" s="409"/>
      <c r="K246" s="409"/>
      <c r="L246" s="409"/>
      <c r="M246" s="409"/>
      <c r="N246" s="409"/>
      <c r="O246" s="467"/>
      <c r="P246" s="467"/>
      <c r="Q246" s="467"/>
      <c r="R246" s="467"/>
      <c r="S246" s="467"/>
      <c r="T246" s="467"/>
      <c r="U246" s="467"/>
      <c r="V246" s="467"/>
      <c r="W246" s="467"/>
      <c r="X246" s="467"/>
      <c r="Y246" s="467"/>
      <c r="Z246" s="467"/>
    </row>
    <row r="247" spans="1:26" ht="15.75" customHeight="1">
      <c r="A247" s="409"/>
      <c r="B247" s="409"/>
      <c r="C247" s="409"/>
      <c r="D247" s="409"/>
      <c r="E247" s="409"/>
      <c r="F247" s="409"/>
      <c r="G247" s="409"/>
      <c r="H247" s="409"/>
      <c r="I247" s="409"/>
      <c r="J247" s="409"/>
      <c r="K247" s="409"/>
      <c r="L247" s="409"/>
      <c r="M247" s="409"/>
      <c r="N247" s="409"/>
      <c r="O247" s="467"/>
      <c r="P247" s="467"/>
      <c r="Q247" s="467"/>
      <c r="R247" s="467"/>
      <c r="S247" s="467"/>
      <c r="T247" s="467"/>
      <c r="U247" s="467"/>
      <c r="V247" s="467"/>
      <c r="W247" s="467"/>
      <c r="X247" s="467"/>
      <c r="Y247" s="467"/>
      <c r="Z247" s="467"/>
    </row>
    <row r="248" spans="1:26" ht="15.75" customHeight="1">
      <c r="A248" s="409"/>
      <c r="B248" s="409"/>
      <c r="C248" s="409"/>
      <c r="D248" s="409"/>
      <c r="E248" s="409"/>
      <c r="F248" s="409"/>
      <c r="G248" s="409"/>
      <c r="H248" s="409"/>
      <c r="I248" s="409"/>
      <c r="J248" s="409"/>
      <c r="K248" s="409"/>
      <c r="L248" s="409"/>
      <c r="M248" s="409"/>
      <c r="N248" s="409"/>
      <c r="O248" s="467"/>
      <c r="P248" s="467"/>
      <c r="Q248" s="467"/>
      <c r="R248" s="467"/>
      <c r="S248" s="467"/>
      <c r="T248" s="467"/>
      <c r="U248" s="467"/>
      <c r="V248" s="467"/>
      <c r="W248" s="467"/>
      <c r="X248" s="467"/>
      <c r="Y248" s="467"/>
      <c r="Z248" s="467"/>
    </row>
    <row r="249" spans="1:26" ht="15.75" customHeight="1">
      <c r="A249" s="409"/>
      <c r="B249" s="409"/>
      <c r="C249" s="409"/>
      <c r="D249" s="409"/>
      <c r="E249" s="409"/>
      <c r="F249" s="409"/>
      <c r="G249" s="409"/>
      <c r="H249" s="409"/>
      <c r="I249" s="409"/>
      <c r="J249" s="409"/>
      <c r="K249" s="409"/>
      <c r="L249" s="409"/>
      <c r="M249" s="409"/>
      <c r="N249" s="409"/>
      <c r="O249" s="467"/>
      <c r="P249" s="467"/>
      <c r="Q249" s="467"/>
      <c r="R249" s="467"/>
      <c r="S249" s="467"/>
      <c r="T249" s="467"/>
      <c r="U249" s="467"/>
      <c r="V249" s="467"/>
      <c r="W249" s="467"/>
      <c r="X249" s="467"/>
      <c r="Y249" s="467"/>
      <c r="Z249" s="467"/>
    </row>
    <row r="250" spans="1:26" ht="15.75" customHeight="1">
      <c r="A250" s="409"/>
      <c r="B250" s="409"/>
      <c r="C250" s="409"/>
      <c r="D250" s="409"/>
      <c r="E250" s="409"/>
      <c r="F250" s="409"/>
      <c r="G250" s="409"/>
      <c r="H250" s="409"/>
      <c r="I250" s="409"/>
      <c r="J250" s="409"/>
      <c r="K250" s="409"/>
      <c r="L250" s="409"/>
      <c r="M250" s="409"/>
      <c r="N250" s="409"/>
      <c r="O250" s="467"/>
      <c r="P250" s="467"/>
      <c r="Q250" s="467"/>
      <c r="R250" s="467"/>
      <c r="S250" s="467"/>
      <c r="T250" s="467"/>
      <c r="U250" s="467"/>
      <c r="V250" s="467"/>
      <c r="W250" s="467"/>
      <c r="X250" s="467"/>
      <c r="Y250" s="467"/>
      <c r="Z250" s="467"/>
    </row>
    <row r="251" spans="1:26" ht="15.75" customHeight="1">
      <c r="A251" s="409"/>
      <c r="B251" s="409"/>
      <c r="C251" s="409"/>
      <c r="D251" s="409"/>
      <c r="E251" s="409"/>
      <c r="F251" s="409"/>
      <c r="G251" s="409"/>
      <c r="H251" s="409"/>
      <c r="I251" s="409"/>
      <c r="J251" s="409"/>
      <c r="K251" s="409"/>
      <c r="L251" s="409"/>
      <c r="M251" s="409"/>
      <c r="N251" s="409"/>
      <c r="O251" s="467"/>
      <c r="P251" s="467"/>
      <c r="Q251" s="467"/>
      <c r="R251" s="467"/>
      <c r="S251" s="467"/>
      <c r="T251" s="467"/>
      <c r="U251" s="467"/>
      <c r="V251" s="467"/>
      <c r="W251" s="467"/>
      <c r="X251" s="467"/>
      <c r="Y251" s="467"/>
      <c r="Z251" s="467"/>
    </row>
    <row r="252" spans="1:26" ht="15.75" customHeight="1">
      <c r="A252" s="409"/>
      <c r="B252" s="409"/>
      <c r="C252" s="409"/>
      <c r="D252" s="409"/>
      <c r="E252" s="409"/>
      <c r="F252" s="409"/>
      <c r="G252" s="409"/>
      <c r="H252" s="409"/>
      <c r="I252" s="409"/>
      <c r="J252" s="409"/>
      <c r="K252" s="409"/>
      <c r="L252" s="409"/>
      <c r="M252" s="409"/>
      <c r="N252" s="409"/>
      <c r="O252" s="467"/>
      <c r="P252" s="467"/>
      <c r="Q252" s="467"/>
      <c r="R252" s="467"/>
      <c r="S252" s="467"/>
      <c r="T252" s="467"/>
      <c r="U252" s="467"/>
      <c r="V252" s="467"/>
      <c r="W252" s="467"/>
      <c r="X252" s="467"/>
      <c r="Y252" s="467"/>
      <c r="Z252" s="467"/>
    </row>
    <row r="253" spans="1:26" ht="15.75" customHeight="1">
      <c r="A253" s="409"/>
      <c r="B253" s="409"/>
      <c r="C253" s="409"/>
      <c r="D253" s="409"/>
      <c r="E253" s="409"/>
      <c r="F253" s="409"/>
      <c r="G253" s="409"/>
      <c r="H253" s="409"/>
      <c r="I253" s="409"/>
      <c r="J253" s="409"/>
      <c r="K253" s="409"/>
      <c r="L253" s="409"/>
      <c r="M253" s="409"/>
      <c r="N253" s="409"/>
      <c r="O253" s="467"/>
      <c r="P253" s="467"/>
      <c r="Q253" s="467"/>
      <c r="R253" s="467"/>
      <c r="S253" s="467"/>
      <c r="T253" s="467"/>
      <c r="U253" s="467"/>
      <c r="V253" s="467"/>
      <c r="W253" s="467"/>
      <c r="X253" s="467"/>
      <c r="Y253" s="467"/>
      <c r="Z253" s="467"/>
    </row>
    <row r="254" spans="1:26" ht="15.75" customHeight="1">
      <c r="A254" s="409"/>
      <c r="B254" s="409"/>
      <c r="C254" s="409"/>
      <c r="D254" s="409"/>
      <c r="E254" s="409"/>
      <c r="F254" s="409"/>
      <c r="G254" s="409"/>
      <c r="H254" s="409"/>
      <c r="I254" s="409"/>
      <c r="J254" s="409"/>
      <c r="K254" s="409"/>
      <c r="L254" s="409"/>
      <c r="M254" s="409"/>
      <c r="N254" s="409"/>
      <c r="O254" s="467"/>
      <c r="P254" s="467"/>
      <c r="Q254" s="467"/>
      <c r="R254" s="467"/>
      <c r="S254" s="467"/>
      <c r="T254" s="467"/>
      <c r="U254" s="467"/>
      <c r="V254" s="467"/>
      <c r="W254" s="467"/>
      <c r="X254" s="467"/>
      <c r="Y254" s="467"/>
      <c r="Z254" s="467"/>
    </row>
    <row r="255" spans="1:26" ht="15.75" customHeight="1">
      <c r="A255" s="409"/>
      <c r="B255" s="409"/>
      <c r="C255" s="409"/>
      <c r="D255" s="409"/>
      <c r="E255" s="409"/>
      <c r="F255" s="409"/>
      <c r="G255" s="409"/>
      <c r="H255" s="409"/>
      <c r="I255" s="409"/>
      <c r="J255" s="409"/>
      <c r="K255" s="409"/>
      <c r="L255" s="409"/>
      <c r="M255" s="409"/>
      <c r="N255" s="409"/>
      <c r="O255" s="467"/>
      <c r="P255" s="467"/>
      <c r="Q255" s="467"/>
      <c r="R255" s="467"/>
      <c r="S255" s="467"/>
      <c r="T255" s="467"/>
      <c r="U255" s="467"/>
      <c r="V255" s="467"/>
      <c r="W255" s="467"/>
      <c r="X255" s="467"/>
      <c r="Y255" s="467"/>
      <c r="Z255" s="467"/>
    </row>
    <row r="256" spans="1:26" ht="15.75" customHeight="1">
      <c r="A256" s="409"/>
      <c r="B256" s="409"/>
      <c r="C256" s="409"/>
      <c r="D256" s="409"/>
      <c r="E256" s="409"/>
      <c r="F256" s="409"/>
      <c r="G256" s="409"/>
      <c r="H256" s="409"/>
      <c r="I256" s="409"/>
      <c r="J256" s="409"/>
      <c r="K256" s="409"/>
      <c r="L256" s="409"/>
      <c r="M256" s="409"/>
      <c r="N256" s="409"/>
      <c r="O256" s="467"/>
      <c r="P256" s="467"/>
      <c r="Q256" s="467"/>
      <c r="R256" s="467"/>
      <c r="S256" s="467"/>
      <c r="T256" s="467"/>
      <c r="U256" s="467"/>
      <c r="V256" s="467"/>
      <c r="W256" s="467"/>
      <c r="X256" s="467"/>
      <c r="Y256" s="467"/>
      <c r="Z256" s="467"/>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8">
    <mergeCell ref="D30:F30"/>
    <mergeCell ref="G30:H30"/>
    <mergeCell ref="I30:J30"/>
    <mergeCell ref="K30:L30"/>
    <mergeCell ref="I32:J32"/>
    <mergeCell ref="I33:J33"/>
    <mergeCell ref="K33:L33"/>
    <mergeCell ref="I37:J37"/>
    <mergeCell ref="I38:J38"/>
    <mergeCell ref="E48:G48"/>
    <mergeCell ref="E56:G56"/>
    <mergeCell ref="K38:L38"/>
    <mergeCell ref="J49:L57"/>
    <mergeCell ref="I34:J34"/>
    <mergeCell ref="K34:L34"/>
    <mergeCell ref="I35:J35"/>
    <mergeCell ref="K35:L35"/>
    <mergeCell ref="I36:J36"/>
    <mergeCell ref="K36:L36"/>
    <mergeCell ref="K37:L37"/>
    <mergeCell ref="K16:L16"/>
    <mergeCell ref="I11:J11"/>
    <mergeCell ref="K11:L11"/>
    <mergeCell ref="C2:C3"/>
    <mergeCell ref="E2:F2"/>
    <mergeCell ref="G2:H2"/>
    <mergeCell ref="I2:J2"/>
    <mergeCell ref="K2:L2"/>
    <mergeCell ref="E11:F11"/>
    <mergeCell ref="G11:H11"/>
    <mergeCell ref="E13:F13"/>
    <mergeCell ref="G13:H13"/>
    <mergeCell ref="I13:J13"/>
    <mergeCell ref="K13:L13"/>
    <mergeCell ref="I14:J14"/>
    <mergeCell ref="K14:L14"/>
    <mergeCell ref="C14:C15"/>
    <mergeCell ref="E14:F14"/>
    <mergeCell ref="G14:H14"/>
    <mergeCell ref="E18:F18"/>
    <mergeCell ref="E20:F20"/>
    <mergeCell ref="G20:H20"/>
    <mergeCell ref="I20:J20"/>
    <mergeCell ref="K20:L20"/>
    <mergeCell ref="E15:F15"/>
    <mergeCell ref="G15:H15"/>
    <mergeCell ref="E16:F16"/>
    <mergeCell ref="G16:H16"/>
    <mergeCell ref="E17:F17"/>
    <mergeCell ref="G17:H17"/>
    <mergeCell ref="G18:H18"/>
    <mergeCell ref="I17:J17"/>
    <mergeCell ref="K17:L17"/>
    <mergeCell ref="I18:J18"/>
    <mergeCell ref="K18:L18"/>
    <mergeCell ref="I15:J15"/>
    <mergeCell ref="K15:L15"/>
    <mergeCell ref="I16:J16"/>
  </mergeCells>
  <conditionalFormatting sqref="F23:F27">
    <cfRule type="cellIs" dxfId="6" priority="1" operator="notBetween">
      <formula>$I$38-($I$39*2)</formula>
      <formula>$I$38+($I$39*2)</formula>
    </cfRule>
  </conditionalFormatting>
  <conditionalFormatting sqref="E23:E27">
    <cfRule type="cellIs" dxfId="5" priority="2" operator="notBetween">
      <formula>$I$38-($I$39*2)</formula>
      <formula>$I$38+($I$39*2)</formula>
    </cfRule>
  </conditionalFormatting>
  <conditionalFormatting sqref="G23:H27">
    <cfRule type="cellIs" dxfId="4" priority="3" operator="notBetween">
      <formula>$K$38-($K$39*2)</formula>
      <formula>$K$38+($K$39*2)</formula>
    </cfRule>
  </conditionalFormatting>
  <conditionalFormatting sqref="I23:J27">
    <cfRule type="cellIs" dxfId="3" priority="4" operator="notBetween">
      <formula>$K$38-($K$39*2)</formula>
      <formula>$K$38+($K$39*2)</formula>
    </cfRule>
  </conditionalFormatting>
  <conditionalFormatting sqref="K23:L27">
    <cfRule type="cellIs" dxfId="2" priority="5" operator="notBetween">
      <formula>$K$38-($K$39*2)</formula>
      <formula>$K$38+($K$39*2)</formula>
    </cfRule>
  </conditionalFormatting>
  <pageMargins left="0.7" right="0.7" top="0.75" bottom="0.75" header="0" footer="0"/>
  <pageSetup orientation="landscape"/>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FA54C59FFA8E44B5D853B8B2AE7379" ma:contentTypeVersion="6" ma:contentTypeDescription="Create a new document." ma:contentTypeScope="" ma:versionID="06c1e58cd5f9c3c4cbf63240d859b4c0">
  <xsd:schema xmlns:xsd="http://www.w3.org/2001/XMLSchema" xmlns:xs="http://www.w3.org/2001/XMLSchema" xmlns:p="http://schemas.microsoft.com/office/2006/metadata/properties" xmlns:ns2="b0cba12f-fd83-4143-8c89-d789aa146b11" xmlns:ns3="9484022a-5cd9-4515-b2d0-176430c8b87e" targetNamespace="http://schemas.microsoft.com/office/2006/metadata/properties" ma:root="true" ma:fieldsID="d720de881cbd78e4f39bf6a769808e19" ns2:_="" ns3:_="">
    <xsd:import namespace="b0cba12f-fd83-4143-8c89-d789aa146b11"/>
    <xsd:import namespace="9484022a-5cd9-4515-b2d0-176430c8b8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ba12f-fd83-4143-8c89-d789aa146b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484022a-5cd9-4515-b2d0-176430c8b8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683F9B-237D-47A7-87D2-F8129C00B189}">
  <ds:schemaRefs>
    <ds:schemaRef ds:uri="http://schemas.microsoft.com/sharepoint/v3/contenttype/forms"/>
  </ds:schemaRefs>
</ds:datastoreItem>
</file>

<file path=customXml/itemProps2.xml><?xml version="1.0" encoding="utf-8"?>
<ds:datastoreItem xmlns:ds="http://schemas.openxmlformats.org/officeDocument/2006/customXml" ds:itemID="{7DAE89CD-AA94-4FC8-9512-B237FF934E9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6A63F1E-5A2E-4152-975B-832CDAB3C0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ba12f-fd83-4143-8c89-d789aa146b11"/>
    <ds:schemaRef ds:uri="9484022a-5cd9-4515-b2d0-176430c8b8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40</vt:i4>
      </vt:variant>
    </vt:vector>
  </HeadingPairs>
  <TitlesOfParts>
    <vt:vector size="55" baseType="lpstr">
      <vt:lpstr>Summary</vt:lpstr>
      <vt:lpstr>Quarterly Forecast</vt:lpstr>
      <vt:lpstr>Sheet1</vt:lpstr>
      <vt:lpstr>IS</vt:lpstr>
      <vt:lpstr>BS</vt:lpstr>
      <vt:lpstr>CF</vt:lpstr>
      <vt:lpstr>FCFF</vt:lpstr>
      <vt:lpstr>DDM</vt:lpstr>
      <vt:lpstr>HistPE</vt:lpstr>
      <vt:lpstr>Ratios</vt:lpstr>
      <vt:lpstr>HistPS</vt:lpstr>
      <vt:lpstr>HistPB</vt:lpstr>
      <vt:lpstr>HistPTBV</vt:lpstr>
      <vt:lpstr>HistPFCF</vt:lpstr>
      <vt:lpstr>HistPCFO</vt:lpstr>
      <vt:lpstr>BPS__TTM</vt:lpstr>
      <vt:lpstr>CFOPS__TTM</vt:lpstr>
      <vt:lpstr>Comp1Ticker</vt:lpstr>
      <vt:lpstr>Comp2Ticker</vt:lpstr>
      <vt:lpstr>Comp3Ticker</vt:lpstr>
      <vt:lpstr>Corporation</vt:lpstr>
      <vt:lpstr>Dividends__TTM</vt:lpstr>
      <vt:lpstr>Effective_Tax_Rate</vt:lpstr>
      <vt:lpstr>EPS__TTM</vt:lpstr>
      <vt:lpstr>FCFPS__TTM</vt:lpstr>
      <vt:lpstr>FORECAST</vt:lpstr>
      <vt:lpstr>Forecast_Net_Income</vt:lpstr>
      <vt:lpstr>Forecast_Total_Div</vt:lpstr>
      <vt:lpstr>fsales</vt:lpstr>
      <vt:lpstr>Historical1</vt:lpstr>
      <vt:lpstr>Historical2</vt:lpstr>
      <vt:lpstr>Historical3</vt:lpstr>
      <vt:lpstr>Historical4</vt:lpstr>
      <vt:lpstr>Historical5</vt:lpstr>
      <vt:lpstr>lrev</vt:lpstr>
      <vt:lpstr>lsales</vt:lpstr>
      <vt:lpstr>Payout_Ratio</vt:lpstr>
      <vt:lpstr>Return_on_Assets</vt:lpstr>
      <vt:lpstr>Return_on_Equity</vt:lpstr>
      <vt:lpstr>Shareholders_Equity</vt:lpstr>
      <vt:lpstr>SPS__TTM</vt:lpstr>
      <vt:lpstr>Sustainable_Growth_Rate</vt:lpstr>
      <vt:lpstr>TBVPS__TTM</vt:lpstr>
      <vt:lpstr>Ticker</vt:lpstr>
      <vt:lpstr>Total_Assets</vt:lpstr>
      <vt:lpstr>DDM!Z_2A773DA8_B294_455D_A799_E7B8C956ECA9_.wvu.Cols</vt:lpstr>
      <vt:lpstr>FCFF!Z_2A773DA8_B294_455D_A799_E7B8C956ECA9_.wvu.Cols</vt:lpstr>
      <vt:lpstr>IS!Z_2A773DA8_B294_455D_A799_E7B8C956ECA9_.wvu.Cols</vt:lpstr>
      <vt:lpstr>BS!Z_2A773DA8_B294_455D_A799_E7B8C956ECA9_.wvu.PrintArea</vt:lpstr>
      <vt:lpstr>BS!Z_2A773DA8_B294_455D_A799_E7B8C956ECA9_.wvu.Rows</vt:lpstr>
      <vt:lpstr>HistPB!Z_2A773DA8_B294_455D_A799_E7B8C956ECA9_.wvu.Rows</vt:lpstr>
      <vt:lpstr>HistPS!Z_2A773DA8_B294_455D_A799_E7B8C956ECA9_.wvu.Rows</vt:lpstr>
      <vt:lpstr>HistPTBV!Z_2A773DA8_B294_455D_A799_E7B8C956ECA9_.wvu.Rows</vt:lpstr>
      <vt:lpstr>IS!Z_2A773DA8_B294_455D_A799_E7B8C956ECA9_.wvu.Rows</vt:lpstr>
      <vt:lpstr>'Quarterly Forecast'!Z_2A773DA8_B294_455D_A799_E7B8C956ECA9_.wvu.Rows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Khushi Dudani</cp:lastModifiedBy>
  <cp:lastPrinted>2021-12-02T01:52:13Z</cp:lastPrinted>
  <dcterms:created xsi:type="dcterms:W3CDTF">2021-12-01T22:25:28Z</dcterms:created>
  <dcterms:modified xsi:type="dcterms:W3CDTF">2021-12-09T19:13:24Z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0x010100BBFA54C59FFA8E44B5D853B8B2AE7379</vt:lpwstr>
  </property>
</Properties>
</file>