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328"/>
  <workbookPr defaultThemeVersion="153222"/>
  <bookViews>
    <workbookView xWindow="-108" yWindow="-108" windowWidth="23256" windowHeight="12456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<sst xmlns="http://schemas.openxmlformats.org/spreadsheetml/2006/main" uniqueCount="26" count="26">
  <si>
    <t>Sn</t>
  </si>
  <si>
    <t>Station</t>
  </si>
  <si>
    <t>Angle</t>
  </si>
  <si>
    <t>Bearing</t>
  </si>
  <si>
    <t>Length</t>
  </si>
  <si>
    <t>Zenithal</t>
  </si>
  <si>
    <t>Ht of Ins</t>
  </si>
  <si>
    <t>Ht of T</t>
  </si>
  <si>
    <t>Ht diff</t>
  </si>
  <si>
    <t>Correction</t>
  </si>
  <si>
    <t>Corr Ht diff</t>
  </si>
  <si>
    <t>ΔE</t>
  </si>
  <si>
    <t>Corrected</t>
  </si>
  <si>
    <t>ΔN</t>
  </si>
  <si>
    <t>Easting</t>
  </si>
  <si>
    <t>Northing</t>
  </si>
  <si>
    <t>Elevation</t>
  </si>
  <si>
    <t>Observed</t>
  </si>
  <si>
    <t>Calculated</t>
  </si>
  <si>
    <t>RO</t>
  </si>
  <si>
    <t>sum</t>
  </si>
  <si>
    <t>error</t>
  </si>
  <si>
    <t>Elevation Difference</t>
  </si>
  <si>
    <t>correction</t>
  </si>
  <si>
    <t>Closing Error</t>
  </si>
  <si>
    <t>linear accuracy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</si>
</sst>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0.0000"/>
    <numFmt numFmtId="1" formatCode="0"/>
  </numFmts>
  <fonts count="6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b/>
      <sz val="11"/>
      <color rgb="FFFF0000"/>
    </font>
    <font>
      <name val="Calibri"/>
      <b/>
      <sz val="11"/>
    </font>
    <font>
      <name val="Calibri"/>
      <sz val="11"/>
      <color rgb="FFFF0000"/>
    </font>
  </fonts>
  <fills count="5">
    <fill>
      <patternFill patternType="none"/>
    </fill>
    <fill>
      <patternFill patternType="gray125"/>
    </fill>
    <fill>
      <patternFill patternType="solid">
        <fgColor rgb="FFFFD865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64" fontId="1" fillId="0" borderId="0" xfId="0" applyNumberFormat="1" applyAlignment="1">
      <alignment vertical="bottom"/>
    </xf>
    <xf numFmtId="164" fontId="1" fillId="0" borderId="1" xfId="0" applyNumberFormat="1" applyBorder="1" applyAlignment="1">
      <alignment horizontal="center" vertical="center"/>
    </xf>
    <xf numFmtId="164" fontId="1" fillId="0" borderId="1" xfId="0" applyNumberFormat="1" applyBorder="1" applyAlignment="1">
      <alignment horizontal="center" vertical="center"/>
    </xf>
    <xf numFmtId="164" fontId="1" fillId="0" borderId="2" xfId="0" applyNumberFormat="1" applyBorder="1" applyAlignment="1">
      <alignment horizontal="center" vertical="center"/>
    </xf>
    <xf numFmtId="164" fontId="1" fillId="0" borderId="2" xfId="0" applyNumberFormat="1" applyBorder="1" applyAlignment="1">
      <alignment horizontal="center" vertical="center"/>
    </xf>
    <xf numFmtId="164" fontId="1" fillId="0" borderId="2" xfId="0" applyNumberForma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bottom"/>
    </xf>
    <xf numFmtId="164" fontId="2" fillId="3" borderId="1" xfId="0" applyNumberFormat="1" applyFont="1" applyFill="1" applyBorder="1" applyAlignment="1">
      <alignment horizontal="center" vertical="bottom"/>
    </xf>
    <xf numFmtId="164" fontId="1" fillId="0" borderId="3" xfId="0" applyNumberFormat="1" applyBorder="1" applyAlignment="1">
      <alignment horizontal="center" vertical="center"/>
    </xf>
    <xf numFmtId="164" fontId="1" fillId="0" borderId="4" xfId="0" applyNumberFormat="1" applyBorder="1" applyAlignment="1">
      <alignment horizontal="center" vertical="center"/>
    </xf>
    <xf numFmtId="164" fontId="1" fillId="0" borderId="5" xfId="0" applyNumberFormat="1" applyBorder="1" applyAlignment="1">
      <alignment horizontal="center" vertical="center"/>
    </xf>
    <xf numFmtId="164" fontId="1" fillId="0" borderId="5" xfId="0" applyNumberFormat="1" applyBorder="1" applyAlignment="1">
      <alignment horizontal="center" vertical="center"/>
    </xf>
    <xf numFmtId="164" fontId="1" fillId="0" borderId="5" xfId="0" applyNumberFormat="1" applyBorder="1" applyAlignment="1">
      <alignment horizontal="center" vertical="center" wrapText="1"/>
    </xf>
    <xf numFmtId="164" fontId="1" fillId="2" borderId="1" xfId="0" applyNumberFormat="1" applyFill="1" applyBorder="1" applyAlignment="1">
      <alignment vertical="bottom"/>
    </xf>
    <xf numFmtId="164" fontId="1" fillId="3" borderId="1" xfId="0" applyNumberFormat="1" applyFill="1" applyBorder="1" applyAlignment="1">
      <alignment vertical="bottom"/>
    </xf>
    <xf numFmtId="164" fontId="1" fillId="0" borderId="6" xfId="0" applyNumberFormat="1" applyBorder="1" applyAlignment="1">
      <alignment horizontal="center" vertical="center"/>
    </xf>
    <xf numFmtId="1" fontId="1" fillId="0" borderId="1" xfId="0" applyNumberFormat="1" applyBorder="1" applyAlignment="1">
      <alignment horizontal="center" vertical="center"/>
    </xf>
    <xf numFmtId="1" fontId="1" fillId="0" borderId="1" xfId="0" applyNumberFormat="1" applyBorder="1" applyAlignment="1">
      <alignment horizontal="center" vertical="bottom"/>
    </xf>
    <xf numFmtId="164" fontId="1" fillId="4" borderId="1" xfId="0" applyNumberFormat="1" applyFill="1" applyBorder="1" applyAlignment="1">
      <alignment vertical="bottom"/>
    </xf>
    <xf numFmtId="164" fontId="3" fillId="0" borderId="1" xfId="0" applyNumberFormat="1" applyFont="1" applyBorder="1" applyAlignment="1">
      <alignment vertical="bottom"/>
    </xf>
    <xf numFmtId="164" fontId="3" fillId="0" borderId="7" xfId="0" applyNumberFormat="1" applyFont="1" applyBorder="1" applyAlignment="1">
      <alignment vertical="bottom"/>
    </xf>
    <xf numFmtId="164" fontId="1" fillId="0" borderId="1" xfId="0" applyNumberFormat="1" applyBorder="1" applyAlignment="1">
      <alignment vertical="bottom"/>
    </xf>
    <xf numFmtId="164" fontId="4" fillId="0" borderId="1" xfId="0" applyNumberFormat="1" applyFont="1" applyBorder="1" applyAlignment="1">
      <alignment vertical="bottom"/>
    </xf>
    <xf numFmtId="164" fontId="1" fillId="0" borderId="7" xfId="0" applyNumberFormat="1" applyBorder="1" applyAlignment="1">
      <alignment vertical="bottom"/>
    </xf>
    <xf numFmtId="164" fontId="5" fillId="0" borderId="1" xfId="0" applyNumberFormat="1" applyFont="1" applyBorder="1" applyAlignment="1">
      <alignment vertical="bottom"/>
    </xf>
    <xf numFmtId="164" fontId="1" fillId="0" borderId="8" xfId="0" applyNumberFormat="1" applyBorder="1" applyAlignment="1">
      <alignment vertical="bottom"/>
    </xf>
    <xf numFmtId="164" fontId="1" fillId="4" borderId="7" xfId="0" applyNumberFormat="1" applyFill="1" applyBorder="1" applyAlignment="1">
      <alignment vertical="bottom"/>
    </xf>
    <xf numFmtId="164" fontId="1" fillId="0" borderId="9" xfId="0" applyNumberFormat="1" applyBorder="1" applyAlignment="1">
      <alignment vertical="bottom"/>
    </xf>
    <xf numFmtId="164" fontId="1" fillId="0" borderId="10" xfId="0" applyNumberFormat="1" applyBorder="1" applyAlignment="1">
      <alignment vertical="bottom"/>
    </xf>
    <xf numFmtId="164" fontId="1" fillId="0" borderId="11" xfId="0" applyNumberFormat="1" applyBorder="1" applyAlignment="1">
      <alignment vertical="bottom"/>
    </xf>
    <xf numFmtId="164" fontId="1" fillId="0" borderId="12" xfId="0" applyNumberFormat="1" applyBorder="1" applyAlignment="1">
      <alignment vertical="bottom"/>
    </xf>
    <xf numFmtId="164" fontId="1" fillId="0" borderId="13" xfId="0" applyNumberFormat="1" applyBorder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C31"/>
  <sheetViews>
    <sheetView tabSelected="1" workbookViewId="0" topLeftCell="E1" zoomScale="40">
      <selection activeCell="K61" sqref="K61"/>
    </sheetView>
  </sheetViews>
  <sheetFormatPr defaultRowHeight="14.4" defaultColWidth="9"/>
  <cols>
    <col min="1" max="1" customWidth="1" bestFit="1" width="10.6640625" style="1"/>
    <col min="2" max="2" customWidth="1" bestFit="1" width="12.6640625" style="1"/>
    <col min="3" max="3" customWidth="1" width="10.0" style="1"/>
    <col min="4" max="5" customWidth="1" width="10.5546875" style="1"/>
    <col min="6" max="6" customWidth="1" width="8.886719" style="1"/>
    <col min="7" max="7" customWidth="1" width="14.53125" style="1"/>
    <col min="8" max="8" customWidth="1" bestFit="1" width="9.6640625" style="1"/>
    <col min="9" max="11" customWidth="1" width="8.886719" style="1"/>
    <col min="12" max="12" customWidth="1" bestFit="1" width="10.886719" style="1"/>
    <col min="13" max="13" customWidth="1" width="11.4140625" style="1"/>
    <col min="14" max="14" customWidth="1" width="14.109375" style="1"/>
    <col min="15" max="15" customWidth="1" width="10.332031" style="1"/>
    <col min="16" max="16" customWidth="0" width="9.109375" style="1"/>
    <col min="17" max="17" customWidth="1" width="10.332031" style="1"/>
    <col min="18" max="19" customWidth="1" width="10.886719" style="1"/>
    <col min="20" max="20" customWidth="1" bestFit="1" width="15.0" style="1"/>
    <col min="21" max="21" customWidth="1" bestFit="1" width="14.441406" style="1"/>
    <col min="22" max="22" hidden="1" customWidth="1" width="0.0" style="1"/>
    <col min="23" max="23" customWidth="1" bestFit="1" width="10.5546875" style="1"/>
    <col min="24" max="16384" customWidth="0" width="9.109375" style="1"/>
  </cols>
  <sheetData>
    <row r="1" spans="8:8">
      <c r="A1" s="2" t="s">
        <v>0</v>
      </c>
      <c r="B1" s="2" t="s">
        <v>1</v>
      </c>
      <c r="C1" s="2" t="s">
        <v>2</v>
      </c>
      <c r="D1" s="2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4" t="s">
        <v>8</v>
      </c>
      <c r="L1" s="5" t="s">
        <v>9</v>
      </c>
      <c r="M1" s="6" t="s">
        <v>10</v>
      </c>
      <c r="N1" s="7" t="s">
        <v>11</v>
      </c>
      <c r="O1" s="7"/>
      <c r="P1" s="7" t="s">
        <v>12</v>
      </c>
      <c r="Q1" s="8" t="s">
        <v>13</v>
      </c>
      <c r="R1" s="8"/>
      <c r="S1" s="8" t="s">
        <v>12</v>
      </c>
      <c r="T1" s="2" t="s">
        <v>14</v>
      </c>
      <c r="U1" s="2" t="s">
        <v>15</v>
      </c>
      <c r="V1" s="9" t="s">
        <v>16</v>
      </c>
      <c r="W1" s="10" t="s">
        <v>16</v>
      </c>
    </row>
    <row r="2" spans="8:8">
      <c r="A2" s="2"/>
      <c r="B2" s="2"/>
      <c r="C2" s="3" t="s">
        <v>17</v>
      </c>
      <c r="D2" s="3" t="s">
        <v>9</v>
      </c>
      <c r="E2" s="3" t="s">
        <v>12</v>
      </c>
      <c r="F2" s="2"/>
      <c r="G2" s="2"/>
      <c r="H2" s="2"/>
      <c r="I2" s="2"/>
      <c r="J2" s="2"/>
      <c r="K2" s="11"/>
      <c r="L2" s="12"/>
      <c r="M2" s="13"/>
      <c r="N2" s="14" t="s">
        <v>18</v>
      </c>
      <c r="O2" s="14" t="s">
        <v>9</v>
      </c>
      <c r="P2" s="7"/>
      <c r="Q2" s="15" t="s">
        <v>18</v>
      </c>
      <c r="R2" s="15" t="s">
        <v>9</v>
      </c>
      <c r="S2" s="8"/>
      <c r="T2" s="2"/>
      <c r="U2" s="2"/>
      <c r="V2" s="16"/>
      <c r="W2" s="10"/>
    </row>
    <row r="3" spans="8:8">
      <c r="A3" s="17">
        <v>1.0</v>
      </c>
      <c r="B3" s="18" t="s">
        <v>19</v>
      </c>
      <c r="C3" s="19"/>
      <c r="D3" s="19"/>
      <c r="E3" s="19"/>
      <c r="F3" s="20">
        <v>27.2089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>
        <v>789276.134</v>
      </c>
      <c r="U3" s="20">
        <v>3120237.935</v>
      </c>
      <c r="V3" s="21">
        <v>1536.6957</v>
      </c>
      <c r="W3" s="20">
        <v>720.145</v>
      </c>
    </row>
    <row r="4" spans="8:8">
      <c r="A4" s="17">
        <v>2.0</v>
      </c>
      <c r="B4" s="18">
        <v>1001.0</v>
      </c>
      <c r="C4" s="22">
        <v>247.9044</v>
      </c>
      <c r="D4" s="22">
        <v>-0.0013</v>
      </c>
      <c r="E4" s="22">
        <f>C4+D4</f>
        <v>247.90310000000002</v>
      </c>
      <c r="F4" s="22">
        <f>IF(AND((F3+E4)&gt;=200,(F3+E4)&lt;=600),F3+E4-200,IF((F3+E4)&gt;=600,F3+E4-600,F3+E4+200))</f>
        <v>75.11200000000002</v>
      </c>
      <c r="G4" s="22">
        <v>422.3937</v>
      </c>
      <c r="H4" s="22">
        <v>102.6821</v>
      </c>
      <c r="I4" s="22">
        <v>1.48</v>
      </c>
      <c r="J4" s="22">
        <v>2.0</v>
      </c>
      <c r="K4" s="22">
        <f t="shared" si="0" ref="K4:K17">G4*(1/TAN(H4*PI()/200))+I4-J4</f>
        <v>-18.3261215699009</v>
      </c>
      <c r="L4" s="22">
        <f>$I$28/14</f>
        <v>-0.05025181528193607</v>
      </c>
      <c r="M4" s="22">
        <f>K4+L4</f>
        <v>-18.376373385182834</v>
      </c>
      <c r="N4" s="22">
        <f>G4*SIN(F4*PI()/200)</f>
        <v>390.52466736943603</v>
      </c>
      <c r="O4" s="22">
        <f>($N$26/$G$25)*G4</f>
        <v>0.008891376412565079</v>
      </c>
      <c r="P4" s="22">
        <f>N4+O4</f>
        <v>390.53355874584855</v>
      </c>
      <c r="Q4" s="22">
        <f t="shared" si="1" ref="Q4:Q18">G4*COS(F4*PI()/200)</f>
        <v>160.95627348966983</v>
      </c>
      <c r="R4" s="22">
        <f t="shared" si="2" ref="R4:R15">($Q$26/$G$25)*G4</f>
        <v>-0.03522812592232982</v>
      </c>
      <c r="S4" s="22">
        <f>Q4+R4</f>
        <v>160.92104536374768</v>
      </c>
      <c r="T4" s="20">
        <v>789353.401</v>
      </c>
      <c r="U4" s="20">
        <v>3120407.576</v>
      </c>
      <c r="V4" s="21">
        <v>1620.6421</v>
      </c>
      <c r="W4" s="20">
        <v>698.477</v>
      </c>
    </row>
    <row r="5" spans="8:8">
      <c r="A5" s="17">
        <v>3.0</v>
      </c>
      <c r="B5" s="18">
        <v>1002.0</v>
      </c>
      <c r="C5" s="22">
        <v>147.8272</v>
      </c>
      <c r="D5" s="22">
        <v>-0.0013</v>
      </c>
      <c r="E5" s="22">
        <f t="shared" si="3" ref="E5:E17">C5+D5</f>
        <v>147.82590000000002</v>
      </c>
      <c r="F5" s="22">
        <f t="shared" si="4" ref="F5:F18">IF(AND((F4+E5)&gt;=200,(F4+E5)&lt;=600),F4+E5-200,IF((F4+E5)&gt;=600,F4+E5-600,F4+E5+200))</f>
        <v>22.93790000000004</v>
      </c>
      <c r="G5" s="22">
        <v>230.6173</v>
      </c>
      <c r="H5" s="22">
        <v>99.2863</v>
      </c>
      <c r="I5" s="22">
        <v>1.56</v>
      </c>
      <c r="J5" s="22">
        <v>2.0</v>
      </c>
      <c r="K5" s="22">
        <f t="shared" si="0"/>
        <v>2.1455066064459096</v>
      </c>
      <c r="L5" s="22">
        <f t="shared" si="5" ref="L5:L17">$I$28/14</f>
        <v>-0.05025181528193607</v>
      </c>
      <c r="M5" s="22">
        <f t="shared" si="6" ref="M5:M17">K5+L5</f>
        <v>2.095254791163974</v>
      </c>
      <c r="N5" s="22">
        <f t="shared" si="7" ref="N5:N17">G5*SIN(F5*PI()/200)</f>
        <v>81.30693879274767</v>
      </c>
      <c r="O5" s="22">
        <f t="shared" si="8" ref="O5:O15">($N$26/$G$25)*G5</f>
        <v>0.004854488174301474</v>
      </c>
      <c r="P5" s="22">
        <f t="shared" si="9" ref="P5:P18">N5+O5</f>
        <v>81.311793280922</v>
      </c>
      <c r="Q5" s="22">
        <f t="shared" si="1"/>
        <v>215.80899138692618</v>
      </c>
      <c r="R5" s="22">
        <f t="shared" si="2"/>
        <v>-0.019233751081675018</v>
      </c>
      <c r="S5" s="22">
        <f t="shared" si="10" ref="S5:S18">Q5+R5</f>
        <v>215.78975763584432</v>
      </c>
      <c r="T5" s="23">
        <f>T4+P4</f>
        <v>789743.9345587458</v>
      </c>
      <c r="U5" s="23">
        <f>U4+S4</f>
        <v>3120568.4970453638</v>
      </c>
      <c r="V5" s="21"/>
      <c r="W5" s="23">
        <f>W4+M4</f>
        <v>680.1006266148172</v>
      </c>
    </row>
    <row r="6" spans="8:8">
      <c r="A6" s="17">
        <v>4.0</v>
      </c>
      <c r="B6" s="18">
        <v>1003.0</v>
      </c>
      <c r="C6" s="22">
        <v>218.7306</v>
      </c>
      <c r="D6" s="22">
        <v>-0.0013</v>
      </c>
      <c r="E6" s="22">
        <f t="shared" si="3"/>
        <v>218.72930000000002</v>
      </c>
      <c r="F6" s="22">
        <f t="shared" si="4"/>
        <v>41.667200000000065</v>
      </c>
      <c r="G6" s="22">
        <v>189.267</v>
      </c>
      <c r="H6" s="22">
        <v>103.5951</v>
      </c>
      <c r="I6" s="22">
        <v>1.29</v>
      </c>
      <c r="J6" s="22">
        <v>0.2</v>
      </c>
      <c r="K6" s="22">
        <f t="shared" si="0"/>
        <v>-9.60960529374842</v>
      </c>
      <c r="L6" s="22">
        <f t="shared" si="5"/>
        <v>-0.05025181528193607</v>
      </c>
      <c r="M6" s="22">
        <f t="shared" si="6"/>
        <v>-9.659857109030355</v>
      </c>
      <c r="N6" s="22">
        <f t="shared" si="7"/>
        <v>115.21970732081914</v>
      </c>
      <c r="O6" s="22">
        <f t="shared" si="8"/>
        <v>0.003984065433449776</v>
      </c>
      <c r="P6" s="22">
        <f t="shared" si="9"/>
        <v>115.22369138625245</v>
      </c>
      <c r="Q6" s="22">
        <f t="shared" si="1"/>
        <v>150.15464139980747</v>
      </c>
      <c r="R6" s="22">
        <f t="shared" si="2"/>
        <v>-0.015785087961637682</v>
      </c>
      <c r="S6" s="22">
        <f t="shared" si="10"/>
        <v>150.13885631184536</v>
      </c>
      <c r="T6" s="23">
        <f t="shared" si="11" ref="T6:T18">T5+P5</f>
        <v>789825.2463520269</v>
      </c>
      <c r="U6" s="23">
        <f t="shared" si="12" ref="U6:U18">U5+S5</f>
        <v>3120784.286802996</v>
      </c>
      <c r="V6" s="21"/>
      <c r="W6" s="23">
        <f t="shared" si="13" ref="W6:W18">W5+M5</f>
        <v>682.1958814059809</v>
      </c>
    </row>
    <row r="7" spans="8:8">
      <c r="A7" s="17">
        <v>5.0</v>
      </c>
      <c r="B7" s="18">
        <v>1004.0</v>
      </c>
      <c r="C7" s="22">
        <v>177.3891</v>
      </c>
      <c r="D7" s="22">
        <v>-0.0013</v>
      </c>
      <c r="E7" s="22">
        <f t="shared" si="3"/>
        <v>177.38780000000003</v>
      </c>
      <c r="F7" s="22">
        <f t="shared" si="4"/>
        <v>19.055000000000092</v>
      </c>
      <c r="G7" s="22">
        <v>178.2363</v>
      </c>
      <c r="H7" s="22">
        <v>102.1367</v>
      </c>
      <c r="I7" s="22">
        <v>1.444</v>
      </c>
      <c r="J7" s="22">
        <v>0.4</v>
      </c>
      <c r="K7" s="22">
        <f t="shared" si="0"/>
        <v>-4.94042879509419</v>
      </c>
      <c r="L7" s="22">
        <f t="shared" si="5"/>
        <v>-0.05025181528193607</v>
      </c>
      <c r="M7" s="22">
        <f t="shared" si="6"/>
        <v>-4.990680610376127</v>
      </c>
      <c r="N7" s="22">
        <f t="shared" si="7"/>
        <v>52.5558179347819</v>
      </c>
      <c r="O7" s="22">
        <f t="shared" si="8"/>
        <v>0.0037518694849920185</v>
      </c>
      <c r="P7" s="22">
        <f t="shared" si="9"/>
        <v>52.55956980426689</v>
      </c>
      <c r="Q7" s="22">
        <f t="shared" si="1"/>
        <v>170.31166912133781</v>
      </c>
      <c r="R7" s="22">
        <f t="shared" si="2"/>
        <v>-0.014865114750362412</v>
      </c>
      <c r="S7" s="22">
        <f t="shared" si="10"/>
        <v>170.29680400658765</v>
      </c>
      <c r="T7" s="23">
        <f t="shared" si="11"/>
        <v>789940.4700434133</v>
      </c>
      <c r="U7" s="23">
        <f t="shared" si="12"/>
        <v>3120934.425659312</v>
      </c>
      <c r="V7" s="21"/>
      <c r="W7" s="23">
        <f t="shared" si="13"/>
        <v>672.5360242969507</v>
      </c>
    </row>
    <row r="8" spans="8:8">
      <c r="A8" s="17">
        <v>6.0</v>
      </c>
      <c r="B8" s="18">
        <v>1005.0</v>
      </c>
      <c r="C8" s="22">
        <v>279.3041</v>
      </c>
      <c r="D8" s="22">
        <v>-0.0013</v>
      </c>
      <c r="E8" s="22">
        <f t="shared" si="3"/>
        <v>279.3028</v>
      </c>
      <c r="F8" s="22">
        <f t="shared" si="4"/>
        <v>98.35780000000011</v>
      </c>
      <c r="G8" s="22">
        <v>261.8518</v>
      </c>
      <c r="H8" s="22">
        <v>100.8115</v>
      </c>
      <c r="I8" s="22">
        <v>1.414</v>
      </c>
      <c r="J8" s="22">
        <v>0.0</v>
      </c>
      <c r="K8" s="22">
        <f t="shared" si="0"/>
        <v>-1.92400888263295</v>
      </c>
      <c r="L8" s="22">
        <f t="shared" si="5"/>
        <v>-0.05025181528193607</v>
      </c>
      <c r="M8" s="22">
        <f t="shared" si="6"/>
        <v>-1.974260697914886</v>
      </c>
      <c r="N8" s="22">
        <f t="shared" si="7"/>
        <v>261.76468492088753</v>
      </c>
      <c r="O8" s="22">
        <f t="shared" si="8"/>
        <v>0.005511973587929244</v>
      </c>
      <c r="P8" s="22">
        <f t="shared" si="9"/>
        <v>261.77019689447593</v>
      </c>
      <c r="Q8" s="22">
        <f t="shared" si="1"/>
        <v>6.753879737490541</v>
      </c>
      <c r="R8" s="22">
        <f t="shared" si="2"/>
        <v>-0.021838744714679042</v>
      </c>
      <c r="S8" s="22">
        <f t="shared" si="10"/>
        <v>6.732040992775861</v>
      </c>
      <c r="T8" s="23">
        <f t="shared" si="11"/>
        <v>789993.0296132172</v>
      </c>
      <c r="U8" s="23">
        <f t="shared" si="12"/>
        <v>3121104.7224633167</v>
      </c>
      <c r="V8" s="21"/>
      <c r="W8" s="23">
        <f t="shared" si="13"/>
        <v>667.5453436865749</v>
      </c>
    </row>
    <row r="9" spans="8:8">
      <c r="A9" s="17">
        <v>7.0</v>
      </c>
      <c r="B9" s="18">
        <v>1006.0</v>
      </c>
      <c r="C9" s="22">
        <v>115.0021</v>
      </c>
      <c r="D9" s="22">
        <v>-0.0013</v>
      </c>
      <c r="E9" s="22">
        <f t="shared" si="3"/>
        <v>115.0008</v>
      </c>
      <c r="F9" s="22">
        <f t="shared" si="4"/>
        <v>13.35860000000011</v>
      </c>
      <c r="G9" s="22">
        <v>205.2394</v>
      </c>
      <c r="H9" s="22">
        <v>88.8192</v>
      </c>
      <c r="I9" s="22">
        <v>1.396</v>
      </c>
      <c r="J9" s="22">
        <v>0.2</v>
      </c>
      <c r="K9" s="22">
        <f t="shared" si="0"/>
        <v>37.616943303475296</v>
      </c>
      <c r="L9" s="22">
        <f t="shared" si="5"/>
        <v>-0.05025181528193607</v>
      </c>
      <c r="M9" s="22">
        <f t="shared" si="6"/>
        <v>37.566691488193364</v>
      </c>
      <c r="N9" s="22">
        <f t="shared" si="7"/>
        <v>42.75134431069325</v>
      </c>
      <c r="O9" s="22">
        <f t="shared" si="8"/>
        <v>0.0043202840385380015</v>
      </c>
      <c r="P9" s="22">
        <f t="shared" si="9"/>
        <v>42.75566459473183</v>
      </c>
      <c r="Q9" s="22">
        <f t="shared" si="1"/>
        <v>200.73747500650833</v>
      </c>
      <c r="R9" s="22">
        <f t="shared" si="2"/>
        <v>-0.017117204701261924</v>
      </c>
      <c r="S9" s="22">
        <f t="shared" si="10"/>
        <v>200.72035780180673</v>
      </c>
      <c r="T9" s="23">
        <f t="shared" si="11"/>
        <v>790254.7998101115</v>
      </c>
      <c r="U9" s="23">
        <f t="shared" si="12"/>
        <v>3121111.454504313</v>
      </c>
      <c r="V9" s="21"/>
      <c r="W9" s="23">
        <f t="shared" si="13"/>
        <v>665.5710829886601</v>
      </c>
    </row>
    <row r="10" spans="8:8">
      <c r="A10" s="17">
        <v>8.0</v>
      </c>
      <c r="B10" s="18">
        <v>1007.0</v>
      </c>
      <c r="C10" s="22">
        <v>345.7199</v>
      </c>
      <c r="D10" s="22">
        <v>-0.0013</v>
      </c>
      <c r="E10" s="22">
        <f t="shared" si="3"/>
        <v>345.7186</v>
      </c>
      <c r="F10" s="22">
        <f t="shared" si="4"/>
        <v>159.07720000000006</v>
      </c>
      <c r="G10" s="22">
        <v>169.7064</v>
      </c>
      <c r="H10" s="22">
        <v>105.4979</v>
      </c>
      <c r="I10" s="22">
        <v>1.488</v>
      </c>
      <c r="J10" s="22">
        <v>0.0</v>
      </c>
      <c r="K10" s="22">
        <f t="shared" si="0"/>
        <v>-13.204527104372</v>
      </c>
      <c r="L10" s="22">
        <f t="shared" si="5"/>
        <v>-0.05025181528193607</v>
      </c>
      <c r="M10" s="22">
        <f t="shared" si="6"/>
        <v>-13.254778919653935</v>
      </c>
      <c r="N10" s="22">
        <f t="shared" si="7"/>
        <v>101.73050872376817</v>
      </c>
      <c r="O10" s="22">
        <f t="shared" si="8"/>
        <v>0.0035723153115714895</v>
      </c>
      <c r="P10" s="22">
        <f t="shared" si="9"/>
        <v>101.73408103907957</v>
      </c>
      <c r="Q10" s="22">
        <f t="shared" si="1"/>
        <v>-135.83506835778206</v>
      </c>
      <c r="R10" s="22">
        <f t="shared" si="2"/>
        <v>-0.014153711168100457</v>
      </c>
      <c r="S10" s="22">
        <f t="shared" si="10"/>
        <v>-135.8492220689501</v>
      </c>
      <c r="T10" s="23">
        <f t="shared" si="11"/>
        <v>790297.5554747067</v>
      </c>
      <c r="U10" s="23">
        <f t="shared" si="12"/>
        <v>3121312.174862112</v>
      </c>
      <c r="V10" s="21"/>
      <c r="W10" s="23">
        <f t="shared" si="13"/>
        <v>703.1377744768535</v>
      </c>
    </row>
    <row r="11" spans="8:8">
      <c r="A11" s="17">
        <v>9.0</v>
      </c>
      <c r="B11" s="18">
        <v>1008.0</v>
      </c>
      <c r="C11" s="22">
        <v>298.1448</v>
      </c>
      <c r="D11" s="22">
        <v>-0.0013</v>
      </c>
      <c r="E11" s="22">
        <f t="shared" si="3"/>
        <v>298.14349999999996</v>
      </c>
      <c r="F11" s="22">
        <f t="shared" si="4"/>
        <v>257.2207</v>
      </c>
      <c r="G11" s="22">
        <v>387.774</v>
      </c>
      <c r="H11" s="22">
        <v>99.1509</v>
      </c>
      <c r="I11" s="22">
        <v>1.48</v>
      </c>
      <c r="J11" s="22">
        <v>1.18</v>
      </c>
      <c r="K11" s="22">
        <f t="shared" si="0"/>
        <v>5.4722934678187105</v>
      </c>
      <c r="L11" s="22">
        <f t="shared" si="5"/>
        <v>-0.05025181528193607</v>
      </c>
      <c r="M11" s="22">
        <f t="shared" si="6"/>
        <v>5.422041652536773</v>
      </c>
      <c r="N11" s="22">
        <f t="shared" si="7"/>
        <v>-303.46932333031634</v>
      </c>
      <c r="O11" s="22">
        <f t="shared" si="8"/>
        <v>0.008162632626873959</v>
      </c>
      <c r="P11" s="22">
        <f t="shared" si="9"/>
        <v>-303.46116069768914</v>
      </c>
      <c r="Q11" s="22">
        <f t="shared" si="1"/>
        <v>-241.40224703477787</v>
      </c>
      <c r="R11" s="22">
        <f t="shared" si="2"/>
        <v>-0.03234080267154914</v>
      </c>
      <c r="S11" s="22">
        <f t="shared" si="10"/>
        <v>-241.43458783744953</v>
      </c>
      <c r="T11" s="23">
        <f t="shared" si="11"/>
        <v>790399.2895557461</v>
      </c>
      <c r="U11" s="23">
        <f t="shared" si="12"/>
        <v>3121176.325640041</v>
      </c>
      <c r="V11" s="21"/>
      <c r="W11" s="23">
        <f t="shared" si="13"/>
        <v>689.8829955572002</v>
      </c>
    </row>
    <row r="12" spans="8:8">
      <c r="A12" s="17">
        <v>10.0</v>
      </c>
      <c r="B12" s="18">
        <v>1009.0</v>
      </c>
      <c r="C12" s="22">
        <v>158.9213</v>
      </c>
      <c r="D12" s="22">
        <v>-0.0013</v>
      </c>
      <c r="E12" s="22">
        <f t="shared" si="3"/>
        <v>158.92000000000002</v>
      </c>
      <c r="F12" s="22">
        <f t="shared" si="4"/>
        <v>216.14070000000004</v>
      </c>
      <c r="G12" s="22">
        <v>103.6859</v>
      </c>
      <c r="H12" s="22">
        <v>96.9596</v>
      </c>
      <c r="I12" s="22">
        <v>1.448</v>
      </c>
      <c r="J12" s="22">
        <v>1.2</v>
      </c>
      <c r="K12" s="22">
        <f t="shared" si="0"/>
        <v>5.2036504862302895</v>
      </c>
      <c r="L12" s="22">
        <f t="shared" si="5"/>
        <v>-0.05025181528193607</v>
      </c>
      <c r="M12" s="22">
        <f t="shared" si="6"/>
        <v>5.153398670948354</v>
      </c>
      <c r="N12" s="22">
        <f t="shared" si="7"/>
        <v>-26.007529506402967</v>
      </c>
      <c r="O12" s="22">
        <f t="shared" si="8"/>
        <v>0.0021825855015725412</v>
      </c>
      <c r="P12" s="22">
        <f t="shared" si="9"/>
        <v>-26.005346920901427</v>
      </c>
      <c r="Q12" s="22">
        <f t="shared" si="1"/>
        <v>-100.37118245683658</v>
      </c>
      <c r="R12" s="22">
        <f t="shared" si="2"/>
        <v>-0.008647524670870085</v>
      </c>
      <c r="S12" s="22">
        <f t="shared" si="10"/>
        <v>-100.37982998150787</v>
      </c>
      <c r="T12" s="23">
        <f t="shared" si="11"/>
        <v>790095.8283950483</v>
      </c>
      <c r="U12" s="23">
        <f t="shared" si="12"/>
        <v>3120934.8910522023</v>
      </c>
      <c r="V12" s="21"/>
      <c r="W12" s="23">
        <f t="shared" si="13"/>
        <v>695.3050372097368</v>
      </c>
    </row>
    <row r="13" spans="8:8">
      <c r="A13" s="17">
        <v>11.0</v>
      </c>
      <c r="B13" s="18">
        <v>1010.0</v>
      </c>
      <c r="C13" s="22">
        <v>242.5203</v>
      </c>
      <c r="D13" s="22">
        <v>-0.0013</v>
      </c>
      <c r="E13" s="22">
        <f t="shared" si="3"/>
        <v>242.519</v>
      </c>
      <c r="F13" s="22">
        <f t="shared" si="4"/>
        <v>258.65970000000004</v>
      </c>
      <c r="G13" s="22">
        <v>251.3404</v>
      </c>
      <c r="H13" s="22">
        <v>105.783</v>
      </c>
      <c r="I13" s="22">
        <v>1.44</v>
      </c>
      <c r="J13" s="22">
        <v>1.5</v>
      </c>
      <c r="K13" s="22">
        <f t="shared" si="0"/>
        <v>-22.9545567607707</v>
      </c>
      <c r="L13" s="22">
        <f t="shared" si="5"/>
        <v>-0.05025181528193607</v>
      </c>
      <c r="M13" s="22">
        <f t="shared" si="6"/>
        <v>-23.004808576052636</v>
      </c>
      <c r="N13" s="22">
        <f t="shared" si="7"/>
        <v>-200.18351768078014</v>
      </c>
      <c r="O13" s="22">
        <f t="shared" si="8"/>
        <v>0.005290708890981735</v>
      </c>
      <c r="P13" s="22">
        <f t="shared" si="9"/>
        <v>-200.17822697188902</v>
      </c>
      <c r="Q13" s="22">
        <f t="shared" si="1"/>
        <v>-151.9820907906875</v>
      </c>
      <c r="R13" s="22">
        <f t="shared" si="2"/>
        <v>-0.020962081727470713</v>
      </c>
      <c r="S13" s="22">
        <f t="shared" si="10"/>
        <v>-152.00305287241548</v>
      </c>
      <c r="T13" s="23">
        <f t="shared" si="11"/>
        <v>790069.8230481271</v>
      </c>
      <c r="U13" s="23">
        <f t="shared" si="12"/>
        <v>3120834.5112222186</v>
      </c>
      <c r="V13" s="24" t="e">
        <f>#REF!/(TAN(H4*PI()/200))+I4-J4</f>
        <v>#REF!</v>
      </c>
      <c r="W13" s="23">
        <f t="shared" si="13"/>
        <v>700.4584358806853</v>
      </c>
    </row>
    <row r="14" spans="8:8">
      <c r="A14" s="17">
        <v>12.0</v>
      </c>
      <c r="B14" s="18">
        <v>1011.0</v>
      </c>
      <c r="C14" s="22">
        <v>190.9459</v>
      </c>
      <c r="D14" s="22">
        <v>-0.0013</v>
      </c>
      <c r="E14" s="22">
        <f t="shared" si="3"/>
        <v>190.9446</v>
      </c>
      <c r="F14" s="22">
        <f t="shared" si="4"/>
        <v>249.60430000000008</v>
      </c>
      <c r="G14" s="22">
        <v>228.7029</v>
      </c>
      <c r="H14" s="22">
        <v>94.7816</v>
      </c>
      <c r="I14" s="22">
        <v>1.43</v>
      </c>
      <c r="J14" s="22">
        <v>1.5</v>
      </c>
      <c r="K14" s="22">
        <f t="shared" si="0"/>
        <v>18.7189771792719</v>
      </c>
      <c r="L14" s="22">
        <f t="shared" si="5"/>
        <v>-0.05025181528193607</v>
      </c>
      <c r="M14" s="22">
        <f t="shared" si="6"/>
        <v>18.668725363989964</v>
      </c>
      <c r="N14" s="22">
        <f t="shared" si="7"/>
        <v>-160.70907690426796</v>
      </c>
      <c r="O14" s="22">
        <f t="shared" si="8"/>
        <v>0.004814190104031452</v>
      </c>
      <c r="P14" s="22">
        <f t="shared" si="9"/>
        <v>-160.70426271416395</v>
      </c>
      <c r="Q14" s="22">
        <f t="shared" si="1"/>
        <v>-162.71941822962646</v>
      </c>
      <c r="R14" s="22">
        <f t="shared" si="2"/>
        <v>-0.019074087894781586</v>
      </c>
      <c r="S14" s="22">
        <f t="shared" si="10"/>
        <v>-162.73849231752078</v>
      </c>
      <c r="T14" s="23">
        <f t="shared" si="11"/>
        <v>789869.6448211551</v>
      </c>
      <c r="U14" s="23">
        <f t="shared" si="12"/>
        <v>3120682.5081693474</v>
      </c>
      <c r="V14" s="24"/>
      <c r="W14" s="23">
        <f t="shared" si="13"/>
        <v>677.4536273046324</v>
      </c>
    </row>
    <row r="15" spans="8:8">
      <c r="A15" s="17">
        <v>13.0</v>
      </c>
      <c r="B15" s="18">
        <v>1012.0</v>
      </c>
      <c r="C15" s="22">
        <v>202.0826</v>
      </c>
      <c r="D15" s="22">
        <v>-0.0013</v>
      </c>
      <c r="E15" s="22">
        <f t="shared" si="3"/>
        <v>202.08130000000003</v>
      </c>
      <c r="F15" s="22">
        <f t="shared" si="4"/>
        <v>251.68560000000014</v>
      </c>
      <c r="G15" s="22">
        <v>68.5037</v>
      </c>
      <c r="H15" s="22">
        <v>96.7769</v>
      </c>
      <c r="I15" s="22">
        <v>1.44</v>
      </c>
      <c r="J15" s="22">
        <v>1.5</v>
      </c>
      <c r="K15" s="22">
        <f t="shared" si="0"/>
        <v>3.4111946974503002</v>
      </c>
      <c r="L15" s="22">
        <f t="shared" si="5"/>
        <v>-0.05025181528193607</v>
      </c>
      <c r="M15" s="22">
        <f t="shared" si="6"/>
        <v>3.360942882168364</v>
      </c>
      <c r="N15" s="22">
        <f t="shared" si="7"/>
        <v>-49.70485014333185</v>
      </c>
      <c r="O15" s="22">
        <f t="shared" si="8"/>
        <v>0.0014420011054933686</v>
      </c>
      <c r="P15" s="22">
        <f t="shared" si="9"/>
        <v>-49.70340814222641</v>
      </c>
      <c r="Q15" s="22">
        <f t="shared" si="1"/>
        <v>-47.14005500547197</v>
      </c>
      <c r="R15" s="22">
        <f t="shared" si="2"/>
        <v>-0.005713288265770785</v>
      </c>
      <c r="S15" s="22">
        <f t="shared" si="10"/>
        <v>-47.145768293737774</v>
      </c>
      <c r="T15" s="23">
        <f t="shared" si="11"/>
        <v>789708.9405584409</v>
      </c>
      <c r="U15" s="23">
        <f t="shared" si="12"/>
        <v>3120519.7696770327</v>
      </c>
      <c r="V15" s="24"/>
      <c r="W15" s="23">
        <f t="shared" si="13"/>
        <v>696.122352668622</v>
      </c>
    </row>
    <row r="16" spans="8:8">
      <c r="A16" s="17">
        <v>14.0</v>
      </c>
      <c r="B16" s="18">
        <v>1013.0</v>
      </c>
      <c r="C16" s="22">
        <v>176.9706</v>
      </c>
      <c r="D16" s="22">
        <v>-0.0013</v>
      </c>
      <c r="E16" s="22">
        <f t="shared" si="3"/>
        <v>176.9693</v>
      </c>
      <c r="F16" s="22">
        <f t="shared" si="4"/>
        <v>228.6549000000001</v>
      </c>
      <c r="G16" s="22">
        <v>127.5616</v>
      </c>
      <c r="H16" s="22">
        <v>94.6636</v>
      </c>
      <c r="I16" s="22">
        <v>1.52</v>
      </c>
      <c r="J16" s="22">
        <v>1.185</v>
      </c>
      <c r="K16" s="22">
        <f t="shared" si="0"/>
        <v>11.052834968177299</v>
      </c>
      <c r="L16" s="22">
        <f t="shared" si="5"/>
        <v>-0.05025181528193607</v>
      </c>
      <c r="M16" s="22">
        <f t="shared" si="6"/>
        <v>11.002583152895365</v>
      </c>
      <c r="N16" s="22">
        <f t="shared" si="7"/>
        <v>-55.49754741003613</v>
      </c>
      <c r="O16" s="22">
        <f>($N$26/$G$25)*G16</f>
        <v>0.002685168366358356</v>
      </c>
      <c r="P16" s="22">
        <f t="shared" si="9"/>
        <v>-55.49486224166974</v>
      </c>
      <c r="Q16" s="22">
        <f t="shared" si="1"/>
        <v>-114.8563625840153</v>
      </c>
      <c r="R16" s="22">
        <f>($Q$26/$G$25)*G16</f>
        <v>-0.010638785823874428</v>
      </c>
      <c r="S16" s="22">
        <f t="shared" si="10"/>
        <v>-114.86700136983887</v>
      </c>
      <c r="T16" s="23">
        <f t="shared" si="11"/>
        <v>789659.2371502988</v>
      </c>
      <c r="U16" s="23">
        <f t="shared" si="12"/>
        <v>3120472.6239087363</v>
      </c>
      <c r="V16" s="24">
        <f>G4/(TAN(H13*PI()/200))+I13-J13</f>
        <v>-38.535774447888</v>
      </c>
      <c r="W16" s="23">
        <f t="shared" si="13"/>
        <v>699.4832955507904</v>
      </c>
    </row>
    <row r="17" spans="8:8">
      <c r="A17" s="17">
        <v>15.0</v>
      </c>
      <c r="B17" s="18">
        <v>1014.0</v>
      </c>
      <c r="C17" s="22">
        <v>283.857</v>
      </c>
      <c r="D17" s="22">
        <v>-0.0013</v>
      </c>
      <c r="E17" s="22">
        <f t="shared" si="3"/>
        <v>283.8557</v>
      </c>
      <c r="F17" s="22">
        <f t="shared" si="4"/>
        <v>312.51060000000007</v>
      </c>
      <c r="G17" s="22">
        <v>255.2597</v>
      </c>
      <c r="H17" s="22">
        <v>102.8499</v>
      </c>
      <c r="I17" s="22">
        <v>1.476</v>
      </c>
      <c r="J17" s="22">
        <v>2.0</v>
      </c>
      <c r="K17" s="22">
        <f t="shared" si="0"/>
        <v>-11.95862688840344</v>
      </c>
      <c r="L17" s="22">
        <f t="shared" si="5"/>
        <v>-0.05025181528193607</v>
      </c>
      <c r="M17" s="22">
        <f t="shared" si="6"/>
        <v>-12.008878703685335</v>
      </c>
      <c r="N17" s="22">
        <f t="shared" si="7"/>
        <v>-250.34666126709115</v>
      </c>
      <c r="O17" s="22">
        <f>($N$26/$G$25)*G17</f>
        <v>0.005373210054170879</v>
      </c>
      <c r="P17" s="22">
        <f t="shared" si="9"/>
        <v>-250.34128805703685</v>
      </c>
      <c r="Q17" s="22">
        <f t="shared" si="1"/>
        <v>49.84038158471837</v>
      </c>
      <c r="R17" s="22">
        <f>($Q$26/$G$25)*G17</f>
        <v>-0.021288955906530172</v>
      </c>
      <c r="S17" s="22">
        <f t="shared" si="10"/>
        <v>49.81909262881187</v>
      </c>
      <c r="T17" s="23">
        <f t="shared" si="11"/>
        <v>789603.7422880573</v>
      </c>
      <c r="U17" s="23">
        <f t="shared" si="12"/>
        <v>3120357.75690737</v>
      </c>
      <c r="V17" s="24">
        <f>G13/(TAN(H16*PI()/200))+I16-J16</f>
        <v>21.4528358380239</v>
      </c>
      <c r="W17" s="23">
        <f t="shared" si="13"/>
        <v>710.4858787036854</v>
      </c>
    </row>
    <row r="18" spans="8:8">
      <c r="A18" s="17">
        <v>16.0</v>
      </c>
      <c r="B18" s="18">
        <v>1001.0</v>
      </c>
      <c r="C18" s="22">
        <v>114.6996</v>
      </c>
      <c r="D18" s="22">
        <v>-0.0013</v>
      </c>
      <c r="E18" s="22">
        <f>C18+D18</f>
        <v>114.6983</v>
      </c>
      <c r="F18" s="22">
        <f t="shared" si="4"/>
        <v>227.20890000000009</v>
      </c>
      <c r="G18" s="22"/>
      <c r="H18" s="22"/>
      <c r="I18" s="22"/>
      <c r="J18" s="22"/>
      <c r="K18" s="22"/>
      <c r="L18" s="22"/>
      <c r="M18" s="22"/>
      <c r="N18" s="22">
        <f t="shared" si="14" ref="N18:N19">G18*SIN(F18*PI()/200)</f>
        <v>0.0</v>
      </c>
      <c r="O18" s="22">
        <f>($N$26/$G$25)*G18</f>
        <v>0.0</v>
      </c>
      <c r="P18" s="22">
        <f t="shared" si="9"/>
        <v>0.0</v>
      </c>
      <c r="Q18" s="22">
        <f t="shared" si="1"/>
        <v>0.0</v>
      </c>
      <c r="R18" s="22">
        <f>($Q$26/$G$25)*G18</f>
        <v>0.0</v>
      </c>
      <c r="S18" s="22">
        <f t="shared" si="10"/>
        <v>0.0</v>
      </c>
      <c r="T18" s="23">
        <f t="shared" si="11"/>
        <v>789353.401</v>
      </c>
      <c r="U18" s="23">
        <f t="shared" si="12"/>
        <v>3120407.575999999</v>
      </c>
      <c r="V18" s="24">
        <f>G16/(TAN(H17*PI()/200))+I17-J17</f>
        <v>-6.23825611362767</v>
      </c>
      <c r="W18" s="23">
        <f t="shared" si="13"/>
        <v>698.4769999999996</v>
      </c>
    </row>
    <row r="19" spans="8:8">
      <c r="A19" s="17">
        <v>17.0</v>
      </c>
      <c r="B19" s="18" t="s">
        <v>19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f t="shared" si="14"/>
        <v>0.0</v>
      </c>
      <c r="O19" s="22">
        <f>($N$26/$G$25)*G19</f>
        <v>0.0</v>
      </c>
      <c r="P19" s="22"/>
      <c r="Q19" s="22"/>
      <c r="R19" s="22">
        <f>($Q$26/$G$25)*G19</f>
        <v>0.0</v>
      </c>
      <c r="S19" s="22"/>
      <c r="T19" s="25"/>
      <c r="U19" s="25"/>
      <c r="V19" s="24" t="e">
        <f>G17/(TAN(H18*PI()/200))+I18-J18</f>
        <v>#DIV/0!</v>
      </c>
      <c r="W19" s="22"/>
    </row>
    <row r="20" spans="8:8">
      <c r="A20" s="17">
        <v>18.0</v>
      </c>
      <c r="B20" s="18"/>
      <c r="C20" s="22"/>
      <c r="D20" s="22"/>
      <c r="E20" s="22"/>
      <c r="F20" s="22"/>
      <c r="G20" s="26"/>
      <c r="H20" s="19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 t="e">
        <f>G18/(TAN(H19*PI()/200))+I19-J19</f>
        <v>#DIV/0!</v>
      </c>
      <c r="W20" s="22"/>
    </row>
    <row r="21" spans="8:8">
      <c r="A21" s="17">
        <v>19.0</v>
      </c>
      <c r="B21" s="18"/>
      <c r="C21" s="22"/>
      <c r="D21" s="22"/>
      <c r="E21" s="22"/>
      <c r="F21" s="20"/>
      <c r="G21" s="19"/>
      <c r="H21" s="19"/>
      <c r="I21" s="19"/>
      <c r="J21" s="19"/>
      <c r="K21" s="19"/>
      <c r="L21" s="19"/>
      <c r="M21" s="19"/>
      <c r="N21" s="22"/>
      <c r="O21" s="22">
        <f>($N$26/$G$25)*G21</f>
        <v>0.0</v>
      </c>
      <c r="P21" s="22">
        <f t="shared" si="15" ref="P21">N21+O21</f>
        <v>0.0</v>
      </c>
      <c r="Q21" s="22"/>
      <c r="R21" s="19">
        <f>($Q$26/$G$25)*G21</f>
        <v>0.0</v>
      </c>
      <c r="S21" s="19">
        <f t="shared" si="16" ref="S21">Q21+R21</f>
        <v>0.0</v>
      </c>
      <c r="T21" s="20"/>
      <c r="U21" s="20"/>
      <c r="V21" s="27"/>
      <c r="W21" s="19"/>
    </row>
    <row r="22" spans="8:8">
      <c r="A22" s="17">
        <v>20.0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2"/>
    </row>
    <row r="23" spans="8:8">
      <c r="A23" s="17">
        <v>21.0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2"/>
    </row>
    <row r="24" spans="8:8">
      <c r="A24" s="28"/>
      <c r="U24" s="29"/>
    </row>
    <row r="25" spans="8:8">
      <c r="A25" s="28"/>
      <c r="B25" s="22" t="s">
        <v>20</v>
      </c>
      <c r="C25" s="22">
        <f>SUM(C4:C18)</f>
        <v>3200.0195000000003</v>
      </c>
      <c r="G25" s="22">
        <f>SUM(G4:G19)</f>
        <v>3080.1401</v>
      </c>
      <c r="H25" s="22">
        <f>SUM(H4:H19)</f>
        <v>1393.7943</v>
      </c>
      <c r="I25" s="22">
        <f>SUM(I4:I19)</f>
        <v>20.305999999999997</v>
      </c>
      <c r="J25" s="22">
        <f>SUM(J4:J19)</f>
        <v>14.865</v>
      </c>
      <c r="K25" s="22">
        <f>SUM(K4:K17)</f>
        <v>0.703525413947105</v>
      </c>
      <c r="L25" s="22">
        <f>SUM(L4:L23)</f>
        <v>-0.7035254139471052</v>
      </c>
      <c r="M25" s="22">
        <f>SUM(M4:M23)</f>
        <v>4.796163466380676E-14</v>
      </c>
      <c r="N25" s="22">
        <f>SUM(N4:N17)</f>
        <v>-0.06483686909282937</v>
      </c>
      <c r="O25" s="22">
        <f>SUM(O4:O21)</f>
        <v>0.06483686909282937</v>
      </c>
      <c r="Q25" s="1">
        <f>SUM(Q4:Q17)</f>
        <v>0.2568872672608933</v>
      </c>
      <c r="R25" s="1">
        <f>SUM(R4:R21)</f>
        <v>-0.2568872672608933</v>
      </c>
      <c r="U25" s="29"/>
    </row>
    <row r="26" spans="8:8">
      <c r="A26" s="28"/>
      <c r="B26" s="22"/>
      <c r="C26" s="22">
        <f>(2*(COUNTA(C4:C17))+4)*100</f>
        <v>3200.0</v>
      </c>
      <c r="G26" s="22" t="s">
        <v>9</v>
      </c>
      <c r="H26" s="22"/>
      <c r="I26" s="22"/>
      <c r="J26" s="22"/>
      <c r="K26" s="22"/>
      <c r="L26" s="22"/>
      <c r="M26" s="22"/>
      <c r="N26" s="22">
        <f>-N25</f>
        <v>0.06483686909282937</v>
      </c>
      <c r="O26" s="22"/>
      <c r="Q26" s="1">
        <f>-Q25</f>
        <v>-0.2568872672608933</v>
      </c>
      <c r="U26" s="29"/>
      <c r="V26" s="1">
        <v>0.0</v>
      </c>
    </row>
    <row r="27" spans="8:8">
      <c r="A27" s="28"/>
      <c r="B27" s="22" t="s">
        <v>21</v>
      </c>
      <c r="C27" s="22">
        <f>C25-C26</f>
        <v>0.019499999999879947</v>
      </c>
      <c r="G27" s="1" t="s">
        <v>22</v>
      </c>
      <c r="I27" s="1">
        <f>SUM(K4:K17)</f>
        <v>0.703525413947105</v>
      </c>
      <c r="U27" s="29"/>
    </row>
    <row r="28" spans="8:8">
      <c r="A28" s="28"/>
      <c r="B28" s="22" t="s">
        <v>23</v>
      </c>
      <c r="C28" s="22">
        <f>-C27</f>
        <v>-0.019499999999879947</v>
      </c>
      <c r="D28" s="1">
        <f>SUM(D4:D18)</f>
        <v>-0.019499999999999993</v>
      </c>
      <c r="G28" s="1" t="s">
        <v>9</v>
      </c>
      <c r="I28" s="1">
        <f>-I27</f>
        <v>-0.703525413947105</v>
      </c>
      <c r="N28" s="1" t="s">
        <v>24</v>
      </c>
      <c r="O28" s="1">
        <f>SQRT(N25^2+Q25^2)</f>
        <v>0.26494317819964774</v>
      </c>
      <c r="U28" s="29"/>
    </row>
    <row r="29" spans="8:8" ht="15.0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 t="s">
        <v>25</v>
      </c>
      <c r="O29" s="31" t="str">
        <f>"1:"&amp;ROUND(G25/O28,0)</f>
        <v>1:11626</v>
      </c>
      <c r="P29" s="31"/>
      <c r="Q29" s="31"/>
      <c r="R29" s="31"/>
      <c r="S29" s="31"/>
      <c r="T29" s="31"/>
      <c r="U29" s="32"/>
    </row>
    <row r="31" spans="8:8">
      <c r="C31" s="1">
        <f>C28/13</f>
        <v>-0.0014999999999907652</v>
      </c>
    </row>
  </sheetData>
  <mergeCells count="18">
    <mergeCell ref="H1:H2"/>
    <mergeCell ref="F1:F2"/>
    <mergeCell ref="G1:G2"/>
    <mergeCell ref="W1:W2"/>
    <mergeCell ref="S1:S2"/>
    <mergeCell ref="T1:T2"/>
    <mergeCell ref="U1:U2"/>
    <mergeCell ref="V1:V2"/>
    <mergeCell ref="A1:A2"/>
    <mergeCell ref="N1:O1"/>
    <mergeCell ref="J1:J2"/>
    <mergeCell ref="I1:I2"/>
    <mergeCell ref="P1:P2"/>
    <mergeCell ref="B1:B2"/>
    <mergeCell ref="C1:D1"/>
    <mergeCell ref="M1:M2"/>
    <mergeCell ref="K1:K2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Rishav Khatiwada</dc:creator>
  <cp:lastModifiedBy>Rishav Khatiwada</cp:lastModifiedBy>
  <dcterms:created xsi:type="dcterms:W3CDTF">2015-06-04T07:47:20Z</dcterms:created>
  <dcterms:modified xsi:type="dcterms:W3CDTF">2024-04-16T11:02:25Z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86acdae30b6b429ab98d8671eab53531</vt:lpwstr>
  </property>
</Properties>
</file>