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0" yWindow="45" windowWidth="15960" windowHeight="13740"/>
  </bookViews>
  <sheets>
    <sheet name="Variant 1" sheetId="1" r:id="rId1"/>
    <sheet name="Variant 3 - Variant 3 – Array s" sheetId="2" r:id="rId2"/>
    <sheet name="Gas cost _ Transaction speed" sheetId="3" r:id="rId3"/>
    <sheet name="Chance of false positives" sheetId="4" r:id="rId4"/>
  </sheets>
  <calcPr calcId="144525"/>
</workbook>
</file>

<file path=xl/calcChain.xml><?xml version="1.0" encoding="utf-8"?>
<calcChain xmlns="http://schemas.openxmlformats.org/spreadsheetml/2006/main">
  <c r="C5" i="1" l="1"/>
  <c r="C4" i="1"/>
  <c r="B11" i="4"/>
  <c r="B10" i="4"/>
  <c r="B9" i="4"/>
  <c r="B8" i="4"/>
  <c r="B7" i="4"/>
  <c r="B6" i="4"/>
  <c r="B5" i="4"/>
  <c r="B4" i="4"/>
  <c r="B3" i="4"/>
  <c r="D25" i="2"/>
  <c r="D24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25" i="1"/>
  <c r="D23" i="1"/>
  <c r="E23" i="1" s="1"/>
  <c r="C23" i="1"/>
  <c r="D22" i="1"/>
  <c r="C22" i="1"/>
  <c r="E22" i="1" s="1"/>
  <c r="D21" i="1"/>
  <c r="C21" i="1"/>
  <c r="E21" i="1" s="1"/>
  <c r="D20" i="1"/>
  <c r="C20" i="1"/>
  <c r="E20" i="1" s="1"/>
  <c r="D19" i="1"/>
  <c r="E19" i="1" s="1"/>
  <c r="C19" i="1"/>
  <c r="E18" i="1"/>
  <c r="D18" i="1"/>
  <c r="C18" i="1"/>
  <c r="D17" i="1"/>
  <c r="C17" i="1"/>
  <c r="E17" i="1" s="1"/>
  <c r="D16" i="1"/>
  <c r="C16" i="1"/>
  <c r="E16" i="1" s="1"/>
  <c r="D15" i="1"/>
  <c r="E15" i="1" s="1"/>
  <c r="C15" i="1"/>
  <c r="E14" i="1"/>
  <c r="D14" i="1"/>
  <c r="C14" i="1"/>
  <c r="D13" i="1"/>
  <c r="C13" i="1"/>
  <c r="E13" i="1" s="1"/>
  <c r="D12" i="1"/>
  <c r="C12" i="1"/>
  <c r="E12" i="1" s="1"/>
  <c r="D11" i="1"/>
  <c r="E11" i="1" s="1"/>
  <c r="C11" i="1"/>
  <c r="E10" i="1"/>
  <c r="D10" i="1"/>
  <c r="C10" i="1"/>
  <c r="D9" i="1"/>
  <c r="C9" i="1"/>
  <c r="E9" i="1" s="1"/>
  <c r="D8" i="1"/>
  <c r="C8" i="1"/>
  <c r="E8" i="1" s="1"/>
  <c r="D7" i="1"/>
  <c r="E7" i="1" s="1"/>
  <c r="C7" i="1"/>
  <c r="E6" i="1"/>
  <c r="D6" i="1"/>
  <c r="C6" i="1"/>
  <c r="D5" i="1"/>
  <c r="E5" i="1"/>
  <c r="D4" i="1"/>
  <c r="E4" i="1"/>
</calcChain>
</file>

<file path=xl/sharedStrings.xml><?xml version="1.0" encoding="utf-8"?>
<sst xmlns="http://schemas.openxmlformats.org/spreadsheetml/2006/main" count="21" uniqueCount="16">
  <si>
    <t>Tabelle 1</t>
  </si>
  <si>
    <t>IP Addresses</t>
  </si>
  <si>
    <t>1 IP per transaction</t>
  </si>
  <si>
    <t>Multiple IPs per transaction</t>
  </si>
  <si>
    <t>Ratio</t>
  </si>
  <si>
    <t>Savings of multiple IPs per transaction after 20 IP addresses (without deployment cost)</t>
  </si>
  <si>
    <t>Variant 3 – Array size = 512</t>
  </si>
  <si>
    <t>1 IP per transaction + initial</t>
  </si>
  <si>
    <t>Multiple IPs per transaction + initial</t>
  </si>
  <si>
    <t>Deployment gas cost</t>
  </si>
  <si>
    <t>Offered gas price (shannon)</t>
  </si>
  <si>
    <t>Seconds</t>
  </si>
  <si>
    <t>IP addresses</t>
  </si>
  <si>
    <t>Chance of false positive</t>
  </si>
  <si>
    <t>Assuming an array byte size of 512 * 8.</t>
  </si>
  <si>
    <t>The number of IP addresses can be changed and the formula will update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</si>
</sst>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3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1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5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5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5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8" xfId="0" applyNumberFormat="1" applyFont="1" applyFill="1" applyBorder="1" applyAlignment="1">
      <alignment vertical="top" wrapText="1"/>
    </xf>
    <xf numFmtId="0" fontId="3" fillId="0" borderId="9" xfId="0" applyNumberFormat="1" applyFont="1" applyBorder="1" applyAlignment="1">
      <alignment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10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  <rgbColor rgb="FFCCCCCC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12755380591984"/>
          <c:y val="9.6343143032448009E-2"/>
          <c:w val="0.85176399999999997"/>
          <c:h val="0.805146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'Variant 1'!$C$2</c:f>
              <c:strCache>
                <c:ptCount val="1"/>
                <c:pt idx="0">
                  <c:v>1 IP per transaction</c:v>
                </c:pt>
              </c:strCache>
            </c:strRef>
          </c:tx>
          <c:spPr>
            <a:ln w="38100" cap="flat">
              <a:noFill/>
              <a:miter lim="400000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9525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cat>
            <c:numRef>
              <c:f>'Variant 1'!$A$4:$A$25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'Variant 1'!$C$4:$C$25</c:f>
              <c:numCache>
                <c:formatCode>General</c:formatCode>
                <c:ptCount val="22"/>
                <c:pt idx="0">
                  <c:v>963659</c:v>
                </c:pt>
                <c:pt idx="1">
                  <c:v>1054374</c:v>
                </c:pt>
                <c:pt idx="2">
                  <c:v>1145086</c:v>
                </c:pt>
                <c:pt idx="3">
                  <c:v>1235800</c:v>
                </c:pt>
                <c:pt idx="4">
                  <c:v>1326514</c:v>
                </c:pt>
                <c:pt idx="5">
                  <c:v>1417228</c:v>
                </c:pt>
                <c:pt idx="6">
                  <c:v>1507942</c:v>
                </c:pt>
                <c:pt idx="7">
                  <c:v>1598656</c:v>
                </c:pt>
                <c:pt idx="8">
                  <c:v>1689370</c:v>
                </c:pt>
                <c:pt idx="9">
                  <c:v>1780084</c:v>
                </c:pt>
                <c:pt idx="10">
                  <c:v>1870798</c:v>
                </c:pt>
                <c:pt idx="11">
                  <c:v>1961512</c:v>
                </c:pt>
                <c:pt idx="12">
                  <c:v>2052226</c:v>
                </c:pt>
                <c:pt idx="13">
                  <c:v>2142940</c:v>
                </c:pt>
                <c:pt idx="14">
                  <c:v>2233654</c:v>
                </c:pt>
                <c:pt idx="15">
                  <c:v>2324368</c:v>
                </c:pt>
                <c:pt idx="16">
                  <c:v>2415082</c:v>
                </c:pt>
                <c:pt idx="17">
                  <c:v>2505796</c:v>
                </c:pt>
                <c:pt idx="18">
                  <c:v>2596510</c:v>
                </c:pt>
                <c:pt idx="19">
                  <c:v>2687224</c:v>
                </c:pt>
                <c:pt idx="21">
                  <c:v>1829280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'Variant 1'!$D$2</c:f>
              <c:strCache>
                <c:ptCount val="1"/>
                <c:pt idx="0">
                  <c:v>Multiple IPs per transaction</c:v>
                </c:pt>
              </c:strCache>
            </c:strRef>
          </c:tx>
          <c:spPr>
            <a:ln w="38100" cap="flat">
              <a:noFill/>
              <a:miter lim="400000"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cat>
            <c:numRef>
              <c:f>'Variant 1'!$A$4:$A$25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'Variant 1'!$D$4:$D$25</c:f>
              <c:numCache>
                <c:formatCode>General</c:formatCode>
                <c:ptCount val="22"/>
                <c:pt idx="0">
                  <c:v>963594</c:v>
                </c:pt>
                <c:pt idx="1">
                  <c:v>1030848</c:v>
                </c:pt>
                <c:pt idx="2">
                  <c:v>1098102</c:v>
                </c:pt>
                <c:pt idx="3">
                  <c:v>1165356</c:v>
                </c:pt>
                <c:pt idx="4">
                  <c:v>1232674</c:v>
                </c:pt>
                <c:pt idx="5">
                  <c:v>1299929</c:v>
                </c:pt>
                <c:pt idx="6">
                  <c:v>1367185</c:v>
                </c:pt>
                <c:pt idx="7">
                  <c:v>1434440</c:v>
                </c:pt>
                <c:pt idx="8">
                  <c:v>1501696</c:v>
                </c:pt>
                <c:pt idx="9">
                  <c:v>1568952</c:v>
                </c:pt>
                <c:pt idx="10">
                  <c:v>1636209</c:v>
                </c:pt>
                <c:pt idx="11">
                  <c:v>1703401</c:v>
                </c:pt>
                <c:pt idx="12">
                  <c:v>1770723</c:v>
                </c:pt>
                <c:pt idx="13">
                  <c:v>1837980</c:v>
                </c:pt>
                <c:pt idx="14">
                  <c:v>1905238</c:v>
                </c:pt>
                <c:pt idx="15">
                  <c:v>1972496</c:v>
                </c:pt>
                <c:pt idx="16">
                  <c:v>2039754</c:v>
                </c:pt>
                <c:pt idx="17">
                  <c:v>2107013</c:v>
                </c:pt>
                <c:pt idx="18">
                  <c:v>2174272</c:v>
                </c:pt>
                <c:pt idx="19">
                  <c:v>2241467</c:v>
                </c:pt>
                <c:pt idx="21">
                  <c:v>1383523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56768"/>
        <c:axId val="195059072"/>
      </c:lineChart>
      <c:catAx>
        <c:axId val="1950567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N" sz="1000" b="0" i="0" u="none" strike="noStrike">
                    <a:solidFill>
                      <a:srgbClr val="000000"/>
                    </a:solidFill>
                    <a:latin typeface="Helvetica Neue"/>
                  </a:rPr>
                  <a:t>Number of IP addresses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195059072"/>
        <c:crosses val="autoZero"/>
        <c:auto val="1"/>
        <c:lblAlgn val="ctr"/>
        <c:lblOffset val="100"/>
        <c:noMultiLvlLbl val="1"/>
      </c:catAx>
      <c:valAx>
        <c:axId val="19505907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N" sz="1000" b="0" i="0" u="none" strike="noStrike">
                    <a:solidFill>
                      <a:srgbClr val="000000"/>
                    </a:solidFill>
                    <a:latin typeface="Helvetica Neue"/>
                  </a:rPr>
                  <a:t>Gas consumed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195056768"/>
        <c:crosses val="autoZero"/>
        <c:crossBetween val="midCat"/>
        <c:majorUnit val="700000"/>
        <c:minorUnit val="35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8018"/>
          <c:y val="0"/>
          <c:w val="0.87241500000000005"/>
          <c:h val="5.54318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478100000000001"/>
          <c:y val="0.11683399999999999"/>
          <c:w val="0.82060299999999997"/>
          <c:h val="0.76478800000000002"/>
        </c:manualLayout>
      </c:layout>
      <c:lineChart>
        <c:grouping val="standard"/>
        <c:varyColors val="0"/>
        <c:ser>
          <c:idx val="0"/>
          <c:order val="0"/>
          <c:tx>
            <c:v>1 IP per transaction</c:v>
          </c:tx>
          <c:spPr>
            <a:ln w="3175" cap="flat">
              <a:noFill/>
              <a:miter lim="400000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cat>
            <c:numRef>
              <c:f>'Variant 3 - Variant 3 – Array s'!$A$6:$A$25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'Variant 3 - Variant 3 – Array s'!$D$6:$D$25</c:f>
              <c:numCache>
                <c:formatCode>General</c:formatCode>
                <c:ptCount val="20"/>
                <c:pt idx="0">
                  <c:v>3307224</c:v>
                </c:pt>
                <c:pt idx="1">
                  <c:v>3588572</c:v>
                </c:pt>
                <c:pt idx="2">
                  <c:v>3879553</c:v>
                </c:pt>
                <c:pt idx="3">
                  <c:v>4170500</c:v>
                </c:pt>
                <c:pt idx="4">
                  <c:v>4431467</c:v>
                </c:pt>
                <c:pt idx="5">
                  <c:v>4677444</c:v>
                </c:pt>
                <c:pt idx="6">
                  <c:v>4938431</c:v>
                </c:pt>
                <c:pt idx="7">
                  <c:v>5229388</c:v>
                </c:pt>
                <c:pt idx="8">
                  <c:v>5505365</c:v>
                </c:pt>
                <c:pt idx="9">
                  <c:v>5766332</c:v>
                </c:pt>
                <c:pt idx="10">
                  <c:v>5997309</c:v>
                </c:pt>
                <c:pt idx="11">
                  <c:v>6198266</c:v>
                </c:pt>
                <c:pt idx="12">
                  <c:v>6459243</c:v>
                </c:pt>
                <c:pt idx="13">
                  <c:v>6660180</c:v>
                </c:pt>
                <c:pt idx="14">
                  <c:v>6831157</c:v>
                </c:pt>
                <c:pt idx="15">
                  <c:v>7032124</c:v>
                </c:pt>
                <c:pt idx="16">
                  <c:v>7263091</c:v>
                </c:pt>
                <c:pt idx="17">
                  <c:v>7509058</c:v>
                </c:pt>
                <c:pt idx="18">
                  <c:v>7725035</c:v>
                </c:pt>
                <c:pt idx="19">
                  <c:v>7896012</c:v>
                </c:pt>
              </c:numCache>
            </c:numRef>
          </c:val>
          <c:smooth val="0"/>
        </c:ser>
        <c:ser>
          <c:idx val="1"/>
          <c:order val="1"/>
          <c:tx>
            <c:v>Multiple IPs per transaction</c:v>
          </c:tx>
          <c:spPr>
            <a:ln w="38100" cap="flat">
              <a:noFill/>
              <a:miter lim="400000"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cat>
            <c:numRef>
              <c:f>'Variant 3 - Variant 3 – Array s'!$A$6:$A$25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'Variant 3 - Variant 3 – Array s'!$E$6:$E$25</c:f>
              <c:numCache>
                <c:formatCode>General</c:formatCode>
                <c:ptCount val="20"/>
                <c:pt idx="0">
                  <c:v>3297114</c:v>
                </c:pt>
                <c:pt idx="1">
                  <c:v>3550604</c:v>
                </c:pt>
                <c:pt idx="2">
                  <c:v>3804094</c:v>
                </c:pt>
                <c:pt idx="3">
                  <c:v>4072594</c:v>
                </c:pt>
                <c:pt idx="4">
                  <c:v>4311064</c:v>
                </c:pt>
                <c:pt idx="5">
                  <c:v>4564544</c:v>
                </c:pt>
                <c:pt idx="6">
                  <c:v>4788014</c:v>
                </c:pt>
                <c:pt idx="7">
                  <c:v>5026474</c:v>
                </c:pt>
                <c:pt idx="8">
                  <c:v>5234954</c:v>
                </c:pt>
                <c:pt idx="9">
                  <c:v>5473434</c:v>
                </c:pt>
                <c:pt idx="10">
                  <c:v>5681924</c:v>
                </c:pt>
                <c:pt idx="11">
                  <c:v>5905364</c:v>
                </c:pt>
                <c:pt idx="12">
                  <c:v>6113854</c:v>
                </c:pt>
                <c:pt idx="13">
                  <c:v>6307334</c:v>
                </c:pt>
                <c:pt idx="14">
                  <c:v>6515824</c:v>
                </c:pt>
                <c:pt idx="15">
                  <c:v>6664314</c:v>
                </c:pt>
                <c:pt idx="16">
                  <c:v>6902815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82880"/>
        <c:axId val="195343488"/>
      </c:lineChart>
      <c:catAx>
        <c:axId val="1950828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N" sz="1000" b="0" i="0" u="none" strike="noStrike">
                    <a:solidFill>
                      <a:srgbClr val="000000"/>
                    </a:solidFill>
                    <a:latin typeface="Helvetica Neue"/>
                  </a:rPr>
                  <a:t>Number of IP addresses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195343488"/>
        <c:crosses val="autoZero"/>
        <c:auto val="1"/>
        <c:lblAlgn val="ctr"/>
        <c:lblOffset val="100"/>
        <c:noMultiLvlLbl val="1"/>
      </c:catAx>
      <c:valAx>
        <c:axId val="19534348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N" sz="1000" b="0" i="0" u="none" strike="noStrike">
                    <a:solidFill>
                      <a:srgbClr val="000000"/>
                    </a:solidFill>
                    <a:latin typeface="Helvetica Neue"/>
                  </a:rPr>
                  <a:t>Gas consumed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195082880"/>
        <c:crosses val="autoZero"/>
        <c:crossBetween val="midCat"/>
        <c:majorUnit val="2000000"/>
        <c:minorUnit val="100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7451"/>
          <c:y val="0"/>
          <c:w val="0.86822299999999997"/>
          <c:h val="6.19040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114499999999999"/>
          <c:y val="4.0110100000000003E-2"/>
          <c:w val="0.87424000000000002"/>
          <c:h val="0.832312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'Gas cost _ Transaction speed'!$B$2</c:f>
              <c:strCache>
                <c:ptCount val="1"/>
                <c:pt idx="0">
                  <c:v>Seconds</c:v>
                </c:pt>
              </c:strCache>
            </c:strRef>
          </c:tx>
          <c:spPr>
            <a:ln w="38100" cap="flat">
              <a:solidFill>
                <a:srgbClr val="000000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cat>
            <c:numRef>
              <c:f>'Gas cost _ Transaction speed'!$A$3:$A$16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'Gas cost _ Transaction speed'!$B$3:$B$16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45</c:v>
                </c:pt>
                <c:pt idx="10">
                  <c:v>35</c:v>
                </c:pt>
                <c:pt idx="11">
                  <c:v>38</c:v>
                </c:pt>
                <c:pt idx="12">
                  <c:v>37</c:v>
                </c:pt>
                <c:pt idx="1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96736"/>
        <c:axId val="195399040"/>
      </c:lineChart>
      <c:catAx>
        <c:axId val="1953967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N" sz="1000" b="0" i="0" u="none" strike="noStrike">
                    <a:solidFill>
                      <a:srgbClr val="000000"/>
                    </a:solidFill>
                    <a:latin typeface="Helvetica Neue"/>
                  </a:rPr>
                  <a:t>Offered gas price (shannon)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195399040"/>
        <c:crosses val="autoZero"/>
        <c:auto val="1"/>
        <c:lblAlgn val="ctr"/>
        <c:lblOffset val="100"/>
        <c:noMultiLvlLbl val="1"/>
      </c:catAx>
      <c:valAx>
        <c:axId val="19539904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N" sz="1000" b="0" i="0" u="none" strike="noStrike">
                    <a:solidFill>
                      <a:srgbClr val="000000"/>
                    </a:solidFill>
                    <a:latin typeface="Helvetica Neue"/>
                  </a:rPr>
                  <a:t>Transaction confirmationtime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195396736"/>
        <c:crosses val="autoZero"/>
        <c:crossBetween val="midCat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7019"/>
          <c:y val="0.11683399999999999"/>
          <c:w val="0.82852400000000004"/>
          <c:h val="0.76478800000000002"/>
        </c:manualLayout>
      </c:layout>
      <c:lineChart>
        <c:grouping val="standard"/>
        <c:varyColors val="0"/>
        <c:ser>
          <c:idx val="0"/>
          <c:order val="0"/>
          <c:tx>
            <c:v>Chance of false positives</c:v>
          </c:tx>
          <c:spPr>
            <a:ln w="38100" cap="flat">
              <a:solidFill>
                <a:srgbClr val="000000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cat>
            <c:numRef>
              <c:f>'Chance of false positives'!$A$3:$A$10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'Chance of false positives'!$B$3:$B$10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1.4655557655318786E-86</c:v>
                </c:pt>
                <c:pt idx="2">
                  <c:v>2.6097579836499808E-9</c:v>
                </c:pt>
                <c:pt idx="3">
                  <c:v>0.13856706667366112</c:v>
                </c:pt>
                <c:pt idx="4">
                  <c:v>0.82066517095463265</c:v>
                </c:pt>
                <c:pt idx="5">
                  <c:v>0.98043001930923424</c:v>
                </c:pt>
                <c:pt idx="6">
                  <c:v>0.99802555095942713</c:v>
                </c:pt>
                <c:pt idx="7">
                  <c:v>0.99980237944604988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84672"/>
        <c:axId val="195487232"/>
      </c:lineChart>
      <c:catAx>
        <c:axId val="195484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N" sz="1000" b="0" i="0" u="none" strike="noStrike">
                    <a:solidFill>
                      <a:srgbClr val="000000"/>
                    </a:solidFill>
                    <a:latin typeface="Helvetica Neue"/>
                  </a:rPr>
                  <a:t>Number of IP addresses (n)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195487232"/>
        <c:crosses val="autoZero"/>
        <c:auto val="1"/>
        <c:lblAlgn val="ctr"/>
        <c:lblOffset val="100"/>
        <c:noMultiLvlLbl val="1"/>
      </c:catAx>
      <c:valAx>
        <c:axId val="19548723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N" sz="1000" b="0" i="0" u="none" strike="noStrike">
                    <a:solidFill>
                      <a:srgbClr val="000000"/>
                    </a:solidFill>
                    <a:latin typeface="Helvetica Neue"/>
                  </a:rPr>
                  <a:t> Chance of false positives (p)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195484672"/>
        <c:crosses val="autoZero"/>
        <c:crossBetween val="midCat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6871499999999995E-2"/>
          <c:y val="0"/>
          <c:w val="0.86211000000000004"/>
          <c:h val="6.19040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230377</xdr:rowOff>
    </xdr:from>
    <xdr:to>
      <xdr:col>5</xdr:col>
      <xdr:colOff>16201</xdr:colOff>
      <xdr:row>54</xdr:row>
      <xdr:rowOff>59243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157734</xdr:colOff>
      <xdr:row>1</xdr:row>
      <xdr:rowOff>0</xdr:rowOff>
    </xdr:from>
    <xdr:to>
      <xdr:col>9</xdr:col>
      <xdr:colOff>445262</xdr:colOff>
      <xdr:row>15</xdr:row>
      <xdr:rowOff>2794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46536</xdr:rowOff>
    </xdr:from>
    <xdr:to>
      <xdr:col>4</xdr:col>
      <xdr:colOff>287527</xdr:colOff>
      <xdr:row>37</xdr:row>
      <xdr:rowOff>213883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220219</xdr:rowOff>
    </xdr:from>
    <xdr:to>
      <xdr:col>3</xdr:col>
      <xdr:colOff>1569466</xdr:colOff>
      <xdr:row>31</xdr:row>
      <xdr:rowOff>203723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2"/>
  <sheetViews>
    <sheetView showGridLines="0" tabSelected="1" workbookViewId="0">
      <pane xSplit="1" ySplit="2" topLeftCell="B35" activePane="bottomRight" state="frozen"/>
      <selection pane="topRight"/>
      <selection pane="bottomLeft"/>
      <selection pane="bottomRight" activeCell="C6" sqref="C6"/>
    </sheetView>
  </sheetViews>
  <sheetFormatPr defaultColWidth="16.28515625" defaultRowHeight="19.899999999999999" customHeight="1"/>
  <cols>
    <col min="1" max="256" width="16.28515625" style="1" customWidth="1"/>
  </cols>
  <sheetData>
    <row r="1" spans="1:7" ht="27.6" customHeight="1">
      <c r="A1" s="29" t="s">
        <v>0</v>
      </c>
      <c r="B1" s="29"/>
      <c r="C1" s="29"/>
      <c r="D1" s="29"/>
      <c r="E1" s="29"/>
      <c r="F1" s="29"/>
      <c r="G1" s="29"/>
    </row>
    <row r="2" spans="1:7" ht="32.25" customHeight="1">
      <c r="A2" s="2" t="s">
        <v>1</v>
      </c>
      <c r="B2" s="3"/>
      <c r="C2" s="2" t="s">
        <v>2</v>
      </c>
      <c r="D2" s="2" t="s">
        <v>3</v>
      </c>
      <c r="E2" s="2" t="s">
        <v>4</v>
      </c>
      <c r="F2" s="3"/>
      <c r="G2" s="3"/>
    </row>
    <row r="3" spans="1:7" ht="20.25" customHeight="1">
      <c r="A3" s="4"/>
      <c r="B3" s="5"/>
      <c r="C3" s="6"/>
      <c r="D3" s="6"/>
      <c r="E3" s="6"/>
      <c r="F3" s="6"/>
      <c r="G3" s="6"/>
    </row>
    <row r="4" spans="1:7" ht="20.100000000000001" customHeight="1">
      <c r="A4" s="7">
        <v>1</v>
      </c>
      <c r="B4" s="8"/>
      <c r="C4" s="9">
        <f>857944+105715</f>
        <v>963659</v>
      </c>
      <c r="D4" s="9">
        <f>857944+105650</f>
        <v>963594</v>
      </c>
      <c r="E4" s="9">
        <f t="shared" ref="E4:E23" si="0">ROUND(C4/D4,2)</f>
        <v>1</v>
      </c>
      <c r="F4" s="10"/>
      <c r="G4" s="10"/>
    </row>
    <row r="5" spans="1:7" ht="20.100000000000001" customHeight="1">
      <c r="A5" s="7">
        <v>2</v>
      </c>
      <c r="B5" s="8"/>
      <c r="C5" s="9">
        <f>857944+196430</f>
        <v>1054374</v>
      </c>
      <c r="D5" s="9">
        <f>857944+172904</f>
        <v>1030848</v>
      </c>
      <c r="E5" s="9">
        <f t="shared" si="0"/>
        <v>1.02</v>
      </c>
      <c r="F5" s="10"/>
      <c r="G5" s="10"/>
    </row>
    <row r="6" spans="1:7" ht="20.100000000000001" customHeight="1">
      <c r="A6" s="7">
        <v>3</v>
      </c>
      <c r="B6" s="8"/>
      <c r="C6" s="9">
        <f>857944+287142</f>
        <v>1145086</v>
      </c>
      <c r="D6" s="9">
        <f>857944+240158</f>
        <v>1098102</v>
      </c>
      <c r="E6" s="9">
        <f t="shared" si="0"/>
        <v>1.04</v>
      </c>
      <c r="F6" s="10"/>
      <c r="G6" s="10"/>
    </row>
    <row r="7" spans="1:7" ht="20.100000000000001" customHeight="1">
      <c r="A7" s="7">
        <v>4</v>
      </c>
      <c r="B7" s="8"/>
      <c r="C7" s="9">
        <f>857944+377856</f>
        <v>1235800</v>
      </c>
      <c r="D7" s="9">
        <f>857944+307412</f>
        <v>1165356</v>
      </c>
      <c r="E7" s="9">
        <f t="shared" si="0"/>
        <v>1.06</v>
      </c>
      <c r="F7" s="10"/>
      <c r="G7" s="10"/>
    </row>
    <row r="8" spans="1:7" ht="20.100000000000001" customHeight="1">
      <c r="A8" s="7">
        <v>5</v>
      </c>
      <c r="B8" s="8"/>
      <c r="C8" s="9">
        <f>857944+468570</f>
        <v>1326514</v>
      </c>
      <c r="D8" s="9">
        <f>857944+374730</f>
        <v>1232674</v>
      </c>
      <c r="E8" s="9">
        <f t="shared" si="0"/>
        <v>1.08</v>
      </c>
      <c r="F8" s="10"/>
      <c r="G8" s="10"/>
    </row>
    <row r="9" spans="1:7" ht="20.100000000000001" customHeight="1">
      <c r="A9" s="7">
        <v>6</v>
      </c>
      <c r="B9" s="8"/>
      <c r="C9" s="9">
        <f>857944+559284</f>
        <v>1417228</v>
      </c>
      <c r="D9" s="9">
        <f>857944+441985</f>
        <v>1299929</v>
      </c>
      <c r="E9" s="9">
        <f t="shared" si="0"/>
        <v>1.0900000000000001</v>
      </c>
      <c r="F9" s="10"/>
      <c r="G9" s="10"/>
    </row>
    <row r="10" spans="1:7" ht="20.100000000000001" customHeight="1">
      <c r="A10" s="7">
        <v>7</v>
      </c>
      <c r="B10" s="8"/>
      <c r="C10" s="9">
        <f>857944+649998</f>
        <v>1507942</v>
      </c>
      <c r="D10" s="9">
        <f>857944+509241</f>
        <v>1367185</v>
      </c>
      <c r="E10" s="9">
        <f t="shared" si="0"/>
        <v>1.1000000000000001</v>
      </c>
      <c r="F10" s="10"/>
      <c r="G10" s="10"/>
    </row>
    <row r="11" spans="1:7" ht="20.100000000000001" customHeight="1">
      <c r="A11" s="7">
        <v>8</v>
      </c>
      <c r="B11" s="8"/>
      <c r="C11" s="9">
        <f>857944+740712</f>
        <v>1598656</v>
      </c>
      <c r="D11" s="9">
        <f>857944+576496</f>
        <v>1434440</v>
      </c>
      <c r="E11" s="9">
        <f t="shared" si="0"/>
        <v>1.1100000000000001</v>
      </c>
      <c r="F11" s="10"/>
      <c r="G11" s="10"/>
    </row>
    <row r="12" spans="1:7" ht="20.100000000000001" customHeight="1">
      <c r="A12" s="7">
        <v>9</v>
      </c>
      <c r="B12" s="8"/>
      <c r="C12" s="9">
        <f>857944+831426</f>
        <v>1689370</v>
      </c>
      <c r="D12" s="9">
        <f>857944+643752</f>
        <v>1501696</v>
      </c>
      <c r="E12" s="9">
        <f t="shared" si="0"/>
        <v>1.1200000000000001</v>
      </c>
      <c r="F12" s="10"/>
      <c r="G12" s="10"/>
    </row>
    <row r="13" spans="1:7" ht="20.100000000000001" customHeight="1">
      <c r="A13" s="7">
        <v>10</v>
      </c>
      <c r="B13" s="8"/>
      <c r="C13" s="9">
        <f>857944+922140</f>
        <v>1780084</v>
      </c>
      <c r="D13" s="9">
        <f>857944+711008</f>
        <v>1568952</v>
      </c>
      <c r="E13" s="9">
        <f t="shared" si="0"/>
        <v>1.1299999999999999</v>
      </c>
      <c r="F13" s="10"/>
      <c r="G13" s="10"/>
    </row>
    <row r="14" spans="1:7" ht="20.100000000000001" customHeight="1">
      <c r="A14" s="7">
        <v>11</v>
      </c>
      <c r="B14" s="8"/>
      <c r="C14" s="9">
        <f>857944+1012854</f>
        <v>1870798</v>
      </c>
      <c r="D14" s="9">
        <f>857944+778265</f>
        <v>1636209</v>
      </c>
      <c r="E14" s="9">
        <f t="shared" si="0"/>
        <v>1.1399999999999999</v>
      </c>
      <c r="F14" s="10"/>
      <c r="G14" s="10"/>
    </row>
    <row r="15" spans="1:7" ht="20.100000000000001" customHeight="1">
      <c r="A15" s="7">
        <v>12</v>
      </c>
      <c r="B15" s="8"/>
      <c r="C15" s="9">
        <f>857944+1103568</f>
        <v>1961512</v>
      </c>
      <c r="D15" s="9">
        <f>857944+845457</f>
        <v>1703401</v>
      </c>
      <c r="E15" s="9">
        <f t="shared" si="0"/>
        <v>1.1499999999999999</v>
      </c>
      <c r="F15" s="10"/>
      <c r="G15" s="10"/>
    </row>
    <row r="16" spans="1:7" ht="20.100000000000001" customHeight="1">
      <c r="A16" s="7">
        <v>13</v>
      </c>
      <c r="B16" s="8"/>
      <c r="C16" s="9">
        <f>857944+1194282</f>
        <v>2052226</v>
      </c>
      <c r="D16" s="9">
        <f>857944+912779</f>
        <v>1770723</v>
      </c>
      <c r="E16" s="9">
        <f t="shared" si="0"/>
        <v>1.1599999999999999</v>
      </c>
      <c r="F16" s="10"/>
      <c r="G16" s="10"/>
    </row>
    <row r="17" spans="1:7" ht="20.100000000000001" customHeight="1">
      <c r="A17" s="7">
        <v>14</v>
      </c>
      <c r="B17" s="8"/>
      <c r="C17" s="9">
        <f>857944+1284996</f>
        <v>2142940</v>
      </c>
      <c r="D17" s="9">
        <f>857944+980036</f>
        <v>1837980</v>
      </c>
      <c r="E17" s="9">
        <f t="shared" si="0"/>
        <v>1.17</v>
      </c>
      <c r="F17" s="10"/>
      <c r="G17" s="10"/>
    </row>
    <row r="18" spans="1:7" ht="20.100000000000001" customHeight="1">
      <c r="A18" s="7">
        <v>15</v>
      </c>
      <c r="B18" s="8"/>
      <c r="C18" s="9">
        <f>857944+1375710</f>
        <v>2233654</v>
      </c>
      <c r="D18" s="9">
        <f>857944+1047294</f>
        <v>1905238</v>
      </c>
      <c r="E18" s="9">
        <f t="shared" si="0"/>
        <v>1.17</v>
      </c>
      <c r="F18" s="10"/>
      <c r="G18" s="10"/>
    </row>
    <row r="19" spans="1:7" ht="20.100000000000001" customHeight="1">
      <c r="A19" s="7">
        <v>16</v>
      </c>
      <c r="B19" s="8"/>
      <c r="C19" s="9">
        <f>857944+1466424</f>
        <v>2324368</v>
      </c>
      <c r="D19" s="9">
        <f>857944+1114552</f>
        <v>1972496</v>
      </c>
      <c r="E19" s="9">
        <f t="shared" si="0"/>
        <v>1.18</v>
      </c>
      <c r="F19" s="10"/>
      <c r="G19" s="10"/>
    </row>
    <row r="20" spans="1:7" ht="20.100000000000001" customHeight="1">
      <c r="A20" s="7">
        <v>17</v>
      </c>
      <c r="B20" s="8"/>
      <c r="C20" s="9">
        <f>857944+1557138</f>
        <v>2415082</v>
      </c>
      <c r="D20" s="9">
        <f>857944+1181810</f>
        <v>2039754</v>
      </c>
      <c r="E20" s="9">
        <f t="shared" si="0"/>
        <v>1.18</v>
      </c>
      <c r="F20" s="10"/>
      <c r="G20" s="10"/>
    </row>
    <row r="21" spans="1:7" ht="20.100000000000001" customHeight="1">
      <c r="A21" s="7">
        <v>18</v>
      </c>
      <c r="B21" s="8"/>
      <c r="C21" s="9">
        <f>857944+1647852</f>
        <v>2505796</v>
      </c>
      <c r="D21" s="9">
        <f>857944+1249069</f>
        <v>2107013</v>
      </c>
      <c r="E21" s="9">
        <f t="shared" si="0"/>
        <v>1.19</v>
      </c>
      <c r="F21" s="10"/>
      <c r="G21" s="10"/>
    </row>
    <row r="22" spans="1:7" ht="20.100000000000001" customHeight="1">
      <c r="A22" s="7">
        <v>19</v>
      </c>
      <c r="B22" s="8"/>
      <c r="C22" s="9">
        <f>857944+1738566</f>
        <v>2596510</v>
      </c>
      <c r="D22" s="9">
        <f>857944+1316328</f>
        <v>2174272</v>
      </c>
      <c r="E22" s="9">
        <f t="shared" si="0"/>
        <v>1.19</v>
      </c>
      <c r="F22" s="10"/>
      <c r="G22" s="10"/>
    </row>
    <row r="23" spans="1:7" ht="20.100000000000001" customHeight="1">
      <c r="A23" s="7">
        <v>20</v>
      </c>
      <c r="B23" s="8"/>
      <c r="C23" s="9">
        <f>857944+1829280</f>
        <v>2687224</v>
      </c>
      <c r="D23" s="9">
        <f>857944+1383523</f>
        <v>2241467</v>
      </c>
      <c r="E23" s="9">
        <f t="shared" si="0"/>
        <v>1.2</v>
      </c>
      <c r="F23" s="10"/>
      <c r="G23" s="10"/>
    </row>
    <row r="24" spans="1:7" ht="20.100000000000001" customHeight="1">
      <c r="A24" s="11"/>
      <c r="B24" s="8"/>
      <c r="C24" s="10"/>
      <c r="D24" s="10"/>
      <c r="E24" s="10"/>
      <c r="F24" s="10"/>
      <c r="G24" s="10"/>
    </row>
    <row r="25" spans="1:7" ht="68.099999999999994" customHeight="1">
      <c r="A25" s="11"/>
      <c r="B25" s="12" t="s">
        <v>5</v>
      </c>
      <c r="C25" s="9">
        <v>1829280</v>
      </c>
      <c r="D25" s="9">
        <v>1383523</v>
      </c>
      <c r="E25" s="9">
        <f>ROUND(1-D25/C25,2)</f>
        <v>0.24</v>
      </c>
      <c r="F25" s="10"/>
      <c r="G25" s="10"/>
    </row>
    <row r="26" spans="1:7" ht="20.100000000000001" customHeight="1">
      <c r="A26" s="11"/>
      <c r="B26" s="8"/>
      <c r="C26" s="10"/>
      <c r="D26" s="10"/>
      <c r="E26" s="10"/>
      <c r="F26" s="10"/>
      <c r="G26" s="10"/>
    </row>
    <row r="27" spans="1:7" ht="20.100000000000001" customHeight="1">
      <c r="A27" s="11"/>
      <c r="B27" s="8"/>
      <c r="C27" s="10"/>
      <c r="D27" s="10"/>
      <c r="E27" s="10"/>
      <c r="F27" s="10"/>
      <c r="G27" s="10"/>
    </row>
    <row r="28" spans="1:7" ht="20.100000000000001" customHeight="1">
      <c r="A28" s="11"/>
      <c r="B28" s="8"/>
      <c r="C28" s="10"/>
      <c r="D28" s="10"/>
      <c r="E28" s="10"/>
      <c r="F28" s="10"/>
      <c r="G28" s="10"/>
    </row>
    <row r="29" spans="1:7" ht="20.100000000000001" customHeight="1">
      <c r="A29" s="11"/>
      <c r="B29" s="8"/>
      <c r="C29" s="10"/>
      <c r="D29" s="10"/>
      <c r="E29" s="10"/>
      <c r="F29" s="10"/>
      <c r="G29" s="10"/>
    </row>
    <row r="30" spans="1:7" ht="20.100000000000001" customHeight="1">
      <c r="A30" s="11"/>
      <c r="B30" s="8"/>
      <c r="C30" s="10"/>
      <c r="D30" s="10"/>
      <c r="E30" s="10"/>
      <c r="F30" s="10"/>
      <c r="G30" s="10"/>
    </row>
    <row r="31" spans="1:7" ht="20.100000000000001" customHeight="1">
      <c r="A31" s="11"/>
      <c r="B31" s="8"/>
      <c r="C31" s="10"/>
      <c r="D31" s="10"/>
      <c r="E31" s="10"/>
      <c r="F31" s="10"/>
      <c r="G31" s="10"/>
    </row>
    <row r="32" spans="1:7" ht="20.100000000000001" customHeight="1">
      <c r="A32" s="11"/>
      <c r="B32" s="8"/>
      <c r="C32" s="10"/>
      <c r="D32" s="10"/>
      <c r="E32" s="10"/>
      <c r="F32" s="10"/>
      <c r="G32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6"/>
  <sheetViews>
    <sheetView showGridLines="0" workbookViewId="0">
      <pane xSplit="1" ySplit="2" topLeftCell="B19" activePane="bottomRight" state="frozen"/>
      <selection pane="topRight"/>
      <selection pane="bottomLeft"/>
      <selection pane="bottomRight" activeCell="G19" sqref="G19"/>
    </sheetView>
  </sheetViews>
  <sheetFormatPr defaultColWidth="16.28515625" defaultRowHeight="19.899999999999999" customHeight="1"/>
  <cols>
    <col min="1" max="256" width="16.28515625" style="13" customWidth="1"/>
  </cols>
  <sheetData>
    <row r="1" spans="1:5" ht="27.6" customHeight="1">
      <c r="A1" s="29" t="s">
        <v>6</v>
      </c>
      <c r="B1" s="29"/>
      <c r="C1" s="29"/>
      <c r="D1" s="29"/>
      <c r="E1" s="29"/>
    </row>
    <row r="2" spans="1:5" ht="44.25" customHeight="1">
      <c r="A2" s="3"/>
      <c r="B2" s="2" t="s">
        <v>2</v>
      </c>
      <c r="C2" s="2" t="s">
        <v>3</v>
      </c>
      <c r="D2" s="2" t="s">
        <v>7</v>
      </c>
      <c r="E2" s="2" t="s">
        <v>8</v>
      </c>
    </row>
    <row r="3" spans="1:5" ht="32.25" customHeight="1">
      <c r="A3" s="14" t="s">
        <v>9</v>
      </c>
      <c r="B3" s="15">
        <v>3006612</v>
      </c>
      <c r="C3" s="6"/>
      <c r="D3" s="6"/>
      <c r="E3" s="6"/>
    </row>
    <row r="4" spans="1:5" ht="20.100000000000001" customHeight="1">
      <c r="A4" s="11"/>
      <c r="B4" s="8"/>
      <c r="C4" s="10"/>
      <c r="D4" s="10"/>
      <c r="E4" s="10"/>
    </row>
    <row r="5" spans="1:5" ht="20.100000000000001" customHeight="1">
      <c r="A5" s="16" t="s">
        <v>1</v>
      </c>
      <c r="B5" s="8"/>
      <c r="C5" s="10"/>
      <c r="D5" s="10"/>
      <c r="E5" s="10"/>
    </row>
    <row r="6" spans="1:5" ht="20.100000000000001" customHeight="1">
      <c r="A6" s="7">
        <v>1</v>
      </c>
      <c r="B6" s="17">
        <v>290990</v>
      </c>
      <c r="C6" s="9">
        <v>290502</v>
      </c>
      <c r="D6" s="9">
        <f>B3+300612</f>
        <v>3307224</v>
      </c>
      <c r="E6" s="9">
        <f t="shared" ref="E6:E22" si="0">C6+3006612</f>
        <v>3297114</v>
      </c>
    </row>
    <row r="7" spans="1:5" ht="20.100000000000001" customHeight="1">
      <c r="A7" s="7">
        <v>2</v>
      </c>
      <c r="B7" s="17">
        <v>581960</v>
      </c>
      <c r="C7" s="9">
        <v>543992</v>
      </c>
      <c r="D7" s="9">
        <f t="shared" ref="D7:D25" si="1">B7+3006612</f>
        <v>3588572</v>
      </c>
      <c r="E7" s="9">
        <f t="shared" si="0"/>
        <v>3550604</v>
      </c>
    </row>
    <row r="8" spans="1:5" ht="20.100000000000001" customHeight="1">
      <c r="A8" s="7">
        <v>3</v>
      </c>
      <c r="B8" s="17">
        <v>872941</v>
      </c>
      <c r="C8" s="9">
        <v>797482</v>
      </c>
      <c r="D8" s="9">
        <f t="shared" si="1"/>
        <v>3879553</v>
      </c>
      <c r="E8" s="9">
        <f t="shared" si="0"/>
        <v>3804094</v>
      </c>
    </row>
    <row r="9" spans="1:5" ht="20.100000000000001" customHeight="1">
      <c r="A9" s="7">
        <v>4</v>
      </c>
      <c r="B9" s="17">
        <v>1163888</v>
      </c>
      <c r="C9" s="9">
        <v>1065982</v>
      </c>
      <c r="D9" s="9">
        <f t="shared" si="1"/>
        <v>4170500</v>
      </c>
      <c r="E9" s="9">
        <f t="shared" si="0"/>
        <v>4072594</v>
      </c>
    </row>
    <row r="10" spans="1:5" ht="20.100000000000001" customHeight="1">
      <c r="A10" s="7">
        <v>5</v>
      </c>
      <c r="B10" s="17">
        <v>1424855</v>
      </c>
      <c r="C10" s="9">
        <v>1304452</v>
      </c>
      <c r="D10" s="9">
        <f t="shared" si="1"/>
        <v>4431467</v>
      </c>
      <c r="E10" s="9">
        <f t="shared" si="0"/>
        <v>4311064</v>
      </c>
    </row>
    <row r="11" spans="1:5" ht="20.100000000000001" customHeight="1">
      <c r="A11" s="7">
        <v>6</v>
      </c>
      <c r="B11" s="17">
        <v>1670832</v>
      </c>
      <c r="C11" s="9">
        <v>1557932</v>
      </c>
      <c r="D11" s="9">
        <f t="shared" si="1"/>
        <v>4677444</v>
      </c>
      <c r="E11" s="9">
        <f t="shared" si="0"/>
        <v>4564544</v>
      </c>
    </row>
    <row r="12" spans="1:5" ht="20.100000000000001" customHeight="1">
      <c r="A12" s="7">
        <v>7</v>
      </c>
      <c r="B12" s="17">
        <v>1931819</v>
      </c>
      <c r="C12" s="9">
        <v>1781402</v>
      </c>
      <c r="D12" s="9">
        <f t="shared" si="1"/>
        <v>4938431</v>
      </c>
      <c r="E12" s="9">
        <f t="shared" si="0"/>
        <v>4788014</v>
      </c>
    </row>
    <row r="13" spans="1:5" ht="20.100000000000001" customHeight="1">
      <c r="A13" s="7">
        <v>8</v>
      </c>
      <c r="B13" s="17">
        <v>2222776</v>
      </c>
      <c r="C13" s="9">
        <v>2019862</v>
      </c>
      <c r="D13" s="9">
        <f t="shared" si="1"/>
        <v>5229388</v>
      </c>
      <c r="E13" s="9">
        <f t="shared" si="0"/>
        <v>5026474</v>
      </c>
    </row>
    <row r="14" spans="1:5" ht="20.100000000000001" customHeight="1">
      <c r="A14" s="7">
        <v>9</v>
      </c>
      <c r="B14" s="17">
        <v>2498753</v>
      </c>
      <c r="C14" s="9">
        <v>2228342</v>
      </c>
      <c r="D14" s="9">
        <f t="shared" si="1"/>
        <v>5505365</v>
      </c>
      <c r="E14" s="9">
        <f t="shared" si="0"/>
        <v>5234954</v>
      </c>
    </row>
    <row r="15" spans="1:5" ht="20.100000000000001" customHeight="1">
      <c r="A15" s="7">
        <v>10</v>
      </c>
      <c r="B15" s="17">
        <v>2759720</v>
      </c>
      <c r="C15" s="9">
        <v>2466822</v>
      </c>
      <c r="D15" s="9">
        <f t="shared" si="1"/>
        <v>5766332</v>
      </c>
      <c r="E15" s="9">
        <f t="shared" si="0"/>
        <v>5473434</v>
      </c>
    </row>
    <row r="16" spans="1:5" ht="20.100000000000001" customHeight="1">
      <c r="A16" s="7">
        <v>11</v>
      </c>
      <c r="B16" s="17">
        <v>2990697</v>
      </c>
      <c r="C16" s="9">
        <v>2675312</v>
      </c>
      <c r="D16" s="9">
        <f t="shared" si="1"/>
        <v>5997309</v>
      </c>
      <c r="E16" s="9">
        <f t="shared" si="0"/>
        <v>5681924</v>
      </c>
    </row>
    <row r="17" spans="1:5" ht="20.100000000000001" customHeight="1">
      <c r="A17" s="7">
        <v>12</v>
      </c>
      <c r="B17" s="17">
        <v>3191654</v>
      </c>
      <c r="C17" s="9">
        <v>2898752</v>
      </c>
      <c r="D17" s="9">
        <f t="shared" si="1"/>
        <v>6198266</v>
      </c>
      <c r="E17" s="9">
        <f t="shared" si="0"/>
        <v>5905364</v>
      </c>
    </row>
    <row r="18" spans="1:5" ht="20.100000000000001" customHeight="1">
      <c r="A18" s="7">
        <v>13</v>
      </c>
      <c r="B18" s="17">
        <v>3452631</v>
      </c>
      <c r="C18" s="9">
        <v>3107242</v>
      </c>
      <c r="D18" s="9">
        <f t="shared" si="1"/>
        <v>6459243</v>
      </c>
      <c r="E18" s="9">
        <f t="shared" si="0"/>
        <v>6113854</v>
      </c>
    </row>
    <row r="19" spans="1:5" ht="20.100000000000001" customHeight="1">
      <c r="A19" s="7">
        <v>14</v>
      </c>
      <c r="B19" s="17">
        <v>3653568</v>
      </c>
      <c r="C19" s="9">
        <v>3300722</v>
      </c>
      <c r="D19" s="9">
        <f t="shared" si="1"/>
        <v>6660180</v>
      </c>
      <c r="E19" s="9">
        <f t="shared" si="0"/>
        <v>6307334</v>
      </c>
    </row>
    <row r="20" spans="1:5" ht="20.100000000000001" customHeight="1">
      <c r="A20" s="7">
        <v>15</v>
      </c>
      <c r="B20" s="17">
        <v>3824545</v>
      </c>
      <c r="C20" s="9">
        <v>3509212</v>
      </c>
      <c r="D20" s="9">
        <f t="shared" si="1"/>
        <v>6831157</v>
      </c>
      <c r="E20" s="9">
        <f t="shared" si="0"/>
        <v>6515824</v>
      </c>
    </row>
    <row r="21" spans="1:5" ht="20.100000000000001" customHeight="1">
      <c r="A21" s="7">
        <v>16</v>
      </c>
      <c r="B21" s="17">
        <v>4025512</v>
      </c>
      <c r="C21" s="9">
        <v>3657702</v>
      </c>
      <c r="D21" s="9">
        <f t="shared" si="1"/>
        <v>7032124</v>
      </c>
      <c r="E21" s="9">
        <f t="shared" si="0"/>
        <v>6664314</v>
      </c>
    </row>
    <row r="22" spans="1:5" ht="20.100000000000001" customHeight="1">
      <c r="A22" s="7">
        <v>17</v>
      </c>
      <c r="B22" s="17">
        <v>4256479</v>
      </c>
      <c r="C22" s="9">
        <v>3896203</v>
      </c>
      <c r="D22" s="9">
        <f t="shared" si="1"/>
        <v>7263091</v>
      </c>
      <c r="E22" s="9">
        <f t="shared" si="0"/>
        <v>6902815</v>
      </c>
    </row>
    <row r="23" spans="1:5" ht="20.100000000000001" customHeight="1">
      <c r="A23" s="7">
        <v>18</v>
      </c>
      <c r="B23" s="17">
        <v>4502446</v>
      </c>
      <c r="C23" s="10"/>
      <c r="D23" s="9">
        <f t="shared" si="1"/>
        <v>7509058</v>
      </c>
      <c r="E23" s="10"/>
    </row>
    <row r="24" spans="1:5" ht="20.100000000000001" customHeight="1">
      <c r="A24" s="7">
        <v>19</v>
      </c>
      <c r="B24" s="17">
        <v>4718423</v>
      </c>
      <c r="C24" s="10"/>
      <c r="D24" s="9">
        <f t="shared" si="1"/>
        <v>7725035</v>
      </c>
      <c r="E24" s="10"/>
    </row>
    <row r="25" spans="1:5" ht="20.100000000000001" customHeight="1">
      <c r="A25" s="7">
        <v>20</v>
      </c>
      <c r="B25" s="17">
        <v>4889400</v>
      </c>
      <c r="C25" s="10"/>
      <c r="D25" s="9">
        <f t="shared" si="1"/>
        <v>7896012</v>
      </c>
      <c r="E25" s="10"/>
    </row>
    <row r="26" spans="1:5" ht="20.100000000000001" customHeight="1">
      <c r="A26" s="11"/>
      <c r="B26" s="8"/>
      <c r="C26" s="10"/>
      <c r="D26" s="10"/>
      <c r="E26" s="10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9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16" sqref="B16"/>
    </sheetView>
  </sheetViews>
  <sheetFormatPr defaultColWidth="16.28515625" defaultRowHeight="19.899999999999999" customHeight="1"/>
  <cols>
    <col min="1" max="256" width="16.28515625" style="18" customWidth="1"/>
  </cols>
  <sheetData>
    <row r="1" spans="1:5" ht="27.6" customHeight="1">
      <c r="A1" s="29" t="s">
        <v>0</v>
      </c>
      <c r="B1" s="29"/>
      <c r="C1" s="29"/>
      <c r="D1" s="29"/>
      <c r="E1" s="29"/>
    </row>
    <row r="2" spans="1:5" ht="32.450000000000003" customHeight="1">
      <c r="A2" s="19" t="s">
        <v>10</v>
      </c>
      <c r="B2" s="19" t="s">
        <v>11</v>
      </c>
      <c r="C2" s="3"/>
      <c r="D2" s="3"/>
      <c r="E2" s="3"/>
    </row>
    <row r="3" spans="1:5" ht="20.65" customHeight="1">
      <c r="A3" s="20">
        <v>2</v>
      </c>
      <c r="B3" s="20">
        <v>120</v>
      </c>
      <c r="C3" s="21"/>
      <c r="D3" s="6"/>
      <c r="E3" s="6"/>
    </row>
    <row r="4" spans="1:5" ht="20.65" customHeight="1">
      <c r="A4" s="20">
        <v>4</v>
      </c>
      <c r="B4" s="20">
        <v>120</v>
      </c>
      <c r="C4" s="22"/>
      <c r="D4" s="10"/>
      <c r="E4" s="10"/>
    </row>
    <row r="5" spans="1:5" ht="20.65" customHeight="1">
      <c r="A5" s="20">
        <v>6</v>
      </c>
      <c r="B5" s="20">
        <v>121</v>
      </c>
      <c r="C5" s="22"/>
      <c r="D5" s="10"/>
      <c r="E5" s="10"/>
    </row>
    <row r="6" spans="1:5" ht="20.65" customHeight="1">
      <c r="A6" s="20">
        <v>8</v>
      </c>
      <c r="B6" s="20">
        <v>118</v>
      </c>
      <c r="C6" s="22"/>
      <c r="D6" s="10"/>
      <c r="E6" s="10"/>
    </row>
    <row r="7" spans="1:5" ht="20.65" customHeight="1">
      <c r="A7" s="20">
        <v>10</v>
      </c>
      <c r="B7" s="20">
        <v>119</v>
      </c>
      <c r="C7" s="22"/>
      <c r="D7" s="10"/>
      <c r="E7" s="10"/>
    </row>
    <row r="8" spans="1:5" ht="20.65" customHeight="1">
      <c r="A8" s="20">
        <v>12</v>
      </c>
      <c r="B8" s="20">
        <v>119</v>
      </c>
      <c r="C8" s="22"/>
      <c r="D8" s="10"/>
      <c r="E8" s="10"/>
    </row>
    <row r="9" spans="1:5" ht="20.65" customHeight="1">
      <c r="A9" s="20">
        <v>14</v>
      </c>
      <c r="B9" s="20">
        <v>119</v>
      </c>
      <c r="C9" s="22"/>
      <c r="D9" s="10"/>
      <c r="E9" s="10"/>
    </row>
    <row r="10" spans="1:5" ht="20.65" customHeight="1">
      <c r="A10" s="20">
        <v>16</v>
      </c>
      <c r="B10" s="20">
        <v>119</v>
      </c>
      <c r="C10" s="22"/>
      <c r="D10" s="10"/>
      <c r="E10" s="10"/>
    </row>
    <row r="11" spans="1:5" ht="20.65" customHeight="1">
      <c r="A11" s="20">
        <v>18</v>
      </c>
      <c r="B11" s="20">
        <v>119</v>
      </c>
      <c r="C11" s="22"/>
      <c r="D11" s="10"/>
      <c r="E11" s="10"/>
    </row>
    <row r="12" spans="1:5" ht="20.65" customHeight="1">
      <c r="A12" s="20">
        <v>20</v>
      </c>
      <c r="B12" s="20">
        <v>45</v>
      </c>
      <c r="C12" s="22"/>
      <c r="D12" s="10"/>
      <c r="E12" s="10"/>
    </row>
    <row r="13" spans="1:5" ht="20.65" customHeight="1">
      <c r="A13" s="20">
        <v>22</v>
      </c>
      <c r="B13" s="20">
        <v>35</v>
      </c>
      <c r="C13" s="22"/>
      <c r="D13" s="10"/>
      <c r="E13" s="10"/>
    </row>
    <row r="14" spans="1:5" ht="20.65" customHeight="1">
      <c r="A14" s="20">
        <v>24</v>
      </c>
      <c r="B14" s="20">
        <v>38</v>
      </c>
      <c r="C14" s="22"/>
      <c r="D14" s="10"/>
      <c r="E14" s="10"/>
    </row>
    <row r="15" spans="1:5" ht="20.65" customHeight="1">
      <c r="A15" s="20">
        <v>26</v>
      </c>
      <c r="B15" s="20">
        <v>37</v>
      </c>
      <c r="C15" s="22"/>
      <c r="D15" s="10"/>
      <c r="E15" s="10"/>
    </row>
    <row r="16" spans="1:5" ht="20.65" customHeight="1">
      <c r="A16" s="20">
        <v>28</v>
      </c>
      <c r="B16" s="20">
        <v>30</v>
      </c>
      <c r="C16" s="22"/>
      <c r="D16" s="10"/>
      <c r="E16" s="10"/>
    </row>
    <row r="17" spans="1:5" ht="20.45" customHeight="1">
      <c r="A17" s="23"/>
      <c r="B17" s="24"/>
      <c r="C17" s="10"/>
      <c r="D17" s="10"/>
      <c r="E17" s="10"/>
    </row>
    <row r="18" spans="1:5" ht="20.100000000000001" customHeight="1">
      <c r="A18" s="11"/>
      <c r="B18" s="8"/>
      <c r="C18" s="10"/>
      <c r="D18" s="10"/>
      <c r="E18" s="10"/>
    </row>
    <row r="19" spans="1:5" ht="20.100000000000001" customHeight="1">
      <c r="A19" s="11"/>
      <c r="B19" s="8"/>
      <c r="C19" s="10"/>
      <c r="D19" s="10"/>
      <c r="E19" s="10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19.899999999999999" customHeight="1"/>
  <cols>
    <col min="1" max="3" width="16.28515625" style="25" customWidth="1"/>
    <col min="4" max="4" width="29.28515625" style="25" customWidth="1"/>
    <col min="5" max="256" width="16.28515625" style="25" customWidth="1"/>
  </cols>
  <sheetData>
    <row r="1" spans="1:5" ht="27.6" customHeight="1">
      <c r="A1" s="29" t="s">
        <v>0</v>
      </c>
      <c r="B1" s="29"/>
      <c r="C1" s="29"/>
      <c r="D1" s="29"/>
      <c r="E1" s="29"/>
    </row>
    <row r="2" spans="1:5" ht="32.25" customHeight="1">
      <c r="A2" s="2" t="s">
        <v>12</v>
      </c>
      <c r="B2" s="2" t="s">
        <v>13</v>
      </c>
      <c r="C2" s="3"/>
      <c r="D2" s="3"/>
      <c r="E2" s="3"/>
    </row>
    <row r="3" spans="1:5" ht="20.25" customHeight="1">
      <c r="A3" s="26">
        <v>1</v>
      </c>
      <c r="B3" s="15">
        <f t="shared" ref="B3:B11" si="0">2.73^((4096*LN(1/(2^LN(2))))/$A3)</f>
        <v>0</v>
      </c>
      <c r="C3" s="6"/>
      <c r="D3" s="6"/>
      <c r="E3" s="6"/>
    </row>
    <row r="4" spans="1:5" ht="32.1" customHeight="1">
      <c r="A4" s="7">
        <v>10</v>
      </c>
      <c r="B4" s="27">
        <f t="shared" si="0"/>
        <v>1.4655557655318786E-86</v>
      </c>
      <c r="C4" s="10"/>
      <c r="D4" s="28" t="s">
        <v>14</v>
      </c>
      <c r="E4" s="10"/>
    </row>
    <row r="5" spans="1:5" ht="44.1" customHeight="1">
      <c r="A5" s="7">
        <v>100</v>
      </c>
      <c r="B5" s="27">
        <f t="shared" si="0"/>
        <v>2.6097579836499808E-9</v>
      </c>
      <c r="C5" s="10"/>
      <c r="D5" s="28" t="s">
        <v>15</v>
      </c>
      <c r="E5" s="10"/>
    </row>
    <row r="6" spans="1:5" ht="20.100000000000001" customHeight="1">
      <c r="A6" s="7">
        <v>1000</v>
      </c>
      <c r="B6" s="27">
        <f t="shared" si="0"/>
        <v>0.13856706667366112</v>
      </c>
      <c r="C6" s="10"/>
      <c r="D6" s="10"/>
      <c r="E6" s="10"/>
    </row>
    <row r="7" spans="1:5" ht="20.100000000000001" customHeight="1">
      <c r="A7" s="7">
        <v>10000</v>
      </c>
      <c r="B7" s="27">
        <f t="shared" si="0"/>
        <v>0.82066517095463265</v>
      </c>
      <c r="C7" s="10"/>
      <c r="D7" s="10"/>
      <c r="E7" s="10"/>
    </row>
    <row r="8" spans="1:5" ht="20.100000000000001" customHeight="1">
      <c r="A8" s="7">
        <v>100000</v>
      </c>
      <c r="B8" s="27">
        <f t="shared" si="0"/>
        <v>0.98043001930923424</v>
      </c>
      <c r="C8" s="10"/>
      <c r="D8" s="10"/>
      <c r="E8" s="10"/>
    </row>
    <row r="9" spans="1:5" ht="20.100000000000001" customHeight="1">
      <c r="A9" s="7">
        <v>1000000</v>
      </c>
      <c r="B9" s="27">
        <f t="shared" si="0"/>
        <v>0.99802555095942713</v>
      </c>
      <c r="C9" s="10"/>
      <c r="D9" s="10"/>
      <c r="E9" s="10"/>
    </row>
    <row r="10" spans="1:5" ht="20.100000000000001" customHeight="1">
      <c r="A10" s="7">
        <v>10000000</v>
      </c>
      <c r="B10" s="27">
        <f t="shared" si="0"/>
        <v>0.99980237944604988</v>
      </c>
      <c r="C10" s="10"/>
      <c r="D10" s="10"/>
      <c r="E10" s="10"/>
    </row>
    <row r="11" spans="1:5" ht="20.100000000000001" customHeight="1">
      <c r="A11" s="7">
        <v>3000</v>
      </c>
      <c r="B11" s="27">
        <f t="shared" si="0"/>
        <v>0.51747178440596231</v>
      </c>
      <c r="C11" s="10"/>
      <c r="D11" s="10"/>
      <c r="E11" s="10"/>
    </row>
    <row r="12" spans="1:5" ht="20.100000000000001" customHeight="1">
      <c r="A12" s="11"/>
      <c r="B12" s="8"/>
      <c r="C12" s="10"/>
      <c r="D12" s="10"/>
      <c r="E12" s="10"/>
    </row>
    <row r="13" spans="1:5" ht="20.100000000000001" customHeight="1">
      <c r="A13" s="11"/>
      <c r="B13" s="8"/>
      <c r="C13" s="10"/>
      <c r="D13" s="10"/>
      <c r="E13" s="10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Variant 1</vt:lpstr>
      <vt:lpstr>Variant 3 - Variant 3 – Array s</vt:lpstr>
      <vt:lpstr>Gas cost _ Transaction speed</vt:lpstr>
      <vt:lpstr>Chance of false positives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india</cp:lastModifiedBy>
  <dcterms:modified xsi:type="dcterms:W3CDTF">2022-07-02T06:49:05Z</dcterms:modified>
</cp:coreProperties>
</file>