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OW 2" sheetId="1" r:id="rId4"/>
    <sheet state="visible" name="EOW 1" sheetId="2" r:id="rId5"/>
  </sheets>
  <definedNames/>
  <calcPr/>
</workbook>
</file>

<file path=xl/sharedStrings.xml><?xml version="1.0" encoding="utf-8"?>
<sst xmlns="http://schemas.openxmlformats.org/spreadsheetml/2006/main" count="179" uniqueCount="46">
  <si>
    <t>WEEK 1 (MAY 4 - MAY 11)</t>
  </si>
  <si>
    <t>FX</t>
  </si>
  <si>
    <t>Money Invested</t>
  </si>
  <si>
    <t>Change</t>
  </si>
  <si>
    <t>EUR/USD</t>
  </si>
  <si>
    <t>Type</t>
  </si>
  <si>
    <t>Name</t>
  </si>
  <si>
    <t>Ticker</t>
  </si>
  <si>
    <t>USD</t>
  </si>
  <si>
    <t>Local</t>
  </si>
  <si>
    <t>No. of Stocks</t>
  </si>
  <si>
    <t>Buy Price</t>
  </si>
  <si>
    <t>Recent Price</t>
  </si>
  <si>
    <t>Recent value</t>
  </si>
  <si>
    <t>$ change</t>
  </si>
  <si>
    <t>local change</t>
  </si>
  <si>
    <t>% change (usd)</t>
  </si>
  <si>
    <t>US Index</t>
  </si>
  <si>
    <t>.INX</t>
  </si>
  <si>
    <t>NDX</t>
  </si>
  <si>
    <t>JPY/USD</t>
  </si>
  <si>
    <t>German Index</t>
  </si>
  <si>
    <t>DAX</t>
  </si>
  <si>
    <t>Japanese Index</t>
  </si>
  <si>
    <t>NI225</t>
  </si>
  <si>
    <t>Chinese Index</t>
  </si>
  <si>
    <t>Shanghai Composite Index</t>
  </si>
  <si>
    <t>SHCOMP</t>
  </si>
  <si>
    <t>Date</t>
  </si>
  <si>
    <t>Close</t>
  </si>
  <si>
    <t>CNY/USD</t>
  </si>
  <si>
    <t>US Commodity</t>
  </si>
  <si>
    <t>SPGSCLP</t>
  </si>
  <si>
    <t>5/42020 16:00:00</t>
  </si>
  <si>
    <t>SPGSGCP</t>
  </si>
  <si>
    <t>US ETF</t>
  </si>
  <si>
    <t>TLT</t>
  </si>
  <si>
    <t>HYG</t>
  </si>
  <si>
    <t>Cash</t>
  </si>
  <si>
    <t>NA</t>
  </si>
  <si>
    <t>Total</t>
  </si>
  <si>
    <t>WEEK 2 (MAY 11 - MAY 18)</t>
  </si>
  <si>
    <t>Profit/Loss for the week</t>
  </si>
  <si>
    <t>Brokerage costs</t>
  </si>
  <si>
    <t>Total Value of Portfolio</t>
  </si>
  <si>
    <t>New Money Invested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</si>
</sst>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&quot;$&quot;#,##0"/>
  </numFmts>
  <fonts count="8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sz val="11.0"/>
      <color rgb="FF000000"/>
      <name val="Inconsolata"/>
    </font>
    <font>
      <color rgb="FF000000"/>
      <name val="Arial"/>
    </font>
    <font>
      <sz val="11.0"/>
      <color rgb="FF000000"/>
      <name val="Arial"/>
    </font>
    <font>
      <b/>
      <sz val="11.0"/>
      <color rgb="FF000000"/>
      <name val="Inconsolata"/>
    </font>
  </fonts>
  <fills count="1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34A853"/>
        <bgColor rgb="FF34A853"/>
      </patternFill>
    </fill>
  </fills>
  <borders count="1">
    <border/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4" fontId="3" numFmtId="0" xfId="0" applyFill="1" applyFont="1"/>
    <xf borderId="0" fillId="4" fontId="3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3" numFmtId="0" xfId="0" applyAlignment="1" applyFill="1" applyFont="1">
      <alignment readingOrder="0"/>
    </xf>
    <xf borderId="0" fillId="6" fontId="3" numFmtId="0" xfId="0" applyAlignment="1" applyFont="1">
      <alignment horizontal="center" readingOrder="0"/>
    </xf>
    <xf borderId="0" fillId="6" fontId="3" numFmtId="0" xfId="0" applyAlignment="1" applyFont="1">
      <alignment horizontal="center" vertical="bottom"/>
    </xf>
    <xf borderId="0" fillId="6" fontId="3" numFmtId="0" xfId="0" applyAlignment="1" applyFont="1">
      <alignment readingOrder="0" vertical="bottom"/>
    </xf>
    <xf borderId="0" fillId="5" fontId="1" numFmtId="0" xfId="0" applyAlignment="1" applyFont="1">
      <alignment vertical="bottom"/>
    </xf>
    <xf borderId="0" fillId="3" fontId="1" numFmtId="0" xfId="0" applyAlignment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8" fontId="1" numFmtId="3" xfId="0" applyAlignment="1" applyFill="1" applyFont="1" applyNumberFormat="1">
      <alignment readingOrder="0"/>
    </xf>
    <xf borderId="0" fillId="8" fontId="1" numFmtId="0" xfId="0" applyFont="1"/>
    <xf borderId="0" fillId="9" fontId="4" numFmtId="0" xfId="0" applyAlignment="1" applyFill="1" applyFont="1">
      <alignment horizontal="left"/>
    </xf>
    <xf borderId="0" fillId="9" fontId="1" numFmtId="0" xfId="0" applyFont="1"/>
    <xf borderId="0" fillId="3" fontId="1" numFmtId="0" xfId="0" applyFont="1"/>
    <xf borderId="0" fillId="10" fontId="1" numFmtId="3" xfId="0" applyAlignment="1" applyFill="1" applyFont="1" applyNumberFormat="1">
      <alignment horizontal="right" vertical="bottom"/>
    </xf>
    <xf borderId="0" fillId="10" fontId="1" numFmtId="3" xfId="0" applyFont="1" applyNumberFormat="1"/>
    <xf borderId="0" fillId="10" fontId="1" numFmtId="0" xfId="0" applyAlignment="1" applyFont="1">
      <alignment horizontal="right" vertical="bottom"/>
    </xf>
    <xf borderId="0" fillId="5" fontId="1" numFmtId="164" xfId="0" applyAlignment="1" applyFont="1" applyNumberFormat="1">
      <alignment horizontal="right" vertical="bottom"/>
    </xf>
    <xf borderId="0" fillId="5" fontId="1" numFmtId="0" xfId="0" applyAlignment="1" applyFont="1">
      <alignment horizontal="right" vertical="bottom"/>
    </xf>
    <xf borderId="0" fillId="9" fontId="1" numFmtId="164" xfId="0" applyFont="1" applyNumberFormat="1"/>
    <xf borderId="0" fillId="9" fontId="4" numFmtId="0" xfId="0" applyFont="1"/>
    <xf borderId="0" fillId="11" fontId="1" numFmtId="3" xfId="0" applyAlignment="1" applyFill="1" applyFont="1" applyNumberFormat="1">
      <alignment horizontal="right" vertical="bottom"/>
    </xf>
    <xf borderId="0" fillId="11" fontId="1" numFmtId="3" xfId="0" applyFont="1" applyNumberFormat="1"/>
    <xf borderId="0" fillId="11" fontId="1" numFmtId="0" xfId="0" applyAlignment="1" applyFont="1">
      <alignment horizontal="right" vertical="bottom"/>
    </xf>
    <xf borderId="0" fillId="5" fontId="1" numFmtId="0" xfId="0" applyFont="1"/>
    <xf borderId="0" fillId="5" fontId="1" numFmtId="164" xfId="0" applyFont="1" applyNumberFormat="1"/>
    <xf borderId="0" fillId="7" fontId="5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5" numFmtId="164" xfId="0" applyAlignment="1" applyFont="1" applyNumberFormat="1">
      <alignment horizontal="right" readingOrder="0"/>
    </xf>
    <xf borderId="0" fillId="9" fontId="1" numFmtId="164" xfId="0" applyAlignment="1" applyFont="1" applyNumberFormat="1">
      <alignment readingOrder="0"/>
    </xf>
    <xf borderId="0" fillId="5" fontId="4" numFmtId="0" xfId="0" applyFont="1"/>
    <xf borderId="0" fillId="7" fontId="4" numFmtId="0" xfId="0" applyFont="1"/>
    <xf borderId="0" fillId="10" fontId="1" numFmtId="3" xfId="0" applyAlignment="1" applyFont="1" applyNumberFormat="1">
      <alignment horizontal="right" readingOrder="0" vertical="bottom"/>
    </xf>
    <xf borderId="0" fillId="9" fontId="1" numFmtId="164" xfId="0" applyAlignment="1" applyFont="1" applyNumberFormat="1">
      <alignment readingOrder="0"/>
    </xf>
    <xf borderId="0" fillId="11" fontId="1" numFmtId="3" xfId="0" applyAlignment="1" applyFont="1" applyNumberFormat="1">
      <alignment horizontal="right" readingOrder="0" vertical="bottom"/>
    </xf>
    <xf borderId="0" fillId="10" fontId="1" numFmtId="3" xfId="0" applyAlignment="1" applyFont="1" applyNumberFormat="1">
      <alignment readingOrder="0"/>
    </xf>
    <xf borderId="0" fillId="10" fontId="1" numFmtId="2" xfId="0" applyAlignment="1" applyFont="1" applyNumberFormat="1">
      <alignment horizontal="right" vertical="bottom"/>
    </xf>
    <xf borderId="0" fillId="7" fontId="6" numFmtId="0" xfId="0" applyAlignment="1" applyFont="1">
      <alignment readingOrder="0"/>
    </xf>
    <xf borderId="0" fillId="8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6" fontId="1" numFmtId="0" xfId="0" applyFont="1"/>
    <xf borderId="0" fillId="8" fontId="3" numFmtId="3" xfId="0" applyFont="1" applyNumberFormat="1"/>
    <xf borderId="0" fillId="12" fontId="7" numFmtId="165" xfId="0" applyFill="1" applyFont="1" applyNumberFormat="1"/>
    <xf borderId="0" fillId="12" fontId="3" numFmtId="0" xfId="0" applyFont="1"/>
    <xf borderId="0" fillId="2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10" fontId="1" numFmtId="165" xfId="0" applyFont="1" applyNumberFormat="1"/>
    <xf borderId="0" fillId="3" fontId="3" numFmtId="0" xfId="0" applyAlignment="1" applyFont="1">
      <alignment horizontal="center" vertical="bottom"/>
    </xf>
    <xf borderId="0" fillId="11" fontId="1" numFmtId="0" xfId="0" applyAlignment="1" applyFont="1">
      <alignment readingOrder="0"/>
    </xf>
    <xf borderId="0" fillId="4" fontId="1" numFmtId="0" xfId="0" applyAlignment="1" applyFont="1">
      <alignment vertical="bottom"/>
    </xf>
    <xf borderId="0" fillId="4" fontId="3" numFmtId="0" xfId="0" applyAlignment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6" fontId="3" numFmtId="0" xfId="0" applyAlignment="1" applyFont="1">
      <alignment vertical="bottom"/>
    </xf>
    <xf borderId="0" fillId="6" fontId="3" numFmtId="0" xfId="0" applyAlignment="1" applyFont="1">
      <alignment horizontal="center" vertical="bottom"/>
    </xf>
    <xf borderId="0" fillId="3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3" xfId="0" applyAlignment="1" applyFont="1" applyNumberFormat="1">
      <alignment horizontal="right" vertical="bottom"/>
    </xf>
    <xf borderId="0" fillId="8" fontId="1" numFmtId="0" xfId="0" applyAlignment="1" applyFont="1">
      <alignment horizontal="right" vertical="bottom"/>
    </xf>
    <xf borderId="0" fillId="9" fontId="4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9" fontId="1" numFmtId="164" xfId="0" applyAlignment="1" applyFont="1" applyNumberFormat="1">
      <alignment horizontal="right" vertical="bottom"/>
    </xf>
    <xf borderId="0" fillId="9" fontId="1" numFmtId="0" xfId="0" applyAlignment="1" applyFont="1">
      <alignment horizontal="right" vertical="bottom"/>
    </xf>
    <xf borderId="0" fillId="7" fontId="5" numFmtId="0" xfId="0" applyAlignment="1" applyFont="1">
      <alignment vertical="bottom"/>
    </xf>
    <xf borderId="0" fillId="5" fontId="1" numFmtId="0" xfId="0" applyAlignment="1" applyFont="1">
      <alignment horizontal="center" vertical="bottom"/>
    </xf>
    <xf borderId="0" fillId="9" fontId="5" numFmtId="164" xfId="0" applyAlignment="1" applyFont="1" applyNumberFormat="1">
      <alignment horizontal="right" vertical="bottom"/>
    </xf>
    <xf borderId="0" fillId="9" fontId="1" numFmtId="164" xfId="0" applyAlignment="1" applyFont="1" applyNumberFormat="1">
      <alignment horizontal="right" vertical="bottom"/>
    </xf>
    <xf borderId="0" fillId="5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13" fontId="1" numFmtId="3" xfId="0" applyAlignment="1" applyFill="1" applyFont="1" applyNumberFormat="1">
      <alignment horizontal="right" vertical="bottom"/>
    </xf>
    <xf borderId="0" fillId="13" fontId="1" numFmtId="0" xfId="0" applyAlignment="1" applyFont="1">
      <alignment horizontal="right" vertical="bottom"/>
    </xf>
    <xf borderId="0" fillId="11" fontId="1" numFmtId="2" xfId="0" applyAlignment="1" applyFont="1" applyNumberFormat="1">
      <alignment horizontal="right" vertical="bottom"/>
    </xf>
    <xf borderId="0" fillId="7" fontId="6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3" fontId="1" numFmtId="2" xfId="0" applyAlignment="1" applyFont="1" applyNumberFormat="1">
      <alignment horizontal="right" vertical="bottom"/>
    </xf>
    <xf borderId="0" fillId="3" fontId="4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11" fontId="7" numFmtId="165" xfId="0" applyAlignment="1" applyFont="1" applyNumberFormat="1">
      <alignment horizontal="right" vertical="bottom"/>
    </xf>
    <xf borderId="0" fillId="11" fontId="1" numFmtId="0" xfId="0" applyAlignment="1" applyFont="1">
      <alignment vertical="bottom"/>
    </xf>
    <xf borderId="0" fillId="11" fontId="1" numFmtId="165" xfId="0" applyAlignment="1" applyFont="1" applyNumberFormat="1">
      <alignment horizontal="right" vertical="bottom"/>
    </xf>
    <xf borderId="0" fillId="11" fontId="1" numFmtId="0" xfId="0" applyAlignment="1" applyFont="1">
      <alignment horizontal="right" readingOrder="0" vertical="bottom"/>
    </xf>
    <xf borderId="0" fillId="13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9.14"/>
    <col customWidth="1" min="4" max="4" width="29.43"/>
    <col customWidth="1" min="9" max="9" width="18.14"/>
  </cols>
  <sheetData>
    <row r="1">
      <c r="A1" s="1"/>
      <c r="B1" s="1"/>
      <c r="C1" s="1"/>
      <c r="D1" s="1"/>
      <c r="E1" s="1"/>
      <c r="F1" s="2" t="s">
        <v>0</v>
      </c>
      <c r="I1" s="1"/>
      <c r="J1" s="1"/>
      <c r="K1" s="1"/>
      <c r="L1" s="1"/>
      <c r="M1" s="1"/>
      <c r="N1" s="1"/>
      <c r="O1" s="1"/>
      <c r="P1" s="1"/>
    </row>
    <row r="2">
      <c r="A2" s="3" t="s">
        <v>1</v>
      </c>
      <c r="C2" s="4"/>
      <c r="D2" s="4"/>
      <c r="E2" s="4"/>
      <c r="F2" s="5" t="s">
        <v>2</v>
      </c>
      <c r="H2" s="4"/>
      <c r="I2" s="4"/>
      <c r="J2" s="4"/>
      <c r="K2" s="4"/>
      <c r="L2" s="4"/>
      <c r="M2" s="4"/>
      <c r="N2" s="5" t="s">
        <v>3</v>
      </c>
      <c r="P2" s="4"/>
    </row>
    <row r="3">
      <c r="A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8" t="s">
        <v>11</v>
      </c>
      <c r="K3" s="8" t="s">
        <v>12</v>
      </c>
      <c r="M3" s="7" t="s">
        <v>13</v>
      </c>
      <c r="N3" s="9" t="s">
        <v>14</v>
      </c>
      <c r="O3" s="7" t="s">
        <v>15</v>
      </c>
      <c r="P3" s="10" t="s">
        <v>16</v>
      </c>
    </row>
    <row r="4">
      <c r="A4" s="11" t="str">
        <f>IFERROR(__xludf.DUMMYFUNCTION("GOOGLEFINANCE(""currency:EURUSD"", ""price"",DATE(2020,5,4))"),"Date")</f>
        <v>Date</v>
      </c>
      <c r="B4" s="11" t="str">
        <f>IFERROR(__xludf.DUMMYFUNCTION("""COMPUTED_VALUE"""),"Close")</f>
        <v>Close</v>
      </c>
      <c r="C4" s="12" t="s">
        <v>17</v>
      </c>
      <c r="D4" s="13" t="str">
        <f>IFERROR(__xludf.DUMMYFUNCTION("GOOGLEFINANCE($E4, ""name"")"),"S&amp;P 500 Index")</f>
        <v>S&amp;P 500 Index</v>
      </c>
      <c r="E4" s="14" t="s">
        <v>18</v>
      </c>
      <c r="F4" s="15">
        <v>50000.0</v>
      </c>
      <c r="G4" s="15">
        <v>50000.0</v>
      </c>
      <c r="H4" s="16">
        <f>round(G4/J5,2)</f>
        <v>17.59</v>
      </c>
      <c r="I4" s="17" t="str">
        <f>IFERROR(__xludf.DUMMYFUNCTION("GOOGLEFINANCE($E4,""price"",""5/4/2020"")"),"Date")</f>
        <v>Date</v>
      </c>
      <c r="J4" s="18" t="str">
        <f>IFERROR(__xludf.DUMMYFUNCTION("""COMPUTED_VALUE"""),"Close")</f>
        <v>Close</v>
      </c>
      <c r="K4" s="18" t="str">
        <f>IFERROR(__xludf.DUMMYFUNCTION("GOOGLEFINANCE($E4,""price"",""05/15/2020"")"),"Date")</f>
        <v>Date</v>
      </c>
      <c r="L4" s="18" t="str">
        <f>IFERROR(__xludf.DUMMYFUNCTION("""COMPUTED_VALUE"""),"Close")</f>
        <v>Close</v>
      </c>
      <c r="M4" s="19">
        <f>round(L5*H4,2)</f>
        <v>50372.48</v>
      </c>
      <c r="N4" s="20">
        <f>M4-G4</f>
        <v>372.48</v>
      </c>
      <c r="O4" s="21">
        <f>M4-G4</f>
        <v>372.48</v>
      </c>
      <c r="P4" s="22">
        <f> round(N4*100/F4,2)</f>
        <v>0.74</v>
      </c>
    </row>
    <row r="5">
      <c r="A5" s="23">
        <f>IFERROR(__xludf.DUMMYFUNCTION("""COMPUTED_VALUE"""),43955.99861111111)</f>
        <v>43955.99861</v>
      </c>
      <c r="B5" s="24">
        <f>IFERROR(__xludf.DUMMYFUNCTION("""COMPUTED_VALUE"""),1.09041)</f>
        <v>1.09041</v>
      </c>
      <c r="I5" s="25">
        <f>IFERROR(__xludf.DUMMYFUNCTION("""COMPUTED_VALUE"""),43955.66666666667)</f>
        <v>43955.66667</v>
      </c>
      <c r="J5" s="18">
        <f>IFERROR(__xludf.DUMMYFUNCTION("""COMPUTED_VALUE"""),2842.74)</f>
        <v>2842.74</v>
      </c>
      <c r="K5" s="25">
        <f>IFERROR(__xludf.DUMMYFUNCTION("""COMPUTED_VALUE"""),43966.66666666667)</f>
        <v>43966.66667</v>
      </c>
      <c r="L5" s="18">
        <f>IFERROR(__xludf.DUMMYFUNCTION("""COMPUTED_VALUE"""),2863.7)</f>
        <v>2863.7</v>
      </c>
    </row>
    <row r="6">
      <c r="A6" s="11" t="str">
        <f>IFERROR(__xludf.DUMMYFUNCTION("GOOGLEFINANCE(""currency:EURUSD"", ""price"",DATE(2020,5,16))"),"Date")</f>
        <v>Date</v>
      </c>
      <c r="B6" s="11" t="str">
        <f>IFERROR(__xludf.DUMMYFUNCTION("""COMPUTED_VALUE"""),"Close")</f>
        <v>Close</v>
      </c>
      <c r="C6" s="12" t="s">
        <v>17</v>
      </c>
      <c r="D6" s="13" t="str">
        <f>IFERROR(__xludf.DUMMYFUNCTION("GOOGLEFINANCE($E6, ""name"")"),"NASDAQ-100")</f>
        <v>NASDAQ-100</v>
      </c>
      <c r="E6" s="14" t="s">
        <v>19</v>
      </c>
      <c r="F6" s="15">
        <v>50000.0</v>
      </c>
      <c r="G6" s="15">
        <v>50000.0</v>
      </c>
      <c r="H6" s="16">
        <f>round(G6/J7,2)</f>
        <v>5.66</v>
      </c>
      <c r="I6" s="18" t="str">
        <f>IFERROR(__xludf.DUMMYFUNCTION("GOOGLEFINANCE($E6,""price"",""5/4/2020"")"),"Date")</f>
        <v>Date</v>
      </c>
      <c r="J6" s="18" t="str">
        <f>IFERROR(__xludf.DUMMYFUNCTION("""COMPUTED_VALUE"""),"Close")</f>
        <v>Close</v>
      </c>
      <c r="K6" s="18" t="str">
        <f>IFERROR(__xludf.DUMMYFUNCTION("GOOGLEFINANCE($E6,""price"",""05/15/2020"")"),"Date")</f>
        <v>Date</v>
      </c>
      <c r="L6" s="18" t="str">
        <f>IFERROR(__xludf.DUMMYFUNCTION("""COMPUTED_VALUE"""),"Close")</f>
        <v>Close</v>
      </c>
      <c r="M6" s="19">
        <f>round(L7*H6,2)</f>
        <v>51803.94</v>
      </c>
      <c r="N6" s="20">
        <f>M6-G6</f>
        <v>1803.94</v>
      </c>
      <c r="O6" s="21">
        <f>M6-G6</f>
        <v>1803.94</v>
      </c>
      <c r="P6" s="22">
        <f> round(N6*100/F6,2)</f>
        <v>3.61</v>
      </c>
    </row>
    <row r="7">
      <c r="A7" s="23">
        <f>IFERROR(__xludf.DUMMYFUNCTION("""COMPUTED_VALUE"""),43967.99861111111)</f>
        <v>43967.99861</v>
      </c>
      <c r="B7" s="24">
        <f>IFERROR(__xludf.DUMMYFUNCTION("""COMPUTED_VALUE"""),1.081895)</f>
        <v>1.081895</v>
      </c>
      <c r="I7" s="25">
        <f>IFERROR(__xludf.DUMMYFUNCTION("""COMPUTED_VALUE"""),43955.66666666667)</f>
        <v>43955.66667</v>
      </c>
      <c r="J7" s="18">
        <f>IFERROR(__xludf.DUMMYFUNCTION("""COMPUTED_VALUE"""),8834.11)</f>
        <v>8834.11</v>
      </c>
      <c r="K7" s="25">
        <f>IFERROR(__xludf.DUMMYFUNCTION("""COMPUTED_VALUE"""),43966.66666666667)</f>
        <v>43966.66667</v>
      </c>
      <c r="L7" s="18">
        <f>IFERROR(__xludf.DUMMYFUNCTION("""COMPUTED_VALUE"""),9152.64)</f>
        <v>9152.64</v>
      </c>
    </row>
    <row r="8">
      <c r="A8" s="6" t="s">
        <v>20</v>
      </c>
      <c r="C8" s="12" t="s">
        <v>21</v>
      </c>
      <c r="D8" s="13" t="str">
        <f>IFERROR(__xludf.DUMMYFUNCTION("GOOGLEFINANCE(""indexdb:DAX"", ""name"")"),"DAX PERFORMANCE-INDEX")</f>
        <v>DAX PERFORMANCE-INDEX</v>
      </c>
      <c r="E8" s="14" t="s">
        <v>22</v>
      </c>
      <c r="F8" s="15">
        <v>50000.0</v>
      </c>
      <c r="G8" s="15">
        <f>50000/B5</f>
        <v>45854.31168</v>
      </c>
      <c r="H8" s="16">
        <f>round(G8/J9,2)</f>
        <v>4.38</v>
      </c>
      <c r="I8" s="26" t="str">
        <f>IFERROR(__xludf.DUMMYFUNCTION("GOOGLEFINANCE(""indexdb:DAX"",""price"",""5/4/2020"")"),"Date")</f>
        <v>Date</v>
      </c>
      <c r="J8" s="18" t="str">
        <f>IFERROR(__xludf.DUMMYFUNCTION("""COMPUTED_VALUE"""),"Close")</f>
        <v>Close</v>
      </c>
      <c r="K8" s="18" t="str">
        <f>IFERROR(__xludf.DUMMYFUNCTION("GOOGLEFINANCE(""indexdb:DAX"",""price"",""5/15/2020"")"),"Date")</f>
        <v>Date</v>
      </c>
      <c r="L8" s="18" t="str">
        <f>IFERROR(__xludf.DUMMYFUNCTION("""COMPUTED_VALUE"""),"Close")</f>
        <v>Close</v>
      </c>
      <c r="M8" s="19">
        <f>round(L9*H8,2)</f>
        <v>45837.44</v>
      </c>
      <c r="N8" s="27">
        <f>O8*B7</f>
        <v>-18.25338724</v>
      </c>
      <c r="O8" s="28">
        <f>M8-G8</f>
        <v>-16.87168093</v>
      </c>
      <c r="P8" s="29">
        <f> round(N8*100/F8,2)</f>
        <v>-0.04</v>
      </c>
    </row>
    <row r="9">
      <c r="A9" s="30" t="str">
        <f>IFERROR(__xludf.DUMMYFUNCTION("GOOGLEFINANCE(""currency:JPYUSD"", ""price"",DATE(2020,5,4))"),"Date")</f>
        <v>Date</v>
      </c>
      <c r="B9" s="30" t="str">
        <f>IFERROR(__xludf.DUMMYFUNCTION("""COMPUTED_VALUE"""),"Close")</f>
        <v>Close</v>
      </c>
      <c r="I9" s="25">
        <f>IFERROR(__xludf.DUMMYFUNCTION("""COMPUTED_VALUE"""),43955.83333333333)</f>
        <v>43955.83333</v>
      </c>
      <c r="J9" s="18">
        <f>IFERROR(__xludf.DUMMYFUNCTION("""COMPUTED_VALUE"""),10466.8)</f>
        <v>10466.8</v>
      </c>
      <c r="K9" s="25">
        <f>IFERROR(__xludf.DUMMYFUNCTION("""COMPUTED_VALUE"""),43966.83333333333)</f>
        <v>43966.83333</v>
      </c>
      <c r="L9" s="18">
        <f>IFERROR(__xludf.DUMMYFUNCTION("""COMPUTED_VALUE"""),10465.17)</f>
        <v>10465.17</v>
      </c>
    </row>
    <row r="10">
      <c r="A10" s="31">
        <f>IFERROR(__xludf.DUMMYFUNCTION("""COMPUTED_VALUE"""),43955.99861111111)</f>
        <v>43955.99861</v>
      </c>
      <c r="B10" s="30">
        <f>IFERROR(__xludf.DUMMYFUNCTION("""COMPUTED_VALUE"""),0.009372)</f>
        <v>0.009372</v>
      </c>
      <c r="C10" s="12" t="s">
        <v>23</v>
      </c>
      <c r="D10" s="13" t="str">
        <f>IFERROR(__xludf.DUMMYFUNCTION("GOOGLEFINANCE($E10, ""name"")"),"Nikkei 225")</f>
        <v>Nikkei 225</v>
      </c>
      <c r="E10" s="14" t="s">
        <v>24</v>
      </c>
      <c r="F10" s="15">
        <v>20000.0</v>
      </c>
      <c r="G10" s="15">
        <f>20000/B10</f>
        <v>2134016.219</v>
      </c>
      <c r="H10" s="16">
        <f>round(G10/J11,2)</f>
        <v>108.77</v>
      </c>
      <c r="I10" s="18" t="str">
        <f>IFERROR(__xludf.DUMMYFUNCTION("GOOGLEFINANCE($E10,""price"",""4/30/2020"")"),"Date")</f>
        <v>Date</v>
      </c>
      <c r="J10" s="18" t="str">
        <f>IFERROR(__xludf.DUMMYFUNCTION("""COMPUTED_VALUE"""),"Close")</f>
        <v>Close</v>
      </c>
      <c r="K10" s="18" t="str">
        <f>IFERROR(__xludf.DUMMYFUNCTION("GOOGLEFINANCE($E10,""price"",""05/14/2020"")"),"Date")</f>
        <v>Date</v>
      </c>
      <c r="L10" s="18" t="str">
        <f>IFERROR(__xludf.DUMMYFUNCTION("""COMPUTED_VALUE"""),"Close")</f>
        <v>Close</v>
      </c>
      <c r="M10" s="19">
        <f>round(L11*H10,2)</f>
        <v>2179475.61</v>
      </c>
      <c r="N10" s="20">
        <f>O10*B12</f>
        <v>424.6418127</v>
      </c>
      <c r="O10" s="21">
        <f>M10-G10</f>
        <v>45459.39148</v>
      </c>
      <c r="P10" s="22">
        <f> round(N10*100/F10,2)</f>
        <v>2.12</v>
      </c>
    </row>
    <row r="11">
      <c r="A11" s="30" t="str">
        <f>IFERROR(__xludf.DUMMYFUNCTION("GOOGLEFINANCE(""currency:JPYUSD"", ""price"",DATE(2020,5,16))"),"Date")</f>
        <v>Date</v>
      </c>
      <c r="B11" s="30" t="str">
        <f>IFERROR(__xludf.DUMMYFUNCTION("""COMPUTED_VALUE"""),"Close")</f>
        <v>Close</v>
      </c>
      <c r="I11" s="25">
        <f>IFERROR(__xludf.DUMMYFUNCTION("""COMPUTED_VALUE"""),43952.625)</f>
        <v>43952.625</v>
      </c>
      <c r="J11" s="18">
        <f>IFERROR(__xludf.DUMMYFUNCTION("""COMPUTED_VALUE"""),19619.35)</f>
        <v>19619.35</v>
      </c>
      <c r="K11" s="25">
        <f>IFERROR(__xludf.DUMMYFUNCTION("""COMPUTED_VALUE"""),43966.625)</f>
        <v>43966.625</v>
      </c>
      <c r="L11" s="18">
        <f>IFERROR(__xludf.DUMMYFUNCTION("""COMPUTED_VALUE"""),20037.47)</f>
        <v>20037.47</v>
      </c>
    </row>
    <row r="12">
      <c r="A12" s="31">
        <f>IFERROR(__xludf.DUMMYFUNCTION("""COMPUTED_VALUE"""),43967.99861111111)</f>
        <v>43967.99861</v>
      </c>
      <c r="B12" s="30">
        <f>IFERROR(__xludf.DUMMYFUNCTION("""COMPUTED_VALUE"""),0.009341124)</f>
        <v>0.009341124</v>
      </c>
      <c r="C12" s="12" t="s">
        <v>25</v>
      </c>
      <c r="D12" s="14" t="s">
        <v>26</v>
      </c>
      <c r="E12" s="32" t="s">
        <v>27</v>
      </c>
      <c r="F12" s="15">
        <v>20000.0</v>
      </c>
      <c r="G12" s="15">
        <f>20000/B15</f>
        <v>141250.0203</v>
      </c>
      <c r="H12" s="16">
        <f>round(G12/J13,2)</f>
        <v>49.38</v>
      </c>
      <c r="I12" s="33" t="s">
        <v>28</v>
      </c>
      <c r="J12" s="33" t="s">
        <v>29</v>
      </c>
      <c r="K12" s="33" t="s">
        <v>28</v>
      </c>
      <c r="L12" s="33" t="s">
        <v>29</v>
      </c>
      <c r="M12" s="19">
        <f>round(L13*H12,2)</f>
        <v>141644.55</v>
      </c>
      <c r="N12" s="20">
        <f>O12*B17</f>
        <v>55.55033344</v>
      </c>
      <c r="O12" s="21">
        <f>M12-G12</f>
        <v>394.5296953</v>
      </c>
      <c r="P12" s="22">
        <f> round(N12*100/F12,2)</f>
        <v>0.28</v>
      </c>
    </row>
    <row r="13">
      <c r="A13" s="6" t="s">
        <v>30</v>
      </c>
      <c r="I13" s="34">
        <v>43951.666666666664</v>
      </c>
      <c r="J13" s="33">
        <v>2860.41</v>
      </c>
      <c r="K13" s="25">
        <v>43966.625</v>
      </c>
      <c r="L13" s="33">
        <f>IFERROR(__xludf.DUMMYFUNCTION("IMPORTXML(""https://www.bloomberg.com/quote/SHCOMP:IND/"", ""//span[@class = 'priceText__1853e8a5']"")*1"),2868.46)</f>
        <v>2868.46</v>
      </c>
    </row>
    <row r="14">
      <c r="A14" s="36" t="str">
        <f>IFERROR(__xludf.DUMMYFUNCTION("GOOGLEFINANCE(""currency:CNYUSD"", ""price"",DATE(2020,5,4))"),"Date")</f>
        <v>Date</v>
      </c>
      <c r="B14" s="30" t="str">
        <f>IFERROR(__xludf.DUMMYFUNCTION("""COMPUTED_VALUE"""),"Close")</f>
        <v>Close</v>
      </c>
      <c r="C14" s="12" t="s">
        <v>31</v>
      </c>
      <c r="D14" s="37" t="str">
        <f>IFERROR(__xludf.DUMMYFUNCTION("GOOGLEFINANCE($E14, ""name"")"),"S&amp;P GSCI Crude Oil ER")</f>
        <v>S&amp;P GSCI Crude Oil ER</v>
      </c>
      <c r="E14" s="14" t="s">
        <v>32</v>
      </c>
      <c r="F14" s="15">
        <v>10000.0</v>
      </c>
      <c r="G14" s="15">
        <v>10000.0</v>
      </c>
      <c r="H14" s="16">
        <f>round(G14/J15,2)</f>
        <v>268.82</v>
      </c>
      <c r="I14" s="33" t="s">
        <v>28</v>
      </c>
      <c r="J14" s="33" t="s">
        <v>29</v>
      </c>
      <c r="K14" s="33" t="s">
        <v>28</v>
      </c>
      <c r="L14" s="33" t="s">
        <v>29</v>
      </c>
      <c r="M14" s="19">
        <f>round(L15*H14,2)</f>
        <v>12494.75</v>
      </c>
      <c r="N14" s="38">
        <f>O14</f>
        <v>2494.75</v>
      </c>
      <c r="O14" s="21">
        <f>M14-G14</f>
        <v>2494.75</v>
      </c>
      <c r="P14" s="22">
        <f> round(N14*100/F14,2)</f>
        <v>24.95</v>
      </c>
    </row>
    <row r="15">
      <c r="A15" s="31">
        <f>IFERROR(__xludf.DUMMYFUNCTION("""COMPUTED_VALUE"""),43955.99861111111)</f>
        <v>43955.99861</v>
      </c>
      <c r="B15" s="30">
        <f>IFERROR(__xludf.DUMMYFUNCTION("""COMPUTED_VALUE"""),0.1415929)</f>
        <v>0.1415929</v>
      </c>
      <c r="I15" s="33" t="s">
        <v>33</v>
      </c>
      <c r="J15" s="33">
        <v>37.2</v>
      </c>
      <c r="K15" s="39">
        <v>43966.625</v>
      </c>
      <c r="L15" s="33">
        <f>IFERROR(__xludf.DUMMYFUNCTION("GOOGLEFINANCE($E41,""price"")"),46.48)</f>
        <v>46.48</v>
      </c>
    </row>
    <row r="16">
      <c r="A16" s="30" t="str">
        <f>IFERROR(__xludf.DUMMYFUNCTION("GOOGLEFINANCE(""currency:CNYUSD"", ""price"",DATE(2020,5,16))"),"Date")</f>
        <v>Date</v>
      </c>
      <c r="B16" s="30" t="str">
        <f>IFERROR(__xludf.DUMMYFUNCTION("""COMPUTED_VALUE"""),"Close")</f>
        <v>Close</v>
      </c>
      <c r="C16" s="12" t="s">
        <v>31</v>
      </c>
      <c r="D16" s="37" t="str">
        <f>IFERROR(__xludf.DUMMYFUNCTION("GOOGLEFINANCE($E16, ""name"")"),"S&amp;P GSCI Gold ER")</f>
        <v>S&amp;P GSCI Gold ER</v>
      </c>
      <c r="E16" s="14" t="s">
        <v>34</v>
      </c>
      <c r="F16" s="15">
        <v>50000.0</v>
      </c>
      <c r="G16" s="15">
        <v>50000.0</v>
      </c>
      <c r="H16" s="16">
        <f>round(G16/J17,2)</f>
        <v>382.18</v>
      </c>
      <c r="I16" s="33" t="s">
        <v>28</v>
      </c>
      <c r="J16" s="33" t="s">
        <v>29</v>
      </c>
      <c r="K16" s="33" t="s">
        <v>28</v>
      </c>
      <c r="L16" s="33" t="s">
        <v>29</v>
      </c>
      <c r="M16" s="19">
        <f>round(L17*H16,2)</f>
        <v>51257.98</v>
      </c>
      <c r="N16" s="38">
        <f>O16</f>
        <v>1257.98</v>
      </c>
      <c r="O16" s="21">
        <f>M16-G16</f>
        <v>1257.98</v>
      </c>
      <c r="P16" s="22">
        <f> round(N16*100/F16,2)</f>
        <v>2.52</v>
      </c>
    </row>
    <row r="17">
      <c r="A17" s="31">
        <f>IFERROR(__xludf.DUMMYFUNCTION("""COMPUTED_VALUE"""),43967.99861111111)</f>
        <v>43967.99861</v>
      </c>
      <c r="B17" s="30">
        <f>IFERROR(__xludf.DUMMYFUNCTION("""COMPUTED_VALUE"""),0.1408014)</f>
        <v>0.1408014</v>
      </c>
      <c r="I17" s="35">
        <v>43955.666666666664</v>
      </c>
      <c r="J17" s="33">
        <v>130.83</v>
      </c>
      <c r="K17" s="39">
        <v>43966.625</v>
      </c>
      <c r="L17" s="33">
        <f>IFERROR(__xludf.DUMMYFUNCTION("GOOGLEFINANCE($E43,""price"")"),134.12)</f>
        <v>134.12</v>
      </c>
    </row>
    <row r="18">
      <c r="A18" s="30"/>
      <c r="B18" s="30"/>
      <c r="C18" s="12" t="s">
        <v>35</v>
      </c>
      <c r="D18" s="37" t="str">
        <f>IFERROR(__xludf.DUMMYFUNCTION("GOOGLEFINANCE($E18, ""name"")"),"iShares Barclays 20+ Yr Treas.Bond")</f>
        <v>iShares Barclays 20+ Yr Treas.Bond</v>
      </c>
      <c r="E18" s="14" t="s">
        <v>36</v>
      </c>
      <c r="F18" s="15">
        <v>30000.0</v>
      </c>
      <c r="G18" s="15">
        <v>30000.0</v>
      </c>
      <c r="H18" s="16">
        <f>round(G18/J19,2)</f>
        <v>179.47</v>
      </c>
      <c r="I18" s="18" t="str">
        <f>IFERROR(__xludf.DUMMYFUNCTION("GOOGLEFINANCE($E18,""price"",""5/4/2020"")"),"Date")</f>
        <v>Date</v>
      </c>
      <c r="J18" s="18" t="str">
        <f>IFERROR(__xludf.DUMMYFUNCTION("""COMPUTED_VALUE"""),"Close")</f>
        <v>Close</v>
      </c>
      <c r="K18" s="18" t="str">
        <f>IFERROR(__xludf.DUMMYFUNCTION("GOOGLEFINANCE($E45,""price"",""05/15/2020"")"),"Date")</f>
        <v>Date</v>
      </c>
      <c r="L18" s="18" t="str">
        <f>IFERROR(__xludf.DUMMYFUNCTION("""COMPUTED_VALUE"""),"Close")</f>
        <v>Close</v>
      </c>
      <c r="M18" s="19">
        <f>round(L19*H18,2)</f>
        <v>29919.44</v>
      </c>
      <c r="N18" s="28">
        <f>O18</f>
        <v>-80.56</v>
      </c>
      <c r="O18" s="28">
        <f>M18-G18</f>
        <v>-80.56</v>
      </c>
      <c r="P18" s="29">
        <f> round(N18*100/F18,2)</f>
        <v>-0.27</v>
      </c>
    </row>
    <row r="19">
      <c r="A19" s="30"/>
      <c r="B19" s="30"/>
      <c r="I19" s="25">
        <f>IFERROR(__xludf.DUMMYFUNCTION("""COMPUTED_VALUE"""),43955.66666666667)</f>
        <v>43955.66667</v>
      </c>
      <c r="J19" s="18">
        <f>IFERROR(__xludf.DUMMYFUNCTION("""COMPUTED_VALUE"""),167.16)</f>
        <v>167.16</v>
      </c>
      <c r="K19" s="25">
        <f>IFERROR(__xludf.DUMMYFUNCTION("""COMPUTED_VALUE"""),43966.66666666667)</f>
        <v>43966.66667</v>
      </c>
      <c r="L19" s="18">
        <f>IFERROR(__xludf.DUMMYFUNCTION("""COMPUTED_VALUE"""),166.71)</f>
        <v>166.71</v>
      </c>
    </row>
    <row r="20">
      <c r="A20" s="30"/>
      <c r="B20" s="30"/>
      <c r="C20" s="12" t="s">
        <v>35</v>
      </c>
      <c r="D20" s="37" t="str">
        <f>IFERROR(__xludf.DUMMYFUNCTION("GOOGLEFINANCE($E20, ""name"")"),"iShares iBoxx $ High Yid Corp Bond")</f>
        <v>iShares iBoxx $ High Yid Corp Bond</v>
      </c>
      <c r="E20" s="14" t="s">
        <v>37</v>
      </c>
      <c r="F20" s="15">
        <v>20000.0</v>
      </c>
      <c r="G20" s="15">
        <v>20000.0</v>
      </c>
      <c r="H20" s="16">
        <f>round(G20/J21,2)</f>
        <v>254.55</v>
      </c>
      <c r="I20" s="18" t="str">
        <f>IFERROR(__xludf.DUMMYFUNCTION("GOOGLEFINANCE($E20,""price"",""5/4/2020"")"),"Date")</f>
        <v>Date</v>
      </c>
      <c r="J20" s="18" t="str">
        <f>IFERROR(__xludf.DUMMYFUNCTION("""COMPUTED_VALUE"""),"Close")</f>
        <v>Close</v>
      </c>
      <c r="K20" s="18" t="str">
        <f>IFERROR(__xludf.DUMMYFUNCTION("GOOGLEFINANCE($E47,""price"",""05/15/2020"")"),"Date")</f>
        <v>Date</v>
      </c>
      <c r="L20" s="18" t="str">
        <f>IFERROR(__xludf.DUMMYFUNCTION("""COMPUTED_VALUE"""),"Close")</f>
        <v>Close</v>
      </c>
      <c r="M20" s="19">
        <f>round(L21*H20,2)</f>
        <v>20035.63</v>
      </c>
      <c r="N20" s="41">
        <f>O20</f>
        <v>35.63</v>
      </c>
      <c r="O20" s="21">
        <f>M20-G20</f>
        <v>35.63</v>
      </c>
      <c r="P20" s="42">
        <f> round(N20*100/F20,2)</f>
        <v>0.18</v>
      </c>
    </row>
    <row r="21">
      <c r="A21" s="30"/>
      <c r="B21" s="30"/>
      <c r="I21" s="25">
        <f>IFERROR(__xludf.DUMMYFUNCTION("""COMPUTED_VALUE"""),43955.66666666667)</f>
        <v>43955.66667</v>
      </c>
      <c r="J21" s="18">
        <f>IFERROR(__xludf.DUMMYFUNCTION("""COMPUTED_VALUE"""),78.57)</f>
        <v>78.57</v>
      </c>
      <c r="K21" s="25">
        <f>IFERROR(__xludf.DUMMYFUNCTION("""COMPUTED_VALUE"""),43966.66666666667)</f>
        <v>43966.66667</v>
      </c>
      <c r="L21" s="18">
        <f>IFERROR(__xludf.DUMMYFUNCTION("""COMPUTED_VALUE"""),78.71)</f>
        <v>78.71</v>
      </c>
    </row>
    <row r="22">
      <c r="A22" s="30"/>
      <c r="B22" s="30"/>
      <c r="C22" s="12" t="s">
        <v>38</v>
      </c>
      <c r="D22" s="43" t="s">
        <v>38</v>
      </c>
      <c r="E22" s="14" t="s">
        <v>39</v>
      </c>
      <c r="F22" s="15">
        <v>700000.0</v>
      </c>
      <c r="G22" s="15">
        <v>700000.0</v>
      </c>
      <c r="H22" s="44" t="s">
        <v>39</v>
      </c>
      <c r="I22" s="33" t="s">
        <v>39</v>
      </c>
      <c r="K22" s="33" t="s">
        <v>39</v>
      </c>
      <c r="M22" s="12">
        <f>round(G22*(1+ 7/36500),2)</f>
        <v>700134.25</v>
      </c>
      <c r="N22" s="45">
        <v>134.0</v>
      </c>
      <c r="O22" s="21">
        <f>M22-G22</f>
        <v>134.25</v>
      </c>
      <c r="P22" s="42">
        <f> round(N22*100/F22,2)</f>
        <v>0.02</v>
      </c>
    </row>
    <row r="23">
      <c r="A23" s="30"/>
      <c r="B23" s="30"/>
    </row>
    <row r="24">
      <c r="A24" s="30"/>
      <c r="B24" s="30"/>
      <c r="C24" s="46" t="s">
        <v>40</v>
      </c>
      <c r="D24" s="47"/>
      <c r="E24" s="47"/>
      <c r="F24" s="48">
        <f>SUM(F4:F23)</f>
        <v>1000000</v>
      </c>
      <c r="G24" s="47"/>
      <c r="H24" s="47"/>
      <c r="I24" s="47"/>
      <c r="J24" s="47"/>
      <c r="K24" s="47"/>
      <c r="L24" s="47"/>
      <c r="M24" s="47"/>
      <c r="N24" s="49">
        <f>SUM(N4:N23)</f>
        <v>6480.158759</v>
      </c>
      <c r="O24" s="50"/>
      <c r="P24" s="50"/>
    </row>
    <row r="28">
      <c r="A28" s="51"/>
      <c r="B28" s="52"/>
      <c r="C28" s="51"/>
      <c r="D28" s="51"/>
      <c r="E28" s="51"/>
      <c r="F28" s="53" t="s">
        <v>41</v>
      </c>
      <c r="I28" s="51"/>
      <c r="J28" s="51"/>
      <c r="K28" s="51"/>
      <c r="L28" s="51"/>
      <c r="M28" s="51"/>
      <c r="N28" s="51"/>
      <c r="O28" s="51"/>
      <c r="P28" s="51"/>
    </row>
    <row r="29">
      <c r="A29" s="55" t="s">
        <v>1</v>
      </c>
      <c r="C29" s="57"/>
      <c r="D29" s="57"/>
      <c r="E29" s="57"/>
      <c r="F29" s="58" t="s">
        <v>45</v>
      </c>
      <c r="H29" s="57"/>
      <c r="I29" s="57"/>
      <c r="J29" s="57"/>
      <c r="K29" s="57"/>
      <c r="L29" s="57"/>
      <c r="M29" s="57"/>
      <c r="N29" s="58" t="s">
        <v>3</v>
      </c>
      <c r="P29" s="57"/>
    </row>
    <row r="30">
      <c r="A30" s="59" t="s">
        <v>4</v>
      </c>
      <c r="C30" s="60" t="s">
        <v>5</v>
      </c>
      <c r="D30" s="60" t="s">
        <v>6</v>
      </c>
      <c r="E30" s="60" t="s">
        <v>7</v>
      </c>
      <c r="F30" s="60" t="s">
        <v>8</v>
      </c>
      <c r="G30" s="60" t="s">
        <v>9</v>
      </c>
      <c r="H30" s="60" t="s">
        <v>10</v>
      </c>
      <c r="I30" s="61" t="s">
        <v>11</v>
      </c>
      <c r="K30" s="61" t="s">
        <v>12</v>
      </c>
      <c r="M30" s="60" t="s">
        <v>13</v>
      </c>
      <c r="N30" s="61" t="s">
        <v>14</v>
      </c>
      <c r="O30" s="60" t="s">
        <v>15</v>
      </c>
      <c r="P30" s="60" t="s">
        <v>16</v>
      </c>
    </row>
    <row r="31">
      <c r="A31" s="11" t="str">
        <f>IFERROR(__xludf.DUMMYFUNCTION("GOOGLEFINANCE(""currency:EURUSD"", ""price"",DATE(2020,5,11))"),"Date")</f>
        <v>Date</v>
      </c>
      <c r="B31" s="11" t="str">
        <f>IFERROR(__xludf.DUMMYFUNCTION("""COMPUTED_VALUE"""),"Close")</f>
        <v>Close</v>
      </c>
      <c r="C31" s="62" t="s">
        <v>17</v>
      </c>
      <c r="D31" s="63" t="str">
        <f>IFERROR(__xludf.DUMMYFUNCTION("GOOGLEFINANCE($E31, ""name"")"),"S&amp;P 500 Index")</f>
        <v>S&amp;P 500 Index</v>
      </c>
      <c r="E31" s="63" t="s">
        <v>18</v>
      </c>
      <c r="F31" s="64">
        <v>30000.0</v>
      </c>
      <c r="G31" s="64">
        <f>F31</f>
        <v>30000</v>
      </c>
      <c r="H31" s="65">
        <f>round((G31)/J32,2)</f>
        <v>10.24</v>
      </c>
      <c r="I31" s="66" t="str">
        <f>IFERROR(__xludf.DUMMYFUNCTION("GOOGLEFINANCE($E31,""price"",""5/11/2020"")"),"Date")</f>
        <v>Date</v>
      </c>
      <c r="J31" s="67" t="str">
        <f>IFERROR(__xludf.DUMMYFUNCTION("""COMPUTED_VALUE"""),"Close")</f>
        <v>Close</v>
      </c>
      <c r="K31" s="67" t="str">
        <f>IFERROR(__xludf.DUMMYFUNCTION("GOOGLEFINANCE($E31,""price"",""05/15/2020"")"),"Date")</f>
        <v>Date</v>
      </c>
      <c r="L31" s="67" t="str">
        <f>IFERROR(__xludf.DUMMYFUNCTION("""COMPUTED_VALUE"""),"Close")</f>
        <v>Close</v>
      </c>
      <c r="M31" s="68">
        <f>round(L32*H31,2)</f>
        <v>29324.29</v>
      </c>
      <c r="N31" s="27">
        <f>M31-G31</f>
        <v>-675.71</v>
      </c>
      <c r="O31" s="27">
        <f>M31-G31</f>
        <v>-675.71</v>
      </c>
      <c r="P31" s="29">
        <f> round(N31*100/F31,2)</f>
        <v>-2.25</v>
      </c>
    </row>
    <row r="32">
      <c r="A32" s="23">
        <f>IFERROR(__xludf.DUMMYFUNCTION("""COMPUTED_VALUE"""),43962.99861111111)</f>
        <v>43962.99861</v>
      </c>
      <c r="B32" s="24">
        <f>IFERROR(__xludf.DUMMYFUNCTION("""COMPUTED_VALUE"""),1.08105)</f>
        <v>1.08105</v>
      </c>
      <c r="I32" s="69">
        <f>IFERROR(__xludf.DUMMYFUNCTION("""COMPUTED_VALUE"""),43962.66666666667)</f>
        <v>43962.66667</v>
      </c>
      <c r="J32" s="70">
        <f>IFERROR(__xludf.DUMMYFUNCTION("""COMPUTED_VALUE"""),2930.32)</f>
        <v>2930.32</v>
      </c>
      <c r="K32" s="69">
        <f>IFERROR(__xludf.DUMMYFUNCTION("""COMPUTED_VALUE"""),43966.66666666667)</f>
        <v>43966.66667</v>
      </c>
      <c r="L32" s="70">
        <f>IFERROR(__xludf.DUMMYFUNCTION("""COMPUTED_VALUE"""),2863.7)</f>
        <v>2863.7</v>
      </c>
    </row>
    <row r="33">
      <c r="A33" s="11" t="str">
        <f>IFERROR(__xludf.DUMMYFUNCTION("GOOGLEFINANCE(""currency:EURUSD"", ""price"",DATE(2020,5,16))"),"Date")</f>
        <v>Date</v>
      </c>
      <c r="B33" s="11" t="str">
        <f>IFERROR(__xludf.DUMMYFUNCTION("""COMPUTED_VALUE"""),"Close")</f>
        <v>Close</v>
      </c>
      <c r="C33" s="62" t="s">
        <v>17</v>
      </c>
      <c r="D33" s="63" t="str">
        <f>IFERROR(__xludf.DUMMYFUNCTION("GOOGLEFINANCE($E33, ""name"")"),"NASDAQ-100")</f>
        <v>NASDAQ-100</v>
      </c>
      <c r="E33" s="63" t="s">
        <v>19</v>
      </c>
      <c r="F33" s="64">
        <v>50000.0</v>
      </c>
      <c r="G33" s="64">
        <f>F33</f>
        <v>50000</v>
      </c>
      <c r="H33" s="65">
        <f>round((G33)/J34,2)</f>
        <v>5.38</v>
      </c>
      <c r="I33" s="67" t="str">
        <f>IFERROR(__xludf.DUMMYFUNCTION("GOOGLEFINANCE($E33,""price"",""5/11/2020"")"),"Date")</f>
        <v>Date</v>
      </c>
      <c r="J33" s="67" t="str">
        <f>IFERROR(__xludf.DUMMYFUNCTION("""COMPUTED_VALUE"""),"Close")</f>
        <v>Close</v>
      </c>
      <c r="K33" s="67" t="str">
        <f>IFERROR(__xludf.DUMMYFUNCTION("GOOGLEFINANCE($E33,""price"",""05/15/2020"")"),"Date")</f>
        <v>Date</v>
      </c>
      <c r="L33" s="67" t="str">
        <f>IFERROR(__xludf.DUMMYFUNCTION("""COMPUTED_VALUE"""),"Close")</f>
        <v>Close</v>
      </c>
      <c r="M33" s="68">
        <f>round(L34*H33,2)</f>
        <v>49241.2</v>
      </c>
      <c r="N33" s="27">
        <f>M33-G33</f>
        <v>-758.8</v>
      </c>
      <c r="O33" s="27">
        <f>M33-G33</f>
        <v>-758.8</v>
      </c>
      <c r="P33" s="29">
        <f> round(N33*100/F33,2)</f>
        <v>-1.52</v>
      </c>
    </row>
    <row r="34">
      <c r="A34" s="23">
        <f>IFERROR(__xludf.DUMMYFUNCTION("""COMPUTED_VALUE"""),43967.99861111111)</f>
        <v>43967.99861</v>
      </c>
      <c r="B34" s="24">
        <f>IFERROR(__xludf.DUMMYFUNCTION("""COMPUTED_VALUE"""),1.081895)</f>
        <v>1.081895</v>
      </c>
      <c r="I34" s="69">
        <f>IFERROR(__xludf.DUMMYFUNCTION("""COMPUTED_VALUE"""),43962.66666666667)</f>
        <v>43962.66667</v>
      </c>
      <c r="J34" s="70">
        <f>IFERROR(__xludf.DUMMYFUNCTION("""COMPUTED_VALUE"""),9298.92)</f>
        <v>9298.92</v>
      </c>
      <c r="K34" s="69">
        <f>IFERROR(__xludf.DUMMYFUNCTION("""COMPUTED_VALUE"""),43966.66666666667)</f>
        <v>43966.66667</v>
      </c>
      <c r="L34" s="70">
        <f>IFERROR(__xludf.DUMMYFUNCTION("""COMPUTED_VALUE"""),9152.64)</f>
        <v>9152.64</v>
      </c>
    </row>
    <row r="35">
      <c r="A35" s="59" t="s">
        <v>20</v>
      </c>
      <c r="C35" s="62" t="s">
        <v>21</v>
      </c>
      <c r="D35" s="63" t="str">
        <f>IFERROR(__xludf.DUMMYFUNCTION("GOOGLEFINANCE(""indexdb:DAX"", ""name"")"),"DAX PERFORMANCE-INDEX")</f>
        <v>DAX PERFORMANCE-INDEX</v>
      </c>
      <c r="E35" s="63" t="s">
        <v>22</v>
      </c>
      <c r="F35" s="64">
        <v>30000.0</v>
      </c>
      <c r="G35" s="64">
        <f>F35/B32</f>
        <v>27750.79784</v>
      </c>
      <c r="H35" s="65">
        <f>round((G35)/J36,2)</f>
        <v>2.56</v>
      </c>
      <c r="I35" s="66" t="str">
        <f>IFERROR(__xludf.DUMMYFUNCTION("GOOGLEFINANCE(""indexdb:DAX"",""price"",""5/11/2020"")"),"Date")</f>
        <v>Date</v>
      </c>
      <c r="J35" s="67" t="str">
        <f>IFERROR(__xludf.DUMMYFUNCTION("""COMPUTED_VALUE"""),"Close")</f>
        <v>Close</v>
      </c>
      <c r="K35" s="67" t="str">
        <f>IFERROR(__xludf.DUMMYFUNCTION("GOOGLEFINANCE(""indexdb:DAX"",""price"",""5/15/2020"")"),"Date")</f>
        <v>Date</v>
      </c>
      <c r="L35" s="67" t="str">
        <f>IFERROR(__xludf.DUMMYFUNCTION("""COMPUTED_VALUE"""),"Close")</f>
        <v>Close</v>
      </c>
      <c r="M35" s="68">
        <f>round(L36*H35,2)</f>
        <v>26790.84</v>
      </c>
      <c r="N35" s="27">
        <f>O35*B34</f>
        <v>-1038.573582</v>
      </c>
      <c r="O35" s="27">
        <f>M35-G35</f>
        <v>-959.9578354</v>
      </c>
      <c r="P35" s="29">
        <f> round(N35*100/F35,2)</f>
        <v>-3.46</v>
      </c>
    </row>
    <row r="36">
      <c r="A36" s="11" t="str">
        <f>IFERROR(__xludf.DUMMYFUNCTION("GOOGLEFINANCE(""currency:JPYUSD"", ""price"",DATE(2020,5,11))"),"Date")</f>
        <v>Date</v>
      </c>
      <c r="B36" s="11" t="str">
        <f>IFERROR(__xludf.DUMMYFUNCTION("""COMPUTED_VALUE"""),"Close")</f>
        <v>Close</v>
      </c>
      <c r="I36" s="69">
        <f>IFERROR(__xludf.DUMMYFUNCTION("""COMPUTED_VALUE"""),43962.83333333333)</f>
        <v>43962.83333</v>
      </c>
      <c r="J36" s="70">
        <f>IFERROR(__xludf.DUMMYFUNCTION("""COMPUTED_VALUE"""),10824.99)</f>
        <v>10824.99</v>
      </c>
      <c r="K36" s="69">
        <f>IFERROR(__xludf.DUMMYFUNCTION("""COMPUTED_VALUE"""),43966.83333333333)</f>
        <v>43966.83333</v>
      </c>
      <c r="L36" s="70">
        <f>IFERROR(__xludf.DUMMYFUNCTION("""COMPUTED_VALUE"""),10465.17)</f>
        <v>10465.17</v>
      </c>
    </row>
    <row r="37">
      <c r="A37" s="23">
        <f>IFERROR(__xludf.DUMMYFUNCTION("""COMPUTED_VALUE"""),43962.99861111111)</f>
        <v>43962.99861</v>
      </c>
      <c r="B37" s="24">
        <f>IFERROR(__xludf.DUMMYFUNCTION("""COMPUTED_VALUE"""),0.009297)</f>
        <v>0.009297</v>
      </c>
      <c r="C37" s="62" t="s">
        <v>23</v>
      </c>
      <c r="D37" s="63" t="str">
        <f>IFERROR(__xludf.DUMMYFUNCTION("GOOGLEFINANCE($E37, ""name"")"),"Nikkei 225")</f>
        <v>Nikkei 225</v>
      </c>
      <c r="E37" s="63" t="s">
        <v>24</v>
      </c>
      <c r="F37" s="64">
        <v>40000.0</v>
      </c>
      <c r="G37" s="64">
        <f>60000/B37</f>
        <v>6453694.74</v>
      </c>
      <c r="H37" s="65">
        <f>round((G37)/J38,2)</f>
        <v>316.5</v>
      </c>
      <c r="I37" s="67" t="str">
        <f>IFERROR(__xludf.DUMMYFUNCTION("GOOGLEFINANCE($E37,""price"",""5/10/2020"")"),"Date")</f>
        <v>Date</v>
      </c>
      <c r="J37" s="67" t="str">
        <f>IFERROR(__xludf.DUMMYFUNCTION("""COMPUTED_VALUE"""),"Close")</f>
        <v>Close</v>
      </c>
      <c r="K37" s="67" t="str">
        <f>IFERROR(__xludf.DUMMYFUNCTION("GOOGLEFINANCE($E37,""price"",""05/14/2020"")"),"Date")</f>
        <v>Date</v>
      </c>
      <c r="L37" s="67" t="str">
        <f>IFERROR(__xludf.DUMMYFUNCTION("""COMPUTED_VALUE"""),"Close")</f>
        <v>Close</v>
      </c>
      <c r="M37" s="68">
        <f>round(L38*H37,2)</f>
        <v>6341859.26</v>
      </c>
      <c r="N37" s="27">
        <f>O37*B39</f>
        <v>-1044.669089</v>
      </c>
      <c r="O37" s="27">
        <f>M37-G37</f>
        <v>-111835.4802</v>
      </c>
      <c r="P37" s="29">
        <f> round(N37*100/F37,2)</f>
        <v>-2.61</v>
      </c>
    </row>
    <row r="38">
      <c r="A38" s="11" t="str">
        <f>IFERROR(__xludf.DUMMYFUNCTION("GOOGLEFINANCE(""currency:JPYUSD"", ""price"",DATE(2020,5,16))"),"Date")</f>
        <v>Date</v>
      </c>
      <c r="B38" s="11" t="str">
        <f>IFERROR(__xludf.DUMMYFUNCTION("""COMPUTED_VALUE"""),"Close")</f>
        <v>Close</v>
      </c>
      <c r="I38" s="69">
        <f>IFERROR(__xludf.DUMMYFUNCTION("""COMPUTED_VALUE"""),43962.625)</f>
        <v>43962.625</v>
      </c>
      <c r="J38" s="70">
        <f>IFERROR(__xludf.DUMMYFUNCTION("""COMPUTED_VALUE"""),20390.66)</f>
        <v>20390.66</v>
      </c>
      <c r="K38" s="69">
        <f>IFERROR(__xludf.DUMMYFUNCTION("""COMPUTED_VALUE"""),43966.625)</f>
        <v>43966.625</v>
      </c>
      <c r="L38" s="70">
        <f>IFERROR(__xludf.DUMMYFUNCTION("""COMPUTED_VALUE"""),20037.47)</f>
        <v>20037.47</v>
      </c>
    </row>
    <row r="39">
      <c r="A39" s="23">
        <f>IFERROR(__xludf.DUMMYFUNCTION("""COMPUTED_VALUE"""),43967.99861111111)</f>
        <v>43967.99861</v>
      </c>
      <c r="B39" s="24">
        <f>IFERROR(__xludf.DUMMYFUNCTION("""COMPUTED_VALUE"""),0.009341124)</f>
        <v>0.009341124</v>
      </c>
      <c r="C39" s="62" t="s">
        <v>25</v>
      </c>
      <c r="D39" s="63" t="s">
        <v>26</v>
      </c>
      <c r="E39" s="71" t="s">
        <v>27</v>
      </c>
      <c r="F39" s="64">
        <v>30000.0</v>
      </c>
      <c r="G39" s="64">
        <f>50000/B42</f>
        <v>354950.0266</v>
      </c>
      <c r="H39" s="65">
        <f>round((G39)/J40,2)</f>
        <v>122.59</v>
      </c>
      <c r="I39" s="67" t="s">
        <v>28</v>
      </c>
      <c r="J39" s="67" t="s">
        <v>29</v>
      </c>
      <c r="K39" s="67" t="s">
        <v>28</v>
      </c>
      <c r="L39" s="67" t="s">
        <v>29</v>
      </c>
      <c r="M39" s="68">
        <f>round(L40*H39,2)</f>
        <v>351644.51</v>
      </c>
      <c r="N39" s="27">
        <f>O39*B44</f>
        <v>-465.421363</v>
      </c>
      <c r="O39" s="27">
        <f>M39-G39</f>
        <v>-3305.516586</v>
      </c>
      <c r="P39" s="29">
        <f> round(N39*100/F39,2)</f>
        <v>-1.55</v>
      </c>
    </row>
    <row r="40">
      <c r="A40" s="72" t="s">
        <v>30</v>
      </c>
      <c r="I40" s="73">
        <v>43951.666666666664</v>
      </c>
      <c r="J40" s="70">
        <v>2895.51</v>
      </c>
      <c r="K40" s="74">
        <v>43962.625</v>
      </c>
      <c r="L40" s="70">
        <f>IFERROR(__xludf.DUMMYFUNCTION("IMPORTXML(""https://www.bloomberg.com/quote/SHCOMP:IND/"", ""//span[@class = 'priceText__1853e8a5']"")*1"),2868.46)</f>
        <v>2868.46</v>
      </c>
    </row>
    <row r="41">
      <c r="A41" s="75" t="str">
        <f>IFERROR(__xludf.DUMMYFUNCTION("GOOGLEFINANCE(""currency:CNYUSD"", ""price"",DATE(2020,5,11))"),"Date")</f>
        <v>Date</v>
      </c>
      <c r="B41" s="11" t="str">
        <f>IFERROR(__xludf.DUMMYFUNCTION("""COMPUTED_VALUE"""),"Close")</f>
        <v>Close</v>
      </c>
      <c r="C41" s="62" t="s">
        <v>31</v>
      </c>
      <c r="D41" s="76" t="str">
        <f>IFERROR(__xludf.DUMMYFUNCTION("GOOGLEFINANCE($E41, ""name"")"),"S&amp;P GSCI Crude Oil ER")</f>
        <v>S&amp;P GSCI Crude Oil ER</v>
      </c>
      <c r="E41" s="63" t="s">
        <v>32</v>
      </c>
      <c r="F41" s="64">
        <v>20000.0</v>
      </c>
      <c r="G41" s="64">
        <f>F41</f>
        <v>20000</v>
      </c>
      <c r="H41" s="65">
        <f>round((G41)/J42,2)</f>
        <v>488.76</v>
      </c>
      <c r="I41" s="67" t="s">
        <v>28</v>
      </c>
      <c r="J41" s="67" t="s">
        <v>29</v>
      </c>
      <c r="K41" s="67" t="s">
        <v>28</v>
      </c>
      <c r="L41" s="67" t="s">
        <v>29</v>
      </c>
      <c r="M41" s="68">
        <f>round(L42*H41,2)</f>
        <v>22717.56</v>
      </c>
      <c r="N41" s="77">
        <f>O41</f>
        <v>2717.56</v>
      </c>
      <c r="O41" s="77">
        <f>M41-G41</f>
        <v>2717.56</v>
      </c>
      <c r="P41" s="78">
        <f> round(N41*100/F41,2)</f>
        <v>13.59</v>
      </c>
    </row>
    <row r="42">
      <c r="A42" s="23">
        <f>IFERROR(__xludf.DUMMYFUNCTION("""COMPUTED_VALUE"""),43962.99861111111)</f>
        <v>43962.99861</v>
      </c>
      <c r="B42" s="24">
        <f>IFERROR(__xludf.DUMMYFUNCTION("""COMPUTED_VALUE"""),0.1408649)</f>
        <v>0.1408649</v>
      </c>
      <c r="I42" s="74">
        <v>43962.666666666664</v>
      </c>
      <c r="J42" s="70">
        <v>40.92</v>
      </c>
      <c r="K42" s="74">
        <v>43966.625</v>
      </c>
      <c r="L42" s="70">
        <f>IFERROR(__xludf.DUMMYFUNCTION("GOOGLEFINANCE($E41,""price"")"),46.48)</f>
        <v>46.48</v>
      </c>
    </row>
    <row r="43">
      <c r="A43" s="11" t="str">
        <f>IFERROR(__xludf.DUMMYFUNCTION("GOOGLEFINANCE(""currency:CNYUSD"", ""price"",DATE(2020,5,16))"),"Date")</f>
        <v>Date</v>
      </c>
      <c r="B43" s="11" t="str">
        <f>IFERROR(__xludf.DUMMYFUNCTION("""COMPUTED_VALUE"""),"Close")</f>
        <v>Close</v>
      </c>
      <c r="C43" s="62" t="s">
        <v>31</v>
      </c>
      <c r="D43" s="76" t="str">
        <f>IFERROR(__xludf.DUMMYFUNCTION("GOOGLEFINANCE($E43, ""name"")"),"S&amp;P GSCI Gold ER")</f>
        <v>S&amp;P GSCI Gold ER</v>
      </c>
      <c r="E43" s="63" t="s">
        <v>34</v>
      </c>
      <c r="F43" s="64">
        <v>0.0</v>
      </c>
      <c r="G43" s="64">
        <f>F43</f>
        <v>0</v>
      </c>
      <c r="H43" s="65">
        <f>round((G43)/J44,2)</f>
        <v>0</v>
      </c>
      <c r="I43" s="67" t="s">
        <v>28</v>
      </c>
      <c r="J43" s="67" t="s">
        <v>29</v>
      </c>
      <c r="K43" s="67" t="s">
        <v>28</v>
      </c>
      <c r="L43" s="67" t="s">
        <v>29</v>
      </c>
      <c r="M43" s="68">
        <f>round(L44*H43,2)</f>
        <v>0</v>
      </c>
      <c r="N43" s="77">
        <f>O43</f>
        <v>0</v>
      </c>
      <c r="O43" s="77">
        <f>M43-G43</f>
        <v>0</v>
      </c>
      <c r="P43" s="78">
        <v>0.0</v>
      </c>
    </row>
    <row r="44">
      <c r="A44" s="23">
        <f>IFERROR(__xludf.DUMMYFUNCTION("""COMPUTED_VALUE"""),43967.99861111111)</f>
        <v>43967.99861</v>
      </c>
      <c r="B44" s="24">
        <f>IFERROR(__xludf.DUMMYFUNCTION("""COMPUTED_VALUE"""),0.1408014)</f>
        <v>0.1408014</v>
      </c>
      <c r="I44" s="69">
        <v>43955.666666666664</v>
      </c>
      <c r="J44" s="70">
        <v>130.83</v>
      </c>
      <c r="K44" s="74">
        <v>43962.625</v>
      </c>
      <c r="L44" s="70">
        <f>IFERROR(__xludf.DUMMYFUNCTION("GOOGLEFINANCE($E43,""price"")"),134.12)</f>
        <v>134.12</v>
      </c>
    </row>
    <row r="45">
      <c r="A45" s="11"/>
      <c r="B45" s="11"/>
      <c r="C45" s="62" t="s">
        <v>35</v>
      </c>
      <c r="D45" s="76" t="str">
        <f>IFERROR(__xludf.DUMMYFUNCTION("GOOGLEFINANCE($E45, ""name"")"),"iShares Barclays 20+ Yr Treas.Bond")</f>
        <v>iShares Barclays 20+ Yr Treas.Bond</v>
      </c>
      <c r="E45" s="63" t="s">
        <v>36</v>
      </c>
      <c r="F45" s="64">
        <v>0.0</v>
      </c>
      <c r="G45" s="64">
        <f>F45</f>
        <v>0</v>
      </c>
      <c r="H45" s="65">
        <f>round((G45)/J46,2)</f>
        <v>0</v>
      </c>
      <c r="I45" s="67" t="str">
        <f>IFERROR(__xludf.DUMMYFUNCTION("GOOGLEFINANCE($E45,""price"",""5/4/2020"")"),"Date")</f>
        <v>Date</v>
      </c>
      <c r="J45" s="67" t="str">
        <f>IFERROR(__xludf.DUMMYFUNCTION("""COMPUTED_VALUE"""),"Close")</f>
        <v>Close</v>
      </c>
      <c r="K45" s="67" t="str">
        <f>IFERROR(__xludf.DUMMYFUNCTION("GOOGLEFINANCE($E45,""price"",""05/15/2020"")"),"Date")</f>
        <v>Date</v>
      </c>
      <c r="L45" s="67" t="str">
        <f>IFERROR(__xludf.DUMMYFUNCTION("""COMPUTED_VALUE"""),"Close")</f>
        <v>Close</v>
      </c>
      <c r="M45" s="68">
        <f>round(L46*H45,2)</f>
        <v>0</v>
      </c>
      <c r="N45" s="20">
        <f>O45</f>
        <v>0</v>
      </c>
      <c r="O45" s="20">
        <f>M45-G45</f>
        <v>0</v>
      </c>
      <c r="P45" s="22">
        <v>0.0</v>
      </c>
    </row>
    <row r="46">
      <c r="A46" s="11"/>
      <c r="B46" s="11"/>
      <c r="I46" s="69">
        <f>IFERROR(__xludf.DUMMYFUNCTION("""COMPUTED_VALUE"""),43955.66666666667)</f>
        <v>43955.66667</v>
      </c>
      <c r="J46" s="70">
        <f>IFERROR(__xludf.DUMMYFUNCTION("""COMPUTED_VALUE"""),167.16)</f>
        <v>167.16</v>
      </c>
      <c r="K46" s="69">
        <f>IFERROR(__xludf.DUMMYFUNCTION("""COMPUTED_VALUE"""),43966.66666666667)</f>
        <v>43966.66667</v>
      </c>
      <c r="L46" s="70">
        <f>IFERROR(__xludf.DUMMYFUNCTION("""COMPUTED_VALUE"""),166.71)</f>
        <v>166.71</v>
      </c>
    </row>
    <row r="47">
      <c r="A47" s="11"/>
      <c r="B47" s="11"/>
      <c r="C47" s="62" t="s">
        <v>35</v>
      </c>
      <c r="D47" s="76" t="str">
        <f>IFERROR(__xludf.DUMMYFUNCTION("GOOGLEFINANCE($E47, ""name"")"),"iShares iBoxx $ High Yid Corp Bond")</f>
        <v>iShares iBoxx $ High Yid Corp Bond</v>
      </c>
      <c r="E47" s="63" t="s">
        <v>37</v>
      </c>
      <c r="F47" s="64">
        <v>10000.0</v>
      </c>
      <c r="G47" s="64">
        <f>F47</f>
        <v>10000</v>
      </c>
      <c r="H47" s="65">
        <f>round((G47)/J48,2)</f>
        <v>125.96</v>
      </c>
      <c r="I47" s="67" t="str">
        <f>IFERROR(__xludf.DUMMYFUNCTION("GOOGLEFINANCE($E47,""price"",""5/11/2020"")"),"Date")</f>
        <v>Date</v>
      </c>
      <c r="J47" s="67" t="str">
        <f>IFERROR(__xludf.DUMMYFUNCTION("""COMPUTED_VALUE"""),"Close")</f>
        <v>Close</v>
      </c>
      <c r="K47" s="67" t="str">
        <f>IFERROR(__xludf.DUMMYFUNCTION("GOOGLEFINANCE($E47,""price"",""05/15/2020"")"),"Date")</f>
        <v>Date</v>
      </c>
      <c r="L47" s="67" t="str">
        <f>IFERROR(__xludf.DUMMYFUNCTION("""COMPUTED_VALUE"""),"Close")</f>
        <v>Close</v>
      </c>
      <c r="M47" s="68">
        <f>round(L48*H47,2)</f>
        <v>9914.31</v>
      </c>
      <c r="N47" s="27">
        <f>O47</f>
        <v>-85.69</v>
      </c>
      <c r="O47" s="27">
        <f>M47-G47</f>
        <v>-85.69</v>
      </c>
      <c r="P47" s="79">
        <f> round(N47*100/F47,2)</f>
        <v>-0.86</v>
      </c>
    </row>
    <row r="48">
      <c r="A48" s="11"/>
      <c r="B48" s="11"/>
      <c r="I48" s="69">
        <f>IFERROR(__xludf.DUMMYFUNCTION("""COMPUTED_VALUE"""),43962.66666666667)</f>
        <v>43962.66667</v>
      </c>
      <c r="J48" s="70">
        <f>IFERROR(__xludf.DUMMYFUNCTION("""COMPUTED_VALUE"""),79.39)</f>
        <v>79.39</v>
      </c>
      <c r="K48" s="69">
        <f>IFERROR(__xludf.DUMMYFUNCTION("""COMPUTED_VALUE"""),43966.66666666667)</f>
        <v>43966.66667</v>
      </c>
      <c r="L48" s="70">
        <f>IFERROR(__xludf.DUMMYFUNCTION("""COMPUTED_VALUE"""),78.71)</f>
        <v>78.71</v>
      </c>
    </row>
    <row r="49">
      <c r="A49" s="11"/>
      <c r="B49" s="11"/>
      <c r="C49" s="62" t="s">
        <v>38</v>
      </c>
      <c r="D49" s="80" t="s">
        <v>38</v>
      </c>
      <c r="E49" s="63" t="s">
        <v>39</v>
      </c>
      <c r="F49" s="64">
        <v>497008.0</v>
      </c>
      <c r="G49" s="64">
        <f>F49</f>
        <v>497008</v>
      </c>
      <c r="H49" s="81" t="s">
        <v>39</v>
      </c>
      <c r="I49" s="67" t="s">
        <v>39</v>
      </c>
      <c r="K49" s="67" t="s">
        <v>39</v>
      </c>
      <c r="M49" s="68">
        <f>round(G49*(1+ 7/36500),2)</f>
        <v>497103.32</v>
      </c>
      <c r="N49" s="77">
        <f>O49</f>
        <v>95.32</v>
      </c>
      <c r="O49" s="77">
        <f>M49-G49</f>
        <v>95.32</v>
      </c>
      <c r="P49" s="82">
        <f> round(N49*100/F49,2)</f>
        <v>0.02</v>
      </c>
    </row>
    <row r="50">
      <c r="A50" s="11"/>
      <c r="B50" s="11"/>
    </row>
    <row r="51">
      <c r="A51" s="11"/>
      <c r="B51" s="11"/>
      <c r="C51" s="83" t="s">
        <v>40</v>
      </c>
      <c r="D51" s="84"/>
      <c r="E51" s="84"/>
      <c r="F51" s="81"/>
      <c r="G51" s="84"/>
      <c r="H51" s="84"/>
      <c r="I51" s="84"/>
      <c r="J51" s="84"/>
      <c r="K51" s="84"/>
      <c r="L51" s="84"/>
      <c r="M51" s="84"/>
      <c r="N51" s="85">
        <f>SUM(N31:N50)</f>
        <v>-1255.984034</v>
      </c>
      <c r="O51" s="86"/>
      <c r="P51" s="86"/>
    </row>
    <row r="53">
      <c r="I53" s="86" t="s">
        <v>42</v>
      </c>
      <c r="K53" s="87">
        <f> N24 + N51 - 'EOW 1'!N24</f>
        <v>-1783.899401</v>
      </c>
    </row>
    <row r="54">
      <c r="I54" s="86" t="s">
        <v>43</v>
      </c>
      <c r="K54" s="88">
        <f>-210000*0.05*0.01</f>
        <v>-105</v>
      </c>
    </row>
    <row r="55">
      <c r="I55" s="89" t="s">
        <v>44</v>
      </c>
      <c r="K55" s="77">
        <f> F24 + N24 + N51 + K54</f>
        <v>1005119.175</v>
      </c>
    </row>
  </sheetData>
  <mergeCells count="225">
    <mergeCell ref="D45:D46"/>
    <mergeCell ref="E45:E46"/>
    <mergeCell ref="C47:C48"/>
    <mergeCell ref="D47:D48"/>
    <mergeCell ref="E47:E48"/>
    <mergeCell ref="C49:C50"/>
    <mergeCell ref="D49:D50"/>
    <mergeCell ref="E49:E50"/>
    <mergeCell ref="F45:F46"/>
    <mergeCell ref="G45:G46"/>
    <mergeCell ref="F47:F48"/>
    <mergeCell ref="G47:G48"/>
    <mergeCell ref="H47:H48"/>
    <mergeCell ref="F49:F50"/>
    <mergeCell ref="G49:G50"/>
    <mergeCell ref="F39:F40"/>
    <mergeCell ref="G39:G40"/>
    <mergeCell ref="C37:C38"/>
    <mergeCell ref="D37:D38"/>
    <mergeCell ref="E37:E38"/>
    <mergeCell ref="F37:F38"/>
    <mergeCell ref="G37:G38"/>
    <mergeCell ref="H37:H38"/>
    <mergeCell ref="H39:H40"/>
    <mergeCell ref="C39:C40"/>
    <mergeCell ref="C41:C42"/>
    <mergeCell ref="D41:D42"/>
    <mergeCell ref="E41:E42"/>
    <mergeCell ref="F41:F42"/>
    <mergeCell ref="G41:G42"/>
    <mergeCell ref="H41:H42"/>
    <mergeCell ref="C43:C44"/>
    <mergeCell ref="D43:D44"/>
    <mergeCell ref="E43:E44"/>
    <mergeCell ref="F43:F44"/>
    <mergeCell ref="G43:G44"/>
    <mergeCell ref="H43:H44"/>
    <mergeCell ref="C45:C46"/>
    <mergeCell ref="H45:H46"/>
    <mergeCell ref="O47:O48"/>
    <mergeCell ref="P47:P48"/>
    <mergeCell ref="H49:H50"/>
    <mergeCell ref="I49:J50"/>
    <mergeCell ref="K49:L50"/>
    <mergeCell ref="M49:M50"/>
    <mergeCell ref="N49:N50"/>
    <mergeCell ref="O49:O50"/>
    <mergeCell ref="P49:P50"/>
    <mergeCell ref="I53:J53"/>
    <mergeCell ref="I54:J54"/>
    <mergeCell ref="I55:J55"/>
    <mergeCell ref="F1:H1"/>
    <mergeCell ref="A2:B2"/>
    <mergeCell ref="F2:G2"/>
    <mergeCell ref="N2:O2"/>
    <mergeCell ref="A3:B3"/>
    <mergeCell ref="I3:J3"/>
    <mergeCell ref="K3:L3"/>
    <mergeCell ref="N4:N5"/>
    <mergeCell ref="O4:O5"/>
    <mergeCell ref="P4:P5"/>
    <mergeCell ref="C4:C5"/>
    <mergeCell ref="D4:D5"/>
    <mergeCell ref="E4:E5"/>
    <mergeCell ref="F4:F5"/>
    <mergeCell ref="G4:G5"/>
    <mergeCell ref="H4:H5"/>
    <mergeCell ref="M4:M5"/>
    <mergeCell ref="D6:D7"/>
    <mergeCell ref="E6:E7"/>
    <mergeCell ref="F6:F7"/>
    <mergeCell ref="G6:G7"/>
    <mergeCell ref="H6:H7"/>
    <mergeCell ref="M6:M7"/>
    <mergeCell ref="A8:B8"/>
    <mergeCell ref="C6:C7"/>
    <mergeCell ref="C8:C9"/>
    <mergeCell ref="D8:D9"/>
    <mergeCell ref="E8:E9"/>
    <mergeCell ref="F8:F9"/>
    <mergeCell ref="G8:G9"/>
    <mergeCell ref="H8:H9"/>
    <mergeCell ref="M10:M11"/>
    <mergeCell ref="N10:N11"/>
    <mergeCell ref="O10:O11"/>
    <mergeCell ref="P10:P11"/>
    <mergeCell ref="N6:N7"/>
    <mergeCell ref="O6:O7"/>
    <mergeCell ref="P6:P7"/>
    <mergeCell ref="M8:M9"/>
    <mergeCell ref="N8:N9"/>
    <mergeCell ref="O8:O9"/>
    <mergeCell ref="P8:P9"/>
    <mergeCell ref="N18:N19"/>
    <mergeCell ref="O18:O19"/>
    <mergeCell ref="P18:P19"/>
    <mergeCell ref="C18:C19"/>
    <mergeCell ref="D18:D19"/>
    <mergeCell ref="E18:E19"/>
    <mergeCell ref="F18:F19"/>
    <mergeCell ref="G18:G19"/>
    <mergeCell ref="H18:H19"/>
    <mergeCell ref="M18:M19"/>
    <mergeCell ref="N20:N21"/>
    <mergeCell ref="O20:O21"/>
    <mergeCell ref="P20:P21"/>
    <mergeCell ref="C20:C21"/>
    <mergeCell ref="D20:D21"/>
    <mergeCell ref="E20:E21"/>
    <mergeCell ref="F20:F21"/>
    <mergeCell ref="G20:G21"/>
    <mergeCell ref="H20:H21"/>
    <mergeCell ref="M20:M21"/>
    <mergeCell ref="K22:L23"/>
    <mergeCell ref="M22:M23"/>
    <mergeCell ref="N22:N23"/>
    <mergeCell ref="O22:O23"/>
    <mergeCell ref="P22:P23"/>
    <mergeCell ref="C22:C23"/>
    <mergeCell ref="D22:D23"/>
    <mergeCell ref="E22:E23"/>
    <mergeCell ref="F22:F23"/>
    <mergeCell ref="G22:G23"/>
    <mergeCell ref="H22:H23"/>
    <mergeCell ref="I22:J23"/>
    <mergeCell ref="F12:F13"/>
    <mergeCell ref="G12:G13"/>
    <mergeCell ref="M12:M13"/>
    <mergeCell ref="N12:N13"/>
    <mergeCell ref="O12:O13"/>
    <mergeCell ref="P12:P13"/>
    <mergeCell ref="C10:C11"/>
    <mergeCell ref="D10:D11"/>
    <mergeCell ref="E10:E11"/>
    <mergeCell ref="F10:F11"/>
    <mergeCell ref="G10:G11"/>
    <mergeCell ref="H10:H11"/>
    <mergeCell ref="C12:C13"/>
    <mergeCell ref="H12:H13"/>
    <mergeCell ref="G14:G15"/>
    <mergeCell ref="H14:H15"/>
    <mergeCell ref="M14:M15"/>
    <mergeCell ref="N14:N15"/>
    <mergeCell ref="O14:O15"/>
    <mergeCell ref="P14:P15"/>
    <mergeCell ref="D12:D13"/>
    <mergeCell ref="E12:E13"/>
    <mergeCell ref="A13:B13"/>
    <mergeCell ref="C14:C15"/>
    <mergeCell ref="D14:D15"/>
    <mergeCell ref="E14:E15"/>
    <mergeCell ref="F14:F15"/>
    <mergeCell ref="N16:N17"/>
    <mergeCell ref="O16:O17"/>
    <mergeCell ref="P16:P17"/>
    <mergeCell ref="C16:C17"/>
    <mergeCell ref="D16:D17"/>
    <mergeCell ref="E16:E17"/>
    <mergeCell ref="F16:F17"/>
    <mergeCell ref="G16:G17"/>
    <mergeCell ref="H16:H17"/>
    <mergeCell ref="M16:M17"/>
    <mergeCell ref="F28:H28"/>
    <mergeCell ref="A29:B29"/>
    <mergeCell ref="F29:G29"/>
    <mergeCell ref="N29:O29"/>
    <mergeCell ref="A30:B30"/>
    <mergeCell ref="I30:J30"/>
    <mergeCell ref="K30:L30"/>
    <mergeCell ref="N31:N32"/>
    <mergeCell ref="O31:O32"/>
    <mergeCell ref="P31:P32"/>
    <mergeCell ref="C31:C32"/>
    <mergeCell ref="D31:D32"/>
    <mergeCell ref="E31:E32"/>
    <mergeCell ref="F31:F32"/>
    <mergeCell ref="G31:G32"/>
    <mergeCell ref="H31:H32"/>
    <mergeCell ref="M31:M32"/>
    <mergeCell ref="D33:D34"/>
    <mergeCell ref="E33:E34"/>
    <mergeCell ref="F33:F34"/>
    <mergeCell ref="G33:G34"/>
    <mergeCell ref="H33:H34"/>
    <mergeCell ref="M33:M34"/>
    <mergeCell ref="A35:B35"/>
    <mergeCell ref="C33:C34"/>
    <mergeCell ref="C35:C36"/>
    <mergeCell ref="D35:D36"/>
    <mergeCell ref="E35:E36"/>
    <mergeCell ref="F35:F36"/>
    <mergeCell ref="G35:G36"/>
    <mergeCell ref="H35:H36"/>
    <mergeCell ref="M37:M38"/>
    <mergeCell ref="N37:N38"/>
    <mergeCell ref="O37:O38"/>
    <mergeCell ref="P37:P38"/>
    <mergeCell ref="M39:M40"/>
    <mergeCell ref="N39:N40"/>
    <mergeCell ref="O39:O40"/>
    <mergeCell ref="P39:P40"/>
    <mergeCell ref="N33:N34"/>
    <mergeCell ref="O33:O34"/>
    <mergeCell ref="P33:P34"/>
    <mergeCell ref="M35:M36"/>
    <mergeCell ref="N35:N36"/>
    <mergeCell ref="O35:O36"/>
    <mergeCell ref="P35:P36"/>
    <mergeCell ref="D39:D40"/>
    <mergeCell ref="E39:E40"/>
    <mergeCell ref="A40:B40"/>
    <mergeCell ref="M41:M42"/>
    <mergeCell ref="N41:N42"/>
    <mergeCell ref="O41:O42"/>
    <mergeCell ref="P41:P42"/>
    <mergeCell ref="N43:N44"/>
    <mergeCell ref="O43:O44"/>
    <mergeCell ref="P43:P44"/>
    <mergeCell ref="M43:M44"/>
    <mergeCell ref="M45:M46"/>
    <mergeCell ref="N45:N46"/>
    <mergeCell ref="O45:O46"/>
    <mergeCell ref="P45:P46"/>
    <mergeCell ref="M47:M48"/>
    <mergeCell ref="N47:N4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2" t="s">
        <v>0</v>
      </c>
      <c r="I1" s="1"/>
      <c r="J1" s="1"/>
      <c r="K1" s="1"/>
      <c r="L1" s="1"/>
      <c r="M1" s="1"/>
      <c r="N1" s="1"/>
      <c r="O1" s="1"/>
      <c r="P1" s="1"/>
    </row>
    <row r="2">
      <c r="A2" s="3" t="s">
        <v>1</v>
      </c>
      <c r="C2" s="4"/>
      <c r="D2" s="4"/>
      <c r="E2" s="4"/>
      <c r="F2" s="5" t="s">
        <v>2</v>
      </c>
      <c r="H2" s="4"/>
      <c r="I2" s="4"/>
      <c r="J2" s="4"/>
      <c r="K2" s="4"/>
      <c r="L2" s="4"/>
      <c r="M2" s="4"/>
      <c r="N2" s="5" t="s">
        <v>3</v>
      </c>
      <c r="P2" s="4"/>
    </row>
    <row r="3">
      <c r="A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8" t="s">
        <v>11</v>
      </c>
      <c r="K3" s="8" t="s">
        <v>12</v>
      </c>
      <c r="M3" s="7" t="s">
        <v>13</v>
      </c>
      <c r="N3" s="9" t="s">
        <v>14</v>
      </c>
      <c r="O3" s="7" t="s">
        <v>15</v>
      </c>
      <c r="P3" s="10" t="s">
        <v>16</v>
      </c>
    </row>
    <row r="4">
      <c r="A4" s="11" t="str">
        <f>IFERROR(__xludf.DUMMYFUNCTION("GOOGLEFINANCE(""currency:EURUSD"", ""price"",DATE(2020,5,4))"),"Date")</f>
        <v>Date</v>
      </c>
      <c r="B4" s="11" t="str">
        <f>IFERROR(__xludf.DUMMYFUNCTION("""COMPUTED_VALUE"""),"Close")</f>
        <v>Close</v>
      </c>
      <c r="C4" s="12" t="s">
        <v>17</v>
      </c>
      <c r="D4" s="13" t="str">
        <f>IFERROR(__xludf.DUMMYFUNCTION("GOOGLEFINANCE($E4, ""name"")"),"S&amp;P 500 Index")</f>
        <v>S&amp;P 500 Index</v>
      </c>
      <c r="E4" s="14" t="s">
        <v>18</v>
      </c>
      <c r="F4" s="15">
        <v>50000.0</v>
      </c>
      <c r="G4" s="15">
        <v>50000.0</v>
      </c>
      <c r="H4" s="16">
        <f>round(G4/J5,2)</f>
        <v>17.59</v>
      </c>
      <c r="I4" s="17" t="str">
        <f>IFERROR(__xludf.DUMMYFUNCTION("GOOGLEFINANCE($E4,""price"",""5/4/2020"")"),"Date")</f>
        <v>Date</v>
      </c>
      <c r="J4" s="18" t="str">
        <f>IFERROR(__xludf.DUMMYFUNCTION("""COMPUTED_VALUE"""),"Close")</f>
        <v>Close</v>
      </c>
      <c r="K4" s="18" t="str">
        <f>IFERROR(__xludf.DUMMYFUNCTION("GOOGLEFINANCE($E4,""price"",""05/11/2020"")"),"Date")</f>
        <v>Date</v>
      </c>
      <c r="L4" s="18" t="str">
        <f>IFERROR(__xludf.DUMMYFUNCTION("""COMPUTED_VALUE"""),"Close")</f>
        <v>Close</v>
      </c>
      <c r="M4" s="19">
        <f>round(L5*H4,2)</f>
        <v>51544.33</v>
      </c>
      <c r="N4" s="20">
        <f>M4-G4</f>
        <v>1544.33</v>
      </c>
      <c r="O4" s="21">
        <f>M4-G4</f>
        <v>1544.33</v>
      </c>
      <c r="P4" s="22">
        <f> round(N4*100/F4,2)</f>
        <v>3.09</v>
      </c>
    </row>
    <row r="5">
      <c r="A5" s="23">
        <f>IFERROR(__xludf.DUMMYFUNCTION("""COMPUTED_VALUE"""),43955.99861111111)</f>
        <v>43955.99861</v>
      </c>
      <c r="B5" s="24">
        <f>IFERROR(__xludf.DUMMYFUNCTION("""COMPUTED_VALUE"""),1.09041)</f>
        <v>1.09041</v>
      </c>
      <c r="I5" s="25">
        <f>IFERROR(__xludf.DUMMYFUNCTION("""COMPUTED_VALUE"""),43955.66666666667)</f>
        <v>43955.66667</v>
      </c>
      <c r="J5" s="18">
        <f>IFERROR(__xludf.DUMMYFUNCTION("""COMPUTED_VALUE"""),2842.74)</f>
        <v>2842.74</v>
      </c>
      <c r="K5" s="25">
        <f>IFERROR(__xludf.DUMMYFUNCTION("""COMPUTED_VALUE"""),43962.66666666667)</f>
        <v>43962.66667</v>
      </c>
      <c r="L5" s="18">
        <f>IFERROR(__xludf.DUMMYFUNCTION("""COMPUTED_VALUE"""),2930.32)</f>
        <v>2930.32</v>
      </c>
    </row>
    <row r="6">
      <c r="A6" s="11" t="str">
        <f>IFERROR(__xludf.DUMMYFUNCTION("GOOGLEFINANCE(""currency:EURUSD"", ""price"",DATE(2020,5,11))"),"Date")</f>
        <v>Date</v>
      </c>
      <c r="B6" s="11" t="str">
        <f>IFERROR(__xludf.DUMMYFUNCTION("""COMPUTED_VALUE"""),"Close")</f>
        <v>Close</v>
      </c>
      <c r="C6" s="12" t="s">
        <v>17</v>
      </c>
      <c r="D6" s="13" t="str">
        <f>IFERROR(__xludf.DUMMYFUNCTION("GOOGLEFINANCE($E6, ""name"")"),"NASDAQ-100")</f>
        <v>NASDAQ-100</v>
      </c>
      <c r="E6" s="14" t="s">
        <v>19</v>
      </c>
      <c r="F6" s="15">
        <v>50000.0</v>
      </c>
      <c r="G6" s="15">
        <v>50000.0</v>
      </c>
      <c r="H6" s="16">
        <f>round(G6/J7,2)</f>
        <v>5.66</v>
      </c>
      <c r="I6" s="18" t="str">
        <f>IFERROR(__xludf.DUMMYFUNCTION("GOOGLEFINANCE($E6,""price"",""5/4/2020"")"),"Date")</f>
        <v>Date</v>
      </c>
      <c r="J6" s="18" t="str">
        <f>IFERROR(__xludf.DUMMYFUNCTION("""COMPUTED_VALUE"""),"Close")</f>
        <v>Close</v>
      </c>
      <c r="K6" s="18" t="str">
        <f>IFERROR(__xludf.DUMMYFUNCTION("GOOGLEFINANCE($E6,""price"",""05/11/2020"")"),"Date")</f>
        <v>Date</v>
      </c>
      <c r="L6" s="18" t="str">
        <f>IFERROR(__xludf.DUMMYFUNCTION("""COMPUTED_VALUE"""),"Close")</f>
        <v>Close</v>
      </c>
      <c r="M6" s="19">
        <f>round(L7*H6,2)</f>
        <v>52631.89</v>
      </c>
      <c r="N6" s="20">
        <f>M6-G6</f>
        <v>2631.89</v>
      </c>
      <c r="O6" s="21">
        <f>M6-G6</f>
        <v>2631.89</v>
      </c>
      <c r="P6" s="22">
        <f> round(N6*100/F6,2)</f>
        <v>5.26</v>
      </c>
    </row>
    <row r="7">
      <c r="A7" s="23">
        <f>IFERROR(__xludf.DUMMYFUNCTION("""COMPUTED_VALUE"""),43962.99861111111)</f>
        <v>43962.99861</v>
      </c>
      <c r="B7" s="24">
        <f>IFERROR(__xludf.DUMMYFUNCTION("""COMPUTED_VALUE"""),1.08105)</f>
        <v>1.08105</v>
      </c>
      <c r="I7" s="25">
        <f>IFERROR(__xludf.DUMMYFUNCTION("""COMPUTED_VALUE"""),43955.66666666667)</f>
        <v>43955.66667</v>
      </c>
      <c r="J7" s="18">
        <f>IFERROR(__xludf.DUMMYFUNCTION("""COMPUTED_VALUE"""),8834.11)</f>
        <v>8834.11</v>
      </c>
      <c r="K7" s="25">
        <f>IFERROR(__xludf.DUMMYFUNCTION("""COMPUTED_VALUE"""),43962.66666666667)</f>
        <v>43962.66667</v>
      </c>
      <c r="L7" s="18">
        <f>IFERROR(__xludf.DUMMYFUNCTION("""COMPUTED_VALUE"""),9298.92)</f>
        <v>9298.92</v>
      </c>
    </row>
    <row r="8">
      <c r="A8" s="6" t="s">
        <v>20</v>
      </c>
      <c r="C8" s="12" t="s">
        <v>21</v>
      </c>
      <c r="D8" s="13" t="str">
        <f>IFERROR(__xludf.DUMMYFUNCTION("GOOGLEFINANCE(""indexdb:DAX"", ""name"")"),"DAX PERFORMANCE-INDEX")</f>
        <v>DAX PERFORMANCE-INDEX</v>
      </c>
      <c r="E8" s="14" t="s">
        <v>22</v>
      </c>
      <c r="F8" s="15">
        <v>50000.0</v>
      </c>
      <c r="G8" s="15">
        <f>50000/B5</f>
        <v>45854.31168</v>
      </c>
      <c r="H8" s="16">
        <f>round(G8/J9,2)</f>
        <v>4.38</v>
      </c>
      <c r="I8" s="26" t="str">
        <f>IFERROR(__xludf.DUMMYFUNCTION("GOOGLEFINANCE(""indexdb:DAX"",""price"",""5/4/2020"")"),"Date")</f>
        <v>Date</v>
      </c>
      <c r="J8" s="18" t="str">
        <f>IFERROR(__xludf.DUMMYFUNCTION("""COMPUTED_VALUE"""),"Close")</f>
        <v>Close</v>
      </c>
      <c r="K8" s="18" t="str">
        <f>IFERROR(__xludf.DUMMYFUNCTION("GOOGLEFINANCE(""indexdb:DAX"",""price"",""5/11/2020"")"),"Date")</f>
        <v>Date</v>
      </c>
      <c r="L8" s="18" t="str">
        <f>IFERROR(__xludf.DUMMYFUNCTION("""COMPUTED_VALUE"""),"Close")</f>
        <v>Close</v>
      </c>
      <c r="M8" s="19">
        <f>round(L9*H8,2)</f>
        <v>47413.46</v>
      </c>
      <c r="N8" s="20">
        <f>O8*B7</f>
        <v>1685.51729</v>
      </c>
      <c r="O8" s="21">
        <f>M8-G8</f>
        <v>1559.148319</v>
      </c>
      <c r="P8" s="22">
        <f> round(N8*100/F8,2)</f>
        <v>3.37</v>
      </c>
    </row>
    <row r="9">
      <c r="A9" s="30" t="str">
        <f>IFERROR(__xludf.DUMMYFUNCTION("GOOGLEFINANCE(""currency:JPYUSD"", ""price"",DATE(2020,5,4))"),"Date")</f>
        <v>Date</v>
      </c>
      <c r="B9" s="30" t="str">
        <f>IFERROR(__xludf.DUMMYFUNCTION("""COMPUTED_VALUE"""),"Close")</f>
        <v>Close</v>
      </c>
      <c r="I9" s="25">
        <f>IFERROR(__xludf.DUMMYFUNCTION("""COMPUTED_VALUE"""),43955.83333333333)</f>
        <v>43955.83333</v>
      </c>
      <c r="J9" s="18">
        <f>IFERROR(__xludf.DUMMYFUNCTION("""COMPUTED_VALUE"""),10466.8)</f>
        <v>10466.8</v>
      </c>
      <c r="K9" s="25">
        <f>IFERROR(__xludf.DUMMYFUNCTION("""COMPUTED_VALUE"""),43962.83333333333)</f>
        <v>43962.83333</v>
      </c>
      <c r="L9" s="18">
        <f>IFERROR(__xludf.DUMMYFUNCTION("""COMPUTED_VALUE"""),10824.99)</f>
        <v>10824.99</v>
      </c>
    </row>
    <row r="10">
      <c r="A10" s="31">
        <f>IFERROR(__xludf.DUMMYFUNCTION("""COMPUTED_VALUE"""),43955.99861111111)</f>
        <v>43955.99861</v>
      </c>
      <c r="B10" s="30">
        <f>IFERROR(__xludf.DUMMYFUNCTION("""COMPUTED_VALUE"""),0.009372)</f>
        <v>0.009372</v>
      </c>
      <c r="C10" s="12" t="s">
        <v>23</v>
      </c>
      <c r="D10" s="13" t="str">
        <f>IFERROR(__xludf.DUMMYFUNCTION("GOOGLEFINANCE($E10, ""name"")"),"Nikkei 225")</f>
        <v>Nikkei 225</v>
      </c>
      <c r="E10" s="14" t="s">
        <v>24</v>
      </c>
      <c r="F10" s="15">
        <v>20000.0</v>
      </c>
      <c r="G10" s="15">
        <f>20000/B10</f>
        <v>2134016.219</v>
      </c>
      <c r="H10" s="16">
        <f>round(G10/J11,2)</f>
        <v>108.77</v>
      </c>
      <c r="I10" s="18" t="str">
        <f>IFERROR(__xludf.DUMMYFUNCTION("GOOGLEFINANCE($E10,""price"",""4/30/2020"")"),"Date")</f>
        <v>Date</v>
      </c>
      <c r="J10" s="18" t="str">
        <f>IFERROR(__xludf.DUMMYFUNCTION("""COMPUTED_VALUE"""),"Close")</f>
        <v>Close</v>
      </c>
      <c r="K10" s="18" t="str">
        <f>IFERROR(__xludf.DUMMYFUNCTION("GOOGLEFINANCE($E10,""price"",""05/10/2020"")"),"Date")</f>
        <v>Date</v>
      </c>
      <c r="L10" s="18" t="str">
        <f>IFERROR(__xludf.DUMMYFUNCTION("""COMPUTED_VALUE"""),"Close")</f>
        <v>Close</v>
      </c>
      <c r="M10" s="19">
        <f>round(L11*H10,2)</f>
        <v>2217892.09</v>
      </c>
      <c r="N10" s="20">
        <f>O10*B12</f>
        <v>779.7939771</v>
      </c>
      <c r="O10" s="21">
        <f>M10-G10</f>
        <v>83875.87148</v>
      </c>
      <c r="P10" s="22">
        <f> round(N10*100/F10,2)</f>
        <v>3.9</v>
      </c>
    </row>
    <row r="11">
      <c r="A11" s="30" t="str">
        <f>IFERROR(__xludf.DUMMYFUNCTION("GOOGLEFINANCE(""currency:JPYUSD"", ""price"",DATE(2020,5,11))"),"Date")</f>
        <v>Date</v>
      </c>
      <c r="B11" s="30" t="str">
        <f>IFERROR(__xludf.DUMMYFUNCTION("""COMPUTED_VALUE"""),"Close")</f>
        <v>Close</v>
      </c>
      <c r="I11" s="25">
        <f>IFERROR(__xludf.DUMMYFUNCTION("""COMPUTED_VALUE"""),43952.625)</f>
        <v>43952.625</v>
      </c>
      <c r="J11" s="18">
        <f>IFERROR(__xludf.DUMMYFUNCTION("""COMPUTED_VALUE"""),19619.35)</f>
        <v>19619.35</v>
      </c>
      <c r="K11" s="25">
        <f>IFERROR(__xludf.DUMMYFUNCTION("""COMPUTED_VALUE"""),43962.625)</f>
        <v>43962.625</v>
      </c>
      <c r="L11" s="18">
        <f>IFERROR(__xludf.DUMMYFUNCTION("""COMPUTED_VALUE"""),20390.66)</f>
        <v>20390.66</v>
      </c>
    </row>
    <row r="12">
      <c r="A12" s="31">
        <f>IFERROR(__xludf.DUMMYFUNCTION("""COMPUTED_VALUE"""),43962.99861111111)</f>
        <v>43962.99861</v>
      </c>
      <c r="B12" s="30">
        <f>IFERROR(__xludf.DUMMYFUNCTION("""COMPUTED_VALUE"""),0.009297)</f>
        <v>0.009297</v>
      </c>
      <c r="C12" s="12" t="s">
        <v>25</v>
      </c>
      <c r="D12" s="14" t="s">
        <v>26</v>
      </c>
      <c r="E12" s="32" t="s">
        <v>27</v>
      </c>
      <c r="F12" s="15">
        <v>20000.0</v>
      </c>
      <c r="G12" s="15">
        <f>20000/B15</f>
        <v>141250.0203</v>
      </c>
      <c r="H12" s="16">
        <f>round(G12/J13,2)</f>
        <v>49.38</v>
      </c>
      <c r="I12" s="33" t="s">
        <v>28</v>
      </c>
      <c r="J12" s="33" t="s">
        <v>29</v>
      </c>
      <c r="K12" s="33" t="s">
        <v>28</v>
      </c>
      <c r="L12" s="33" t="s">
        <v>29</v>
      </c>
      <c r="M12" s="19">
        <f>round(L13*H12,2)</f>
        <v>142980.28</v>
      </c>
      <c r="N12" s="20">
        <f>O12*B17</f>
        <v>243.732859</v>
      </c>
      <c r="O12" s="21">
        <f>M12-G12</f>
        <v>1730.259695</v>
      </c>
      <c r="P12" s="22">
        <f> round(N12*100/F12,2)</f>
        <v>1.22</v>
      </c>
    </row>
    <row r="13">
      <c r="A13" s="6" t="s">
        <v>30</v>
      </c>
      <c r="I13" s="34">
        <v>43951.666666666664</v>
      </c>
      <c r="J13" s="33">
        <v>2860.41</v>
      </c>
      <c r="K13" s="35">
        <v>43962.625</v>
      </c>
      <c r="L13" s="33">
        <v>2895.51</v>
      </c>
    </row>
    <row r="14">
      <c r="A14" s="36" t="str">
        <f>IFERROR(__xludf.DUMMYFUNCTION("GOOGLEFINANCE(""currency:CNYUSD"", ""price"",DATE(2020,5,4))"),"Date")</f>
        <v>Date</v>
      </c>
      <c r="B14" s="30" t="str">
        <f>IFERROR(__xludf.DUMMYFUNCTION("""COMPUTED_VALUE"""),"Close")</f>
        <v>Close</v>
      </c>
      <c r="C14" s="12" t="s">
        <v>31</v>
      </c>
      <c r="D14" s="37" t="str">
        <f>IFERROR(__xludf.DUMMYFUNCTION("GOOGLEFINANCE($E14, ""name"")"),"S&amp;P GSCI Crude Oil ER")</f>
        <v>S&amp;P GSCI Crude Oil ER</v>
      </c>
      <c r="E14" s="14" t="s">
        <v>32</v>
      </c>
      <c r="F14" s="15">
        <v>10000.0</v>
      </c>
      <c r="G14" s="15">
        <v>10000.0</v>
      </c>
      <c r="H14" s="16">
        <f>round(G14/J15,2)</f>
        <v>268.82</v>
      </c>
      <c r="I14" s="33" t="s">
        <v>28</v>
      </c>
      <c r="J14" s="33" t="s">
        <v>29</v>
      </c>
      <c r="K14" s="33" t="s">
        <v>28</v>
      </c>
      <c r="L14" s="33" t="s">
        <v>29</v>
      </c>
      <c r="M14" s="19">
        <f>round(L15*H14,2)</f>
        <v>11000.11</v>
      </c>
      <c r="N14" s="38">
        <f>O14</f>
        <v>1000.11</v>
      </c>
      <c r="O14" s="21">
        <f>M14-G14</f>
        <v>1000.11</v>
      </c>
      <c r="P14" s="22">
        <f> round(N14*100/F14,2)</f>
        <v>10</v>
      </c>
    </row>
    <row r="15">
      <c r="A15" s="31">
        <f>IFERROR(__xludf.DUMMYFUNCTION("""COMPUTED_VALUE"""),43955.99861111111)</f>
        <v>43955.99861</v>
      </c>
      <c r="B15" s="30">
        <f>IFERROR(__xludf.DUMMYFUNCTION("""COMPUTED_VALUE"""),0.1415929)</f>
        <v>0.1415929</v>
      </c>
      <c r="I15" s="33" t="s">
        <v>33</v>
      </c>
      <c r="J15" s="33">
        <v>37.2</v>
      </c>
      <c r="K15" s="39">
        <v>43962.625</v>
      </c>
      <c r="L15" s="33">
        <v>40.92</v>
      </c>
    </row>
    <row r="16">
      <c r="A16" s="30" t="str">
        <f>IFERROR(__xludf.DUMMYFUNCTION("GOOGLEFINANCE(""currency:CNYUSD"", ""price"",DATE(2020,5,11))"),"Date")</f>
        <v>Date</v>
      </c>
      <c r="B16" s="30" t="str">
        <f>IFERROR(__xludf.DUMMYFUNCTION("""COMPUTED_VALUE"""),"Close")</f>
        <v>Close</v>
      </c>
      <c r="C16" s="12" t="s">
        <v>31</v>
      </c>
      <c r="D16" s="37" t="str">
        <f>IFERROR(__xludf.DUMMYFUNCTION("GOOGLEFINANCE($E16, ""name"")"),"S&amp;P GSCI Gold ER")</f>
        <v>S&amp;P GSCI Gold ER</v>
      </c>
      <c r="E16" s="14" t="s">
        <v>34</v>
      </c>
      <c r="F16" s="15">
        <v>50000.0</v>
      </c>
      <c r="G16" s="15">
        <v>50000.0</v>
      </c>
      <c r="H16" s="16">
        <f>round(G16/J17,2)</f>
        <v>382.18</v>
      </c>
      <c r="I16" s="33" t="s">
        <v>28</v>
      </c>
      <c r="J16" s="33" t="s">
        <v>29</v>
      </c>
      <c r="K16" s="33" t="s">
        <v>28</v>
      </c>
      <c r="L16" s="33" t="s">
        <v>29</v>
      </c>
      <c r="M16" s="19">
        <f>round(L17*H16,2)</f>
        <v>49580.21</v>
      </c>
      <c r="N16" s="40">
        <f>O16</f>
        <v>-419.79</v>
      </c>
      <c r="O16" s="28">
        <f>M16-G16</f>
        <v>-419.79</v>
      </c>
      <c r="P16" s="29">
        <f> round(N16*100/F16,2)</f>
        <v>-0.84</v>
      </c>
    </row>
    <row r="17">
      <c r="A17" s="31">
        <f>IFERROR(__xludf.DUMMYFUNCTION("""COMPUTED_VALUE"""),43962.99861111111)</f>
        <v>43962.99861</v>
      </c>
      <c r="B17" s="30">
        <f>IFERROR(__xludf.DUMMYFUNCTION("""COMPUTED_VALUE"""),0.1408649)</f>
        <v>0.1408649</v>
      </c>
      <c r="I17" s="35">
        <v>43955.666666666664</v>
      </c>
      <c r="J17" s="33">
        <v>130.83</v>
      </c>
      <c r="K17" s="39">
        <v>43962.625</v>
      </c>
      <c r="L17" s="33">
        <v>129.73</v>
      </c>
    </row>
    <row r="18">
      <c r="A18" s="30"/>
      <c r="B18" s="30"/>
      <c r="C18" s="12" t="s">
        <v>35</v>
      </c>
      <c r="D18" s="37" t="str">
        <f>IFERROR(__xludf.DUMMYFUNCTION("GOOGLEFINANCE($E18, ""name"")"),"iShares Barclays 20+ Yr Treas.Bond")</f>
        <v>iShares Barclays 20+ Yr Treas.Bond</v>
      </c>
      <c r="E18" s="14" t="s">
        <v>36</v>
      </c>
      <c r="F18" s="15">
        <v>30000.0</v>
      </c>
      <c r="G18" s="15">
        <v>30000.0</v>
      </c>
      <c r="H18" s="16">
        <f>round(G18/J19,2)</f>
        <v>179.47</v>
      </c>
      <c r="I18" s="18" t="str">
        <f>IFERROR(__xludf.DUMMYFUNCTION("GOOGLEFINANCE($E18,""price"",""5/4/2020"")"),"Date")</f>
        <v>Date</v>
      </c>
      <c r="J18" s="18" t="str">
        <f>IFERROR(__xludf.DUMMYFUNCTION("""COMPUTED_VALUE"""),"Close")</f>
        <v>Close</v>
      </c>
      <c r="K18" s="18" t="str">
        <f>IFERROR(__xludf.DUMMYFUNCTION("GOOGLEFINANCE($E18,""price"",""05/11/2020"")"),"Date")</f>
        <v>Date</v>
      </c>
      <c r="L18" s="18" t="str">
        <f>IFERROR(__xludf.DUMMYFUNCTION("""COMPUTED_VALUE"""),"Close")</f>
        <v>Close</v>
      </c>
      <c r="M18" s="19">
        <f>round(L19*H18,2)</f>
        <v>29199.77</v>
      </c>
      <c r="N18" s="28">
        <f>O18</f>
        <v>-800.23</v>
      </c>
      <c r="O18" s="28">
        <f>M18-G18</f>
        <v>-800.23</v>
      </c>
      <c r="P18" s="29">
        <f> round(N18*100/F18,2)</f>
        <v>-2.67</v>
      </c>
    </row>
    <row r="19">
      <c r="A19" s="30"/>
      <c r="B19" s="30"/>
      <c r="I19" s="25">
        <f>IFERROR(__xludf.DUMMYFUNCTION("""COMPUTED_VALUE"""),43955.66666666667)</f>
        <v>43955.66667</v>
      </c>
      <c r="J19" s="18">
        <f>IFERROR(__xludf.DUMMYFUNCTION("""COMPUTED_VALUE"""),167.16)</f>
        <v>167.16</v>
      </c>
      <c r="K19" s="25">
        <f>IFERROR(__xludf.DUMMYFUNCTION("""COMPUTED_VALUE"""),43962.66666666667)</f>
        <v>43962.66667</v>
      </c>
      <c r="L19" s="18">
        <f>IFERROR(__xludf.DUMMYFUNCTION("""COMPUTED_VALUE"""),162.7)</f>
        <v>162.7</v>
      </c>
    </row>
    <row r="20">
      <c r="A20" s="30"/>
      <c r="B20" s="30"/>
      <c r="C20" s="12" t="s">
        <v>35</v>
      </c>
      <c r="D20" s="37" t="str">
        <f>IFERROR(__xludf.DUMMYFUNCTION("GOOGLEFINANCE($E20, ""name"")"),"iShares iBoxx $ High Yid Corp Bond")</f>
        <v>iShares iBoxx $ High Yid Corp Bond</v>
      </c>
      <c r="E20" s="14" t="s">
        <v>37</v>
      </c>
      <c r="F20" s="15">
        <v>20000.0</v>
      </c>
      <c r="G20" s="15">
        <v>20000.0</v>
      </c>
      <c r="H20" s="16">
        <f>round(G20/J21,2)</f>
        <v>254.55</v>
      </c>
      <c r="I20" s="18" t="str">
        <f>IFERROR(__xludf.DUMMYFUNCTION("GOOGLEFINANCE($E20,""price"",""5/4/2020"")"),"Date")</f>
        <v>Date</v>
      </c>
      <c r="J20" s="18" t="str">
        <f>IFERROR(__xludf.DUMMYFUNCTION("""COMPUTED_VALUE"""),"Close")</f>
        <v>Close</v>
      </c>
      <c r="K20" s="18" t="str">
        <f>IFERROR(__xludf.DUMMYFUNCTION("GOOGLEFINANCE($E20,""price"",""05/11/2020"")"),"Date")</f>
        <v>Date</v>
      </c>
      <c r="L20" s="18" t="str">
        <f>IFERROR(__xludf.DUMMYFUNCTION("""COMPUTED_VALUE"""),"Close")</f>
        <v>Close</v>
      </c>
      <c r="M20" s="19">
        <f>round(L21*H20,2)</f>
        <v>20208.72</v>
      </c>
      <c r="N20" s="41">
        <f>O20</f>
        <v>208.72</v>
      </c>
      <c r="O20" s="21">
        <f>M20-G20</f>
        <v>208.72</v>
      </c>
      <c r="P20" s="42">
        <f> round(N20*100/F20,2)</f>
        <v>1.04</v>
      </c>
    </row>
    <row r="21">
      <c r="A21" s="30"/>
      <c r="B21" s="30"/>
      <c r="I21" s="25">
        <f>IFERROR(__xludf.DUMMYFUNCTION("""COMPUTED_VALUE"""),43955.66666666667)</f>
        <v>43955.66667</v>
      </c>
      <c r="J21" s="18">
        <f>IFERROR(__xludf.DUMMYFUNCTION("""COMPUTED_VALUE"""),78.57)</f>
        <v>78.57</v>
      </c>
      <c r="K21" s="25">
        <f>IFERROR(__xludf.DUMMYFUNCTION("""COMPUTED_VALUE"""),43962.66666666667)</f>
        <v>43962.66667</v>
      </c>
      <c r="L21" s="18">
        <f>IFERROR(__xludf.DUMMYFUNCTION("""COMPUTED_VALUE"""),79.39)</f>
        <v>79.39</v>
      </c>
    </row>
    <row r="22">
      <c r="A22" s="30"/>
      <c r="B22" s="30"/>
      <c r="C22" s="12" t="s">
        <v>38</v>
      </c>
      <c r="D22" s="43" t="s">
        <v>38</v>
      </c>
      <c r="E22" s="14" t="s">
        <v>39</v>
      </c>
      <c r="F22" s="15">
        <v>700000.0</v>
      </c>
      <c r="G22" s="15">
        <v>700000.0</v>
      </c>
      <c r="H22" s="44" t="s">
        <v>39</v>
      </c>
      <c r="I22" s="33" t="s">
        <v>39</v>
      </c>
      <c r="K22" s="33" t="s">
        <v>39</v>
      </c>
      <c r="M22" s="12">
        <f>round(G22*(1+ 7/36500),2)</f>
        <v>700134.25</v>
      </c>
      <c r="N22" s="45">
        <v>134.0</v>
      </c>
      <c r="O22" s="21">
        <f>M22-G22</f>
        <v>134.25</v>
      </c>
      <c r="P22" s="42">
        <f> round(N22*100/F22,2)</f>
        <v>0.02</v>
      </c>
    </row>
    <row r="23">
      <c r="A23" s="30"/>
      <c r="B23" s="30"/>
    </row>
    <row r="24">
      <c r="A24" s="30"/>
      <c r="B24" s="30"/>
      <c r="C24" s="46" t="s">
        <v>40</v>
      </c>
      <c r="D24" s="47"/>
      <c r="E24" s="47"/>
      <c r="F24" s="48">
        <f>SUM(F4:F23)</f>
        <v>1000000</v>
      </c>
      <c r="G24" s="47"/>
      <c r="H24" s="47"/>
      <c r="I24" s="47"/>
      <c r="J24" s="47"/>
      <c r="K24" s="47"/>
      <c r="L24" s="47"/>
      <c r="M24" s="47"/>
      <c r="N24" s="49">
        <f>SUM(N4:N23)</f>
        <v>7008.074126</v>
      </c>
      <c r="O24" s="50"/>
      <c r="P24" s="50">
        <f>round(SUM(MULTIPLY(F4,P4/F24),MULTIPLY(F6,P6/F24),MULTIPLY(F8,P8/F24),MULTIPLY(F10,P10/F24),MULTIPLY(F12,P12/F24),MULTIPLY(F14,P14/F24),MULTIPLY(F16,P16/F24),MULTIPLY(F18,P18/F24),MULTIPLY(F20,P20/F24),MULTIPLY(F22,P22/F24)),2)</f>
        <v>0.7</v>
      </c>
    </row>
    <row r="26">
      <c r="K26" s="45" t="s">
        <v>42</v>
      </c>
      <c r="M26" s="54">
        <f>N24</f>
        <v>7008.074126</v>
      </c>
    </row>
    <row r="27">
      <c r="K27" s="56" t="s">
        <v>43</v>
      </c>
      <c r="M27" s="56">
        <v>0.0</v>
      </c>
    </row>
    <row r="28">
      <c r="K28" s="45" t="s">
        <v>44</v>
      </c>
      <c r="M28" s="21">
        <f>F24 + N24 + M27</f>
        <v>1007008.074</v>
      </c>
    </row>
  </sheetData>
  <mergeCells count="114">
    <mergeCell ref="F1:H1"/>
    <mergeCell ref="A2:B2"/>
    <mergeCell ref="F2:G2"/>
    <mergeCell ref="N2:O2"/>
    <mergeCell ref="A3:B3"/>
    <mergeCell ref="I3:J3"/>
    <mergeCell ref="K3:L3"/>
    <mergeCell ref="N4:N5"/>
    <mergeCell ref="O4:O5"/>
    <mergeCell ref="P4:P5"/>
    <mergeCell ref="C4:C5"/>
    <mergeCell ref="D4:D5"/>
    <mergeCell ref="E4:E5"/>
    <mergeCell ref="F4:F5"/>
    <mergeCell ref="G4:G5"/>
    <mergeCell ref="H4:H5"/>
    <mergeCell ref="M4:M5"/>
    <mergeCell ref="D6:D7"/>
    <mergeCell ref="E6:E7"/>
    <mergeCell ref="F6:F7"/>
    <mergeCell ref="G6:G7"/>
    <mergeCell ref="H6:H7"/>
    <mergeCell ref="M6:M7"/>
    <mergeCell ref="A8:B8"/>
    <mergeCell ref="C6:C7"/>
    <mergeCell ref="C8:C9"/>
    <mergeCell ref="D8:D9"/>
    <mergeCell ref="E8:E9"/>
    <mergeCell ref="F8:F9"/>
    <mergeCell ref="G8:G9"/>
    <mergeCell ref="H8:H9"/>
    <mergeCell ref="M10:M11"/>
    <mergeCell ref="N10:N11"/>
    <mergeCell ref="O10:O11"/>
    <mergeCell ref="P10:P11"/>
    <mergeCell ref="N6:N7"/>
    <mergeCell ref="O6:O7"/>
    <mergeCell ref="P6:P7"/>
    <mergeCell ref="M8:M9"/>
    <mergeCell ref="N8:N9"/>
    <mergeCell ref="O8:O9"/>
    <mergeCell ref="P8:P9"/>
    <mergeCell ref="N18:N19"/>
    <mergeCell ref="O18:O19"/>
    <mergeCell ref="P18:P19"/>
    <mergeCell ref="C18:C19"/>
    <mergeCell ref="D18:D19"/>
    <mergeCell ref="E18:E19"/>
    <mergeCell ref="F18:F19"/>
    <mergeCell ref="G18:G19"/>
    <mergeCell ref="H18:H19"/>
    <mergeCell ref="M18:M19"/>
    <mergeCell ref="N20:N21"/>
    <mergeCell ref="O20:O21"/>
    <mergeCell ref="P20:P21"/>
    <mergeCell ref="C20:C21"/>
    <mergeCell ref="D20:D21"/>
    <mergeCell ref="E20:E21"/>
    <mergeCell ref="F20:F21"/>
    <mergeCell ref="G20:G21"/>
    <mergeCell ref="H20:H21"/>
    <mergeCell ref="M20:M21"/>
    <mergeCell ref="F12:F13"/>
    <mergeCell ref="G12:G13"/>
    <mergeCell ref="M12:M13"/>
    <mergeCell ref="N12:N13"/>
    <mergeCell ref="O12:O13"/>
    <mergeCell ref="P12:P13"/>
    <mergeCell ref="C10:C11"/>
    <mergeCell ref="D10:D11"/>
    <mergeCell ref="E10:E11"/>
    <mergeCell ref="F10:F11"/>
    <mergeCell ref="G10:G11"/>
    <mergeCell ref="H10:H11"/>
    <mergeCell ref="C12:C13"/>
    <mergeCell ref="H12:H13"/>
    <mergeCell ref="G14:G15"/>
    <mergeCell ref="H14:H15"/>
    <mergeCell ref="M14:M15"/>
    <mergeCell ref="N14:N15"/>
    <mergeCell ref="O14:O15"/>
    <mergeCell ref="P14:P15"/>
    <mergeCell ref="D12:D13"/>
    <mergeCell ref="E12:E13"/>
    <mergeCell ref="A13:B13"/>
    <mergeCell ref="C14:C15"/>
    <mergeCell ref="D14:D15"/>
    <mergeCell ref="E14:E15"/>
    <mergeCell ref="F14:F15"/>
    <mergeCell ref="N16:N17"/>
    <mergeCell ref="O16:O17"/>
    <mergeCell ref="P16:P17"/>
    <mergeCell ref="C16:C17"/>
    <mergeCell ref="D16:D17"/>
    <mergeCell ref="E16:E17"/>
    <mergeCell ref="F16:F17"/>
    <mergeCell ref="G16:G17"/>
    <mergeCell ref="H16:H17"/>
    <mergeCell ref="M16:M17"/>
    <mergeCell ref="K22:L23"/>
    <mergeCell ref="M22:M23"/>
    <mergeCell ref="N22:N23"/>
    <mergeCell ref="O22:O23"/>
    <mergeCell ref="P22:P23"/>
    <mergeCell ref="K26:L26"/>
    <mergeCell ref="K27:L27"/>
    <mergeCell ref="K28:L28"/>
    <mergeCell ref="C22:C23"/>
    <mergeCell ref="D22:D23"/>
    <mergeCell ref="E22:E23"/>
    <mergeCell ref="F22:F23"/>
    <mergeCell ref="G22:G23"/>
    <mergeCell ref="H22:H23"/>
    <mergeCell ref="I22:J23"/>
  </mergeCells>
  <drawing r:id="rId1"/>
</worksheet>
</file>