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OW4" sheetId="1" r:id="rId4"/>
    <sheet state="visible" name="EOW3" sheetId="2" r:id="rId5"/>
    <sheet state="visible" name="EOW 2" sheetId="3" r:id="rId6"/>
    <sheet state="visible" name="EOW 1" sheetId="4" r:id="rId7"/>
  </sheets>
  <definedNames/>
  <calcPr/>
</workbook>
</file>

<file path=xl/sharedStrings.xml><?xml version="1.0" encoding="utf-8"?>
<sst xmlns="http://schemas.openxmlformats.org/spreadsheetml/2006/main" count="593" uniqueCount="48">
  <si>
    <t>WEEK 1 (MAY 4 - MAY 11)</t>
  </si>
  <si>
    <t>FX</t>
  </si>
  <si>
    <t>Money Invested</t>
  </si>
  <si>
    <t>Change</t>
  </si>
  <si>
    <t>EUR/USD</t>
  </si>
  <si>
    <t>Type</t>
  </si>
  <si>
    <t>Name</t>
  </si>
  <si>
    <t>Ticker</t>
  </si>
  <si>
    <t>USD</t>
  </si>
  <si>
    <t>Local</t>
  </si>
  <si>
    <t>No. of Stocks</t>
  </si>
  <si>
    <t>Buy Price</t>
  </si>
  <si>
    <t>Recent Price</t>
  </si>
  <si>
    <t>Recent value</t>
  </si>
  <si>
    <t>$ change</t>
  </si>
  <si>
    <t>local change</t>
  </si>
  <si>
    <t>% change (usd)</t>
  </si>
  <si>
    <t>US Index</t>
  </si>
  <si>
    <t>.INX</t>
  </si>
  <si>
    <t>NDX</t>
  </si>
  <si>
    <t>JPY/USD</t>
  </si>
  <si>
    <t>German Index</t>
  </si>
  <si>
    <t>DAX</t>
  </si>
  <si>
    <t>Japanese Index</t>
  </si>
  <si>
    <t>NI225</t>
  </si>
  <si>
    <t>Chinese Index</t>
  </si>
  <si>
    <t>Shanghai Composite Index</t>
  </si>
  <si>
    <t>SHCOMP</t>
  </si>
  <si>
    <t>Date</t>
  </si>
  <si>
    <t>Close</t>
  </si>
  <si>
    <t>CNY/USD</t>
  </si>
  <si>
    <t>US Commodity</t>
  </si>
  <si>
    <t>SPGSCLP</t>
  </si>
  <si>
    <t>5/42020 16:00:00</t>
  </si>
  <si>
    <t>SPGSGCP</t>
  </si>
  <si>
    <t>US ETF</t>
  </si>
  <si>
    <t>TLT</t>
  </si>
  <si>
    <t>HYG</t>
  </si>
  <si>
    <t>Cash</t>
  </si>
  <si>
    <t>NA</t>
  </si>
  <si>
    <t>Total</t>
  </si>
  <si>
    <t>WEEK 2 (MAY 11 - MAY 18)</t>
  </si>
  <si>
    <t>New Money Invested</t>
  </si>
  <si>
    <t>Profit/Loss for the week</t>
  </si>
  <si>
    <t>Brokerage costs</t>
  </si>
  <si>
    <t>Total Value of Portfolio</t>
  </si>
  <si>
    <t>WEEK 3 (MAY 18 - MAY 25)</t>
  </si>
  <si>
    <t>WEEK 4 (MAY 25 - JUNE 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</si>
</sst>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&quot;$&quot;#,##0"/>
  </numFmts>
  <fonts count="8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  <font>
      <b/>
      <color theme="1"/>
      <name val="Arial"/>
    </font>
    <font>
      <sz val="11.0"/>
      <color rgb="FF000000"/>
      <name val="Inconsolata"/>
    </font>
    <font>
      <color rgb="FF000000"/>
      <name val="Arial"/>
    </font>
    <font>
      <sz val="11.0"/>
      <color rgb="FF000000"/>
      <name val="Arial"/>
    </font>
    <font>
      <b/>
      <sz val="11.0"/>
      <color rgb="FF000000"/>
      <name val="Inconsolata"/>
    </font>
  </fonts>
  <fills count="1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34A853"/>
        <bgColor rgb="FF34A853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E5E5E5"/>
        <bgColor rgb="FFE5E5E5"/>
      </patternFill>
    </fill>
  </fills>
  <borders count="1">
    <border/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vertical="bottom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center" vertical="bottom"/>
    </xf>
    <xf borderId="0" fillId="3" fontId="3" numFmtId="0" xfId="0" applyAlignment="1" applyFill="1" applyFont="1">
      <alignment horizontal="center" readingOrder="0"/>
    </xf>
    <xf borderId="0" fillId="3" fontId="3" numFmtId="0" xfId="0" applyAlignment="1" applyFont="1">
      <alignment horizontal="center" vertical="bottom"/>
    </xf>
    <xf borderId="0" fillId="4" fontId="1" numFmtId="0" xfId="0" applyAlignment="1" applyFill="1" applyFont="1">
      <alignment vertical="bottom"/>
    </xf>
    <xf borderId="0" fillId="4" fontId="3" numFmtId="0" xfId="0" applyFont="1"/>
    <xf borderId="0" fillId="4" fontId="3" numFmtId="0" xfId="0" applyAlignment="1" applyFont="1">
      <alignment horizontal="center" vertical="bottom"/>
    </xf>
    <xf borderId="0" fillId="4" fontId="3" numFmtId="0" xfId="0" applyAlignment="1" applyFont="1">
      <alignment horizontal="center" readingOrder="0"/>
    </xf>
    <xf borderId="0" fillId="5" fontId="1" numFmtId="0" xfId="0" applyAlignment="1" applyFill="1" applyFont="1">
      <alignment horizontal="center" vertical="bottom"/>
    </xf>
    <xf borderId="0" fillId="5" fontId="1" numFmtId="0" xfId="0" applyAlignment="1" applyFont="1">
      <alignment horizontal="center" readingOrder="0"/>
    </xf>
    <xf borderId="0" fillId="6" fontId="3" numFmtId="0" xfId="0" applyAlignment="1" applyFill="1" applyFont="1">
      <alignment vertical="bottom"/>
    </xf>
    <xf borderId="0" fillId="6" fontId="3" numFmtId="0" xfId="0" applyAlignment="1" applyFont="1">
      <alignment readingOrder="0"/>
    </xf>
    <xf borderId="0" fillId="6" fontId="3" numFmtId="0" xfId="0" applyAlignment="1" applyFont="1">
      <alignment horizontal="center" vertical="bottom"/>
    </xf>
    <xf borderId="0" fillId="6" fontId="3" numFmtId="0" xfId="0" applyAlignment="1" applyFont="1">
      <alignment horizontal="center" readingOrder="0"/>
    </xf>
    <xf borderId="0" fillId="6" fontId="3" numFmtId="0" xfId="0" applyAlignment="1" applyFont="1">
      <alignment horizontal="center" vertical="bottom"/>
    </xf>
    <xf borderId="0" fillId="6" fontId="3" numFmtId="0" xfId="0" applyAlignment="1" applyFont="1">
      <alignment readingOrder="0" vertical="bottom"/>
    </xf>
    <xf borderId="0" fillId="5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readingOrder="0"/>
    </xf>
    <xf borderId="0" fillId="7" fontId="1" numFmtId="0" xfId="0" applyAlignment="1" applyFill="1" applyFont="1">
      <alignment vertical="bottom"/>
    </xf>
    <xf borderId="0" fillId="7" fontId="1" numFmtId="0" xfId="0" applyFont="1"/>
    <xf borderId="0" fillId="8" fontId="1" numFmtId="3" xfId="0" applyAlignment="1" applyFill="1" applyFont="1" applyNumberFormat="1">
      <alignment horizontal="right" vertical="bottom"/>
    </xf>
    <xf borderId="0" fillId="7" fontId="1" numFmtId="0" xfId="0" applyAlignment="1" applyFont="1">
      <alignment readingOrder="0"/>
    </xf>
    <xf borderId="0" fillId="8" fontId="1" numFmtId="3" xfId="0" applyAlignment="1" applyFont="1" applyNumberFormat="1">
      <alignment readingOrder="0"/>
    </xf>
    <xf borderId="0" fillId="8" fontId="1" numFmtId="0" xfId="0" applyAlignment="1" applyFont="1">
      <alignment horizontal="right" vertical="bottom"/>
    </xf>
    <xf borderId="0" fillId="9" fontId="4" numFmtId="0" xfId="0" applyAlignment="1" applyFill="1" applyFont="1">
      <alignment vertical="bottom"/>
    </xf>
    <xf borderId="0" fillId="9" fontId="1" numFmtId="0" xfId="0" applyAlignment="1" applyFont="1">
      <alignment vertical="bottom"/>
    </xf>
    <xf borderId="0" fillId="8" fontId="1" numFmtId="0" xfId="0" applyFont="1"/>
    <xf borderId="0" fillId="3" fontId="1" numFmtId="0" xfId="0" applyAlignment="1" applyFont="1">
      <alignment horizontal="right" vertical="bottom"/>
    </xf>
    <xf borderId="0" fillId="9" fontId="4" numFmtId="0" xfId="0" applyAlignment="1" applyFont="1">
      <alignment horizontal="left"/>
    </xf>
    <xf borderId="0" fillId="10" fontId="1" numFmtId="3" xfId="0" applyAlignment="1" applyFill="1" applyFont="1" applyNumberFormat="1">
      <alignment horizontal="right" vertical="bottom"/>
    </xf>
    <xf borderId="0" fillId="9" fontId="1" numFmtId="0" xfId="0" applyFont="1"/>
    <xf borderId="0" fillId="9" fontId="1" numFmtId="0" xfId="0" applyAlignment="1" applyFont="1">
      <alignment readingOrder="0"/>
    </xf>
    <xf borderId="0" fillId="10" fontId="1" numFmtId="0" xfId="0" applyAlignment="1" applyFont="1">
      <alignment horizontal="right" vertical="bottom"/>
    </xf>
    <xf borderId="0" fillId="3" fontId="1" numFmtId="0" xfId="0" applyFont="1"/>
    <xf borderId="0" fillId="5" fontId="1" numFmtId="164" xfId="0" applyAlignment="1" applyFont="1" applyNumberFormat="1">
      <alignment horizontal="right" vertical="bottom"/>
    </xf>
    <xf borderId="0" fillId="11" fontId="1" numFmtId="3" xfId="0" applyAlignment="1" applyFill="1" applyFont="1" applyNumberFormat="1">
      <alignment horizontal="right" vertical="bottom"/>
    </xf>
    <xf borderId="0" fillId="5" fontId="1" numFmtId="0" xfId="0" applyAlignment="1" applyFont="1">
      <alignment horizontal="right" vertical="bottom"/>
    </xf>
    <xf borderId="0" fillId="11" fontId="1" numFmtId="3" xfId="0" applyFont="1" applyNumberFormat="1"/>
    <xf borderId="0" fillId="9" fontId="1" numFmtId="164" xfId="0" applyAlignment="1" applyFont="1" applyNumberFormat="1">
      <alignment horizontal="right" vertical="bottom"/>
    </xf>
    <xf borderId="0" fillId="11" fontId="1" numFmtId="0" xfId="0" applyAlignment="1" applyFont="1">
      <alignment horizontal="right" vertical="bottom"/>
    </xf>
    <xf borderId="0" fillId="9" fontId="1" numFmtId="0" xfId="0" applyAlignment="1" applyFont="1">
      <alignment horizontal="right" vertical="bottom"/>
    </xf>
    <xf borderId="0" fillId="9" fontId="1" numFmtId="164" xfId="0" applyFont="1" applyNumberFormat="1"/>
    <xf borderId="0" fillId="9" fontId="4" numFmtId="0" xfId="0" applyFont="1"/>
    <xf borderId="0" fillId="5" fontId="1" numFmtId="0" xfId="0" applyFont="1"/>
    <xf borderId="0" fillId="9" fontId="1" numFmtId="164" xfId="0" applyAlignment="1" applyFont="1" applyNumberFormat="1">
      <alignment readingOrder="0"/>
    </xf>
    <xf borderId="0" fillId="9" fontId="1" numFmtId="164" xfId="0" applyAlignment="1" applyFont="1" applyNumberFormat="1">
      <alignment horizontal="right" vertical="bottom"/>
    </xf>
    <xf borderId="0" fillId="5" fontId="1" numFmtId="164" xfId="0" applyFont="1" applyNumberFormat="1"/>
    <xf borderId="0" fillId="7" fontId="5" numFmtId="0" xfId="0" applyAlignment="1" applyFont="1">
      <alignment readingOrder="0"/>
    </xf>
    <xf borderId="0" fillId="7" fontId="5" numFmtId="0" xfId="0" applyAlignment="1" applyFont="1">
      <alignment vertical="bottom"/>
    </xf>
    <xf borderId="0" fillId="9" fontId="5" numFmtId="164" xfId="0" applyAlignment="1" applyFont="1" applyNumberFormat="1">
      <alignment horizontal="right" readingOrder="0"/>
    </xf>
    <xf borderId="0" fillId="5" fontId="4" numFmtId="0" xfId="0" applyFont="1"/>
    <xf borderId="0" fillId="12" fontId="1" numFmtId="3" xfId="0" applyAlignment="1" applyFill="1" applyFont="1" applyNumberFormat="1">
      <alignment horizontal="right" vertical="bottom"/>
    </xf>
    <xf borderId="0" fillId="7" fontId="4" numFmtId="0" xfId="0" applyFont="1"/>
    <xf borderId="0" fillId="12" fontId="1" numFmtId="0" xfId="0" applyAlignment="1" applyFont="1">
      <alignment horizontal="right" vertical="bottom"/>
    </xf>
    <xf borderId="0" fillId="11" fontId="1" numFmtId="3" xfId="0" applyAlignment="1" applyFont="1" applyNumberFormat="1">
      <alignment horizontal="right" readingOrder="0" vertical="bottom"/>
    </xf>
    <xf borderId="0" fillId="9" fontId="5" numFmtId="164" xfId="0" applyAlignment="1" applyFont="1" applyNumberFormat="1">
      <alignment horizontal="right" vertical="bottom"/>
    </xf>
    <xf borderId="0" fillId="9" fontId="1" numFmtId="0" xfId="0" applyAlignment="1" applyFont="1">
      <alignment horizontal="right" readingOrder="0" vertical="bottom"/>
    </xf>
    <xf borderId="0" fillId="5" fontId="4" numFmtId="0" xfId="0" applyAlignment="1" applyFont="1">
      <alignment vertical="bottom"/>
    </xf>
    <xf borderId="0" fillId="7" fontId="4" numFmtId="0" xfId="0" applyAlignment="1" applyFont="1">
      <alignment vertical="bottom"/>
    </xf>
    <xf borderId="0" fillId="9" fontId="1" numFmtId="164" xfId="0" applyAlignment="1" applyFont="1" applyNumberFormat="1">
      <alignment readingOrder="0"/>
    </xf>
    <xf borderId="0" fillId="12" fontId="1" numFmtId="3" xfId="0" applyFont="1" applyNumberFormat="1"/>
    <xf borderId="0" fillId="11" fontId="1" numFmtId="3" xfId="0" applyAlignment="1" applyFont="1" applyNumberFormat="1">
      <alignment readingOrder="0"/>
    </xf>
    <xf borderId="0" fillId="11" fontId="1" numFmtId="2" xfId="0" applyAlignment="1" applyFont="1" applyNumberFormat="1">
      <alignment horizontal="right" vertical="bottom"/>
    </xf>
    <xf borderId="0" fillId="7" fontId="6" numFmtId="0" xfId="0" applyAlignment="1" applyFont="1">
      <alignment readingOrder="0"/>
    </xf>
    <xf borderId="0" fillId="8" fontId="1" numFmtId="0" xfId="0" applyAlignment="1" applyFont="1">
      <alignment readingOrder="0"/>
    </xf>
    <xf borderId="0" fillId="11" fontId="1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6" fontId="1" numFmtId="0" xfId="0" applyFont="1"/>
    <xf borderId="0" fillId="10" fontId="1" numFmtId="2" xfId="0" applyAlignment="1" applyFont="1" applyNumberFormat="1">
      <alignment horizontal="right" vertical="bottom"/>
    </xf>
    <xf borderId="0" fillId="8" fontId="3" numFmtId="3" xfId="0" applyFont="1" applyNumberFormat="1"/>
    <xf borderId="0" fillId="13" fontId="7" numFmtId="165" xfId="0" applyFill="1" applyFont="1" applyNumberFormat="1"/>
    <xf borderId="0" fillId="7" fontId="6" numFmtId="0" xfId="0" applyAlignment="1" applyFont="1">
      <alignment vertical="bottom"/>
    </xf>
    <xf borderId="0" fillId="13" fontId="3" numFmtId="0" xfId="0" applyFont="1"/>
    <xf borderId="0" fillId="8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6" fontId="1" numFmtId="0" xfId="0" applyAlignment="1" applyFont="1">
      <alignment vertical="bottom"/>
    </xf>
    <xf borderId="0" fillId="8" fontId="3" numFmtId="3" xfId="0" applyAlignment="1" applyFont="1" applyNumberFormat="1">
      <alignment horizontal="right" vertical="bottom"/>
    </xf>
    <xf borderId="0" fillId="3" fontId="4" numFmtId="0" xfId="0" applyFont="1"/>
    <xf borderId="0" fillId="13" fontId="7" numFmtId="165" xfId="0" applyAlignment="1" applyFont="1" applyNumberFormat="1">
      <alignment horizontal="right" vertical="bottom"/>
    </xf>
    <xf borderId="0" fillId="13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14" fontId="4" numFmtId="0" xfId="0" applyFill="1" applyFont="1"/>
    <xf borderId="0" fillId="5" fontId="1" numFmtId="0" xfId="0" applyAlignment="1" applyFont="1">
      <alignment horizontal="center" vertical="bottom"/>
    </xf>
    <xf borderId="0" fillId="9" fontId="1" numFmtId="164" xfId="0" applyAlignment="1" applyFont="1" applyNumberFormat="1">
      <alignment horizontal="right" readingOrder="0" vertical="bottom"/>
    </xf>
    <xf borderId="0" fillId="11" fontId="1" numFmtId="0" xfId="0" applyAlignment="1" applyFont="1">
      <alignment vertical="bottom"/>
    </xf>
    <xf borderId="0" fillId="11" fontId="1" numFmtId="165" xfId="0" applyAlignment="1" applyFont="1" applyNumberFormat="1">
      <alignment horizontal="right" vertical="bottom"/>
    </xf>
    <xf borderId="0" fillId="12" fontId="1" numFmtId="0" xfId="0" applyAlignment="1" applyFont="1">
      <alignment vertical="bottom"/>
    </xf>
    <xf borderId="0" fillId="12" fontId="1" numFmtId="0" xfId="0" applyAlignment="1" applyFont="1">
      <alignment horizontal="right" readingOrder="0" vertical="bottom"/>
    </xf>
    <xf borderId="0" fillId="10" fontId="1" numFmtId="0" xfId="0" applyAlignment="1" applyFon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ont="1">
      <alignment horizontal="center" readingOrder="0" vertical="bottom"/>
    </xf>
    <xf borderId="0" fillId="8" fontId="1" numFmtId="3" xfId="0" applyAlignment="1" applyFont="1" applyNumberFormat="1">
      <alignment horizontal="right" readingOrder="0" vertical="bottom"/>
    </xf>
    <xf borderId="0" fillId="0" fontId="1" numFmtId="3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12" fontId="1" numFmtId="3" xfId="0" applyAlignment="1" applyFont="1" applyNumberFormat="1">
      <alignment horizontal="right" readingOrder="0" vertical="bottom"/>
    </xf>
    <xf borderId="0" fillId="9" fontId="1" numFmtId="164" xfId="0" applyAlignment="1" applyFont="1" applyNumberFormat="1">
      <alignment horizontal="right" readingOrder="0" vertical="bottom"/>
    </xf>
    <xf borderId="0" fillId="0" fontId="1" numFmtId="2" xfId="0" applyAlignment="1" applyFont="1" applyNumberFormat="1">
      <alignment horizontal="right" readingOrder="0" vertical="bottom"/>
    </xf>
    <xf borderId="0" fillId="11" fontId="1" numFmtId="165" xfId="0" applyFont="1" applyNumberFormat="1"/>
    <xf borderId="0" fillId="1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2"/>
      <c r="C1" s="2"/>
      <c r="D1" s="2"/>
      <c r="E1" s="2"/>
      <c r="F1" s="4" t="s">
        <v>0</v>
      </c>
      <c r="I1" s="2"/>
      <c r="J1" s="2"/>
      <c r="K1" s="2"/>
      <c r="L1" s="2"/>
      <c r="M1" s="2"/>
      <c r="N1" s="2"/>
      <c r="O1" s="2"/>
      <c r="P1" s="2"/>
    </row>
    <row r="2">
      <c r="A2" s="6" t="s">
        <v>1</v>
      </c>
      <c r="C2" s="7"/>
      <c r="D2" s="7"/>
      <c r="E2" s="7"/>
      <c r="F2" s="9" t="s">
        <v>2</v>
      </c>
      <c r="H2" s="7"/>
      <c r="I2" s="7"/>
      <c r="J2" s="7"/>
      <c r="K2" s="7"/>
      <c r="L2" s="7"/>
      <c r="M2" s="7"/>
      <c r="N2" s="9" t="s">
        <v>3</v>
      </c>
      <c r="P2" s="7"/>
    </row>
    <row r="3">
      <c r="A3" s="11" t="s">
        <v>4</v>
      </c>
      <c r="C3" s="13" t="s">
        <v>5</v>
      </c>
      <c r="D3" s="13" t="s">
        <v>6</v>
      </c>
      <c r="E3" s="13" t="s">
        <v>7</v>
      </c>
      <c r="F3" s="13" t="s">
        <v>8</v>
      </c>
      <c r="G3" s="13" t="s">
        <v>9</v>
      </c>
      <c r="H3" s="13" t="s">
        <v>10</v>
      </c>
      <c r="I3" s="15" t="s">
        <v>11</v>
      </c>
      <c r="K3" s="15" t="s">
        <v>12</v>
      </c>
      <c r="M3" s="13" t="s">
        <v>13</v>
      </c>
      <c r="N3" s="15" t="s">
        <v>14</v>
      </c>
      <c r="O3" s="13" t="s">
        <v>15</v>
      </c>
      <c r="P3" s="13" t="s">
        <v>16</v>
      </c>
    </row>
    <row r="4">
      <c r="A4" s="19" t="str">
        <f>IFERROR(__xludf.DUMMYFUNCTION("GOOGLEFINANCE(""currency:EURUSD"", ""price"",DATE(2020,5,4))"),"Date")</f>
        <v>Date</v>
      </c>
      <c r="B4" s="19" t="str">
        <f>IFERROR(__xludf.DUMMYFUNCTION("""COMPUTED_VALUE"""),"Close")</f>
        <v>Close</v>
      </c>
      <c r="C4" s="20" t="s">
        <v>17</v>
      </c>
      <c r="D4" s="22" t="str">
        <f>IFERROR(__xludf.DUMMYFUNCTION("GOOGLEFINANCE($E4, ""name"")"),"S&amp;P 500 Index")</f>
        <v>S&amp;P 500 Index</v>
      </c>
      <c r="E4" s="22" t="s">
        <v>18</v>
      </c>
      <c r="F4" s="24">
        <v>50000.0</v>
      </c>
      <c r="G4" s="24">
        <v>50000.0</v>
      </c>
      <c r="H4" s="27">
        <f>round(G4/J5,2)</f>
        <v>17.59</v>
      </c>
      <c r="I4" s="28" t="str">
        <f>IFERROR(__xludf.DUMMYFUNCTION("GOOGLEFINANCE($E4,""price"",""5/4/2020"")"),"Date")</f>
        <v>Date</v>
      </c>
      <c r="J4" s="29" t="str">
        <f>IFERROR(__xludf.DUMMYFUNCTION("""COMPUTED_VALUE"""),"Close")</f>
        <v>Close</v>
      </c>
      <c r="K4" s="29" t="str">
        <f>IFERROR(__xludf.DUMMYFUNCTION("GOOGLEFINANCE($E4,""price"",""05/29/2020"")"),"Date")</f>
        <v>Date</v>
      </c>
      <c r="L4" s="29" t="str">
        <f>IFERROR(__xludf.DUMMYFUNCTION("""COMPUTED_VALUE"""),"Close")</f>
        <v>Close</v>
      </c>
      <c r="M4" s="31">
        <f>round(L5*H4,2)</f>
        <v>53549.41</v>
      </c>
      <c r="N4" s="33">
        <f>M4-G4</f>
        <v>3549.41</v>
      </c>
      <c r="O4" s="33">
        <f>M4-G4</f>
        <v>3549.41</v>
      </c>
      <c r="P4" s="36">
        <f> round(N4*100/F4,2)</f>
        <v>7.1</v>
      </c>
    </row>
    <row r="5">
      <c r="A5" s="38">
        <f>IFERROR(__xludf.DUMMYFUNCTION("""COMPUTED_VALUE"""),43955.99861111111)</f>
        <v>43955.99861</v>
      </c>
      <c r="B5" s="40">
        <f>IFERROR(__xludf.DUMMYFUNCTION("""COMPUTED_VALUE"""),1.09041)</f>
        <v>1.09041</v>
      </c>
      <c r="I5" s="42">
        <f>IFERROR(__xludf.DUMMYFUNCTION("""COMPUTED_VALUE"""),43955.66666666667)</f>
        <v>43955.66667</v>
      </c>
      <c r="J5" s="44">
        <f>IFERROR(__xludf.DUMMYFUNCTION("""COMPUTED_VALUE"""),2842.74)</f>
        <v>2842.74</v>
      </c>
      <c r="K5" s="42">
        <f>IFERROR(__xludf.DUMMYFUNCTION("""COMPUTED_VALUE"""),43980.66666666667)</f>
        <v>43980.66667</v>
      </c>
      <c r="L5" s="44">
        <f>IFERROR(__xludf.DUMMYFUNCTION("""COMPUTED_VALUE"""),3044.31)</f>
        <v>3044.31</v>
      </c>
    </row>
    <row r="6">
      <c r="A6" s="19" t="str">
        <f>IFERROR(__xludf.DUMMYFUNCTION("GOOGLEFINANCE(""currency:EURUSD"", ""price"",DATE(2020,5,23))"),"Date")</f>
        <v>Date</v>
      </c>
      <c r="B6" s="19" t="str">
        <f>IFERROR(__xludf.DUMMYFUNCTION("""COMPUTED_VALUE"""),"Close")</f>
        <v>Close</v>
      </c>
      <c r="C6" s="20" t="s">
        <v>17</v>
      </c>
      <c r="D6" s="22" t="str">
        <f>IFERROR(__xludf.DUMMYFUNCTION("GOOGLEFINANCE($E6, ""name"")"),"NASDAQ-100")</f>
        <v>NASDAQ-100</v>
      </c>
      <c r="E6" s="22" t="s">
        <v>19</v>
      </c>
      <c r="F6" s="24">
        <v>50000.0</v>
      </c>
      <c r="G6" s="24">
        <v>50000.0</v>
      </c>
      <c r="H6" s="27">
        <f>round(G6/J7,2)</f>
        <v>5.66</v>
      </c>
      <c r="I6" s="29" t="str">
        <f>IFERROR(__xludf.DUMMYFUNCTION("GOOGLEFINANCE($E6,""price"",""5/4/2020"")"),"Date")</f>
        <v>Date</v>
      </c>
      <c r="J6" s="29" t="str">
        <f>IFERROR(__xludf.DUMMYFUNCTION("""COMPUTED_VALUE"""),"Close")</f>
        <v>Close</v>
      </c>
      <c r="K6" s="29" t="str">
        <f>IFERROR(__xludf.DUMMYFUNCTION("GOOGLEFINANCE($E6,""price"",""05/29/2020"")"),"Date")</f>
        <v>Date</v>
      </c>
      <c r="L6" s="29" t="str">
        <f>IFERROR(__xludf.DUMMYFUNCTION("""COMPUTED_VALUE"""),"Close")</f>
        <v>Close</v>
      </c>
      <c r="M6" s="31">
        <f>round(L7*H6,2)</f>
        <v>54084.3</v>
      </c>
      <c r="N6" s="33">
        <f>M6-G6</f>
        <v>4084.3</v>
      </c>
      <c r="O6" s="33">
        <f>M6-G6</f>
        <v>4084.3</v>
      </c>
      <c r="P6" s="36">
        <f> round(N6*100/F6,2)</f>
        <v>8.17</v>
      </c>
    </row>
    <row r="7">
      <c r="A7" s="38">
        <f>IFERROR(__xludf.DUMMYFUNCTION("""COMPUTED_VALUE"""),43974.99861111111)</f>
        <v>43974.99861</v>
      </c>
      <c r="B7" s="40">
        <f>IFERROR(__xludf.DUMMYFUNCTION("""COMPUTED_VALUE"""),1.0897)</f>
        <v>1.0897</v>
      </c>
      <c r="I7" s="42">
        <f>IFERROR(__xludf.DUMMYFUNCTION("""COMPUTED_VALUE"""),43955.66666666667)</f>
        <v>43955.66667</v>
      </c>
      <c r="J7" s="44">
        <f>IFERROR(__xludf.DUMMYFUNCTION("""COMPUTED_VALUE"""),8834.11)</f>
        <v>8834.11</v>
      </c>
      <c r="K7" s="42">
        <f>IFERROR(__xludf.DUMMYFUNCTION("""COMPUTED_VALUE"""),43980.66666666667)</f>
        <v>43980.66667</v>
      </c>
      <c r="L7" s="44">
        <f>IFERROR(__xludf.DUMMYFUNCTION("""COMPUTED_VALUE"""),9555.53)</f>
        <v>9555.53</v>
      </c>
    </row>
    <row r="8">
      <c r="A8" s="11" t="s">
        <v>20</v>
      </c>
      <c r="C8" s="20" t="s">
        <v>21</v>
      </c>
      <c r="D8" s="22" t="str">
        <f>IFERROR(__xludf.DUMMYFUNCTION("GOOGLEFINANCE(""indexdb:DAX"", ""name"")"),"DAX PERFORMANCE-INDEX")</f>
        <v>DAX PERFORMANCE-INDEX</v>
      </c>
      <c r="E8" s="22" t="s">
        <v>22</v>
      </c>
      <c r="F8" s="24">
        <v>50000.0</v>
      </c>
      <c r="G8" s="24">
        <f>50000/B5</f>
        <v>45854.31168</v>
      </c>
      <c r="H8" s="27">
        <f>round(G8/J9,2)</f>
        <v>4.38</v>
      </c>
      <c r="I8" s="28" t="str">
        <f>IFERROR(__xludf.DUMMYFUNCTION("GOOGLEFINANCE(""indexdb:DAX"",""price"",""5/4/2020"")"),"Date")</f>
        <v>Date</v>
      </c>
      <c r="J8" s="29" t="str">
        <f>IFERROR(__xludf.DUMMYFUNCTION("""COMPUTED_VALUE"""),"Close")</f>
        <v>Close</v>
      </c>
      <c r="K8" s="29" t="str">
        <f>IFERROR(__xludf.DUMMYFUNCTION("GOOGLEFINANCE(""indexdb:DAX"", ""price"",""05/29/2020"")"),"Date")</f>
        <v>Date</v>
      </c>
      <c r="L8" s="29" t="str">
        <f>IFERROR(__xludf.DUMMYFUNCTION("""COMPUTED_VALUE"""),"Close")</f>
        <v>Close</v>
      </c>
      <c r="M8" s="31">
        <f>round(L9*H8,2)</f>
        <v>50750.4</v>
      </c>
      <c r="N8" s="33">
        <f>O8*B7</f>
        <v>5335.267441</v>
      </c>
      <c r="O8" s="33">
        <f>M8-G8</f>
        <v>4896.088319</v>
      </c>
      <c r="P8" s="36">
        <f> round(N8*100/F8,2)</f>
        <v>10.67</v>
      </c>
    </row>
    <row r="9">
      <c r="A9" s="19" t="str">
        <f>IFERROR(__xludf.DUMMYFUNCTION("GOOGLEFINANCE(""currency:JPYUSD"", ""price"",DATE(2020,5,4))"),"Date")</f>
        <v>Date</v>
      </c>
      <c r="B9" s="19" t="str">
        <f>IFERROR(__xludf.DUMMYFUNCTION("""COMPUTED_VALUE"""),"Close")</f>
        <v>Close</v>
      </c>
      <c r="I9" s="42">
        <f>IFERROR(__xludf.DUMMYFUNCTION("""COMPUTED_VALUE"""),43955.83333333333)</f>
        <v>43955.83333</v>
      </c>
      <c r="J9" s="44">
        <f>IFERROR(__xludf.DUMMYFUNCTION("""COMPUTED_VALUE"""),10466.8)</f>
        <v>10466.8</v>
      </c>
      <c r="K9" s="49">
        <f>IFERROR(__xludf.DUMMYFUNCTION("""COMPUTED_VALUE"""),43980.83333333333)</f>
        <v>43980.83333</v>
      </c>
      <c r="L9" s="44">
        <f>IFERROR(__xludf.DUMMYFUNCTION("""COMPUTED_VALUE"""),11586.85)</f>
        <v>11586.85</v>
      </c>
    </row>
    <row r="10">
      <c r="A10" s="38">
        <f>IFERROR(__xludf.DUMMYFUNCTION("""COMPUTED_VALUE"""),43955.99861111111)</f>
        <v>43955.99861</v>
      </c>
      <c r="B10" s="40">
        <f>IFERROR(__xludf.DUMMYFUNCTION("""COMPUTED_VALUE"""),0.009372)</f>
        <v>0.009372</v>
      </c>
      <c r="C10" s="20" t="s">
        <v>23</v>
      </c>
      <c r="D10" s="22" t="str">
        <f>IFERROR(__xludf.DUMMYFUNCTION("GOOGLEFINANCE($E10, ""name"")"),"Nikkei 225")</f>
        <v>Nikkei 225</v>
      </c>
      <c r="E10" s="22" t="s">
        <v>24</v>
      </c>
      <c r="F10" s="24">
        <v>20000.0</v>
      </c>
      <c r="G10" s="24">
        <f>20000/B10</f>
        <v>2134016.219</v>
      </c>
      <c r="H10" s="27">
        <f>round(G10/J11,2)</f>
        <v>108.77</v>
      </c>
      <c r="I10" s="29" t="str">
        <f>IFERROR(__xludf.DUMMYFUNCTION("GOOGLEFINANCE($E10,""price"",""4/30/2020"")"),"Date")</f>
        <v>Date</v>
      </c>
      <c r="J10" s="29" t="str">
        <f>IFERROR(__xludf.DUMMYFUNCTION("""COMPUTED_VALUE"""),"Close")</f>
        <v>Close</v>
      </c>
      <c r="K10" s="29" t="str">
        <f>IFERROR(__xludf.DUMMYFUNCTION("GOOGLEFINANCE($E10,""price"",""05/28/2020"")"),"Date")</f>
        <v>Date</v>
      </c>
      <c r="L10" s="29" t="str">
        <f>IFERROR(__xludf.DUMMYFUNCTION("""COMPUTED_VALUE"""),"Close")</f>
        <v>Close</v>
      </c>
      <c r="M10" s="31">
        <f>round(L11*H10,2)</f>
        <v>2379658.1</v>
      </c>
      <c r="N10" s="33">
        <f>O10*B12</f>
        <v>2282.386946</v>
      </c>
      <c r="O10" s="33">
        <f>M10-G10</f>
        <v>245641.8815</v>
      </c>
      <c r="P10" s="36">
        <f> round(N10*100/F10,2)</f>
        <v>11.41</v>
      </c>
    </row>
    <row r="11">
      <c r="A11" s="19" t="str">
        <f>IFERROR(__xludf.DUMMYFUNCTION("GOOGLEFINANCE(""currency:JPYUSD"", ""price"",DATE(2020,5,23))"),"Date")</f>
        <v>Date</v>
      </c>
      <c r="B11" s="19" t="str">
        <f>IFERROR(__xludf.DUMMYFUNCTION("""COMPUTED_VALUE"""),"Close")</f>
        <v>Close</v>
      </c>
      <c r="I11" s="42">
        <f>IFERROR(__xludf.DUMMYFUNCTION("""COMPUTED_VALUE"""),43952.625)</f>
        <v>43952.625</v>
      </c>
      <c r="J11" s="44">
        <f>IFERROR(__xludf.DUMMYFUNCTION("""COMPUTED_VALUE"""),19619.35)</f>
        <v>19619.35</v>
      </c>
      <c r="K11" s="49">
        <f>IFERROR(__xludf.DUMMYFUNCTION("""COMPUTED_VALUE"""),43980.625)</f>
        <v>43980.625</v>
      </c>
      <c r="L11" s="44">
        <f>IFERROR(__xludf.DUMMYFUNCTION("""COMPUTED_VALUE"""),21877.89)</f>
        <v>21877.89</v>
      </c>
    </row>
    <row r="12">
      <c r="A12" s="38">
        <f>IFERROR(__xludf.DUMMYFUNCTION("""COMPUTED_VALUE"""),43974.99861111111)</f>
        <v>43974.99861</v>
      </c>
      <c r="B12" s="40">
        <f>IFERROR(__xludf.DUMMYFUNCTION("""COMPUTED_VALUE"""),0.009291522)</f>
        <v>0.009291522</v>
      </c>
      <c r="C12" s="20" t="s">
        <v>25</v>
      </c>
      <c r="D12" s="22" t="s">
        <v>26</v>
      </c>
      <c r="E12" s="52" t="s">
        <v>27</v>
      </c>
      <c r="F12" s="24">
        <v>20000.0</v>
      </c>
      <c r="G12" s="24">
        <f>20000/B15</f>
        <v>141250.0203</v>
      </c>
      <c r="H12" s="27">
        <f>round(G12/J13,2)</f>
        <v>49.38</v>
      </c>
      <c r="I12" s="29" t="s">
        <v>28</v>
      </c>
      <c r="J12" s="29" t="s">
        <v>29</v>
      </c>
      <c r="K12" s="29" t="s">
        <v>28</v>
      </c>
      <c r="L12" s="29" t="s">
        <v>29</v>
      </c>
      <c r="M12" s="31">
        <f>round(L13*H12,2)</f>
        <v>140849.04</v>
      </c>
      <c r="N12" s="55">
        <f>O12*B17</f>
        <v>-56.23452048</v>
      </c>
      <c r="O12" s="55">
        <f>M12-G12</f>
        <v>-400.9803047</v>
      </c>
      <c r="P12" s="57">
        <f> round(N12*100/F12,2)</f>
        <v>-0.28</v>
      </c>
    </row>
    <row r="13">
      <c r="A13" s="11" t="s">
        <v>30</v>
      </c>
      <c r="I13" s="59">
        <v>43951.666666666664</v>
      </c>
      <c r="J13" s="44">
        <v>2860.41</v>
      </c>
      <c r="K13" s="49">
        <v>43980.625</v>
      </c>
      <c r="L13" s="60">
        <v>2852.35</v>
      </c>
    </row>
    <row r="14">
      <c r="A14" s="61" t="str">
        <f>IFERROR(__xludf.DUMMYFUNCTION("GOOGLEFINANCE(""currency:CNYUSD"", ""price"",DATE(2020,5,4))"),"Date")</f>
        <v>Date</v>
      </c>
      <c r="B14" s="19" t="str">
        <f>IFERROR(__xludf.DUMMYFUNCTION("""COMPUTED_VALUE"""),"Close")</f>
        <v>Close</v>
      </c>
      <c r="C14" s="20" t="s">
        <v>31</v>
      </c>
      <c r="D14" s="62" t="str">
        <f>IFERROR(__xludf.DUMMYFUNCTION("GOOGLEFINANCE($E14, ""name"")"),"S&amp;P GSCI Crude Oil ER")</f>
        <v>S&amp;P GSCI Crude Oil ER</v>
      </c>
      <c r="E14" s="22" t="s">
        <v>32</v>
      </c>
      <c r="F14" s="24">
        <v>10000.0</v>
      </c>
      <c r="G14" s="24">
        <v>10000.0</v>
      </c>
      <c r="H14" s="27">
        <f>round(G14/J15,2)</f>
        <v>268.82</v>
      </c>
      <c r="I14" s="29" t="s">
        <v>28</v>
      </c>
      <c r="J14" s="29" t="s">
        <v>29</v>
      </c>
      <c r="K14" s="29" t="s">
        <v>28</v>
      </c>
      <c r="L14" s="29" t="s">
        <v>29</v>
      </c>
      <c r="M14" s="31">
        <f>round(L15*H14,2)</f>
        <v>14865.75</v>
      </c>
      <c r="N14" s="33">
        <f>O14</f>
        <v>4865.75</v>
      </c>
      <c r="O14" s="33">
        <f>M14-G14</f>
        <v>4865.75</v>
      </c>
      <c r="P14" s="36">
        <f> round(N14*100/F14,2)</f>
        <v>48.66</v>
      </c>
    </row>
    <row r="15">
      <c r="A15" s="38">
        <f>IFERROR(__xludf.DUMMYFUNCTION("""COMPUTED_VALUE"""),43955.99861111111)</f>
        <v>43955.99861</v>
      </c>
      <c r="B15" s="40">
        <f>IFERROR(__xludf.DUMMYFUNCTION("""COMPUTED_VALUE"""),0.1415929)</f>
        <v>0.1415929</v>
      </c>
      <c r="I15" s="29" t="s">
        <v>33</v>
      </c>
      <c r="J15" s="44">
        <v>37.2</v>
      </c>
      <c r="K15" s="49">
        <v>43980.625</v>
      </c>
      <c r="L15" s="44">
        <f>IFERROR(__xludf.DUMMYFUNCTION("GOOGLEFINANCE($E14,""price"")"),55.3)</f>
        <v>55.3</v>
      </c>
    </row>
    <row r="16">
      <c r="A16" s="19" t="str">
        <f>IFERROR(__xludf.DUMMYFUNCTION("GOOGLEFINANCE(""currency:CNYUSD"", ""price"",DATE(2020,5,23))"),"Date")</f>
        <v>Date</v>
      </c>
      <c r="B16" s="19" t="str">
        <f>IFERROR(__xludf.DUMMYFUNCTION("""COMPUTED_VALUE"""),"Close")</f>
        <v>Close</v>
      </c>
      <c r="C16" s="20" t="s">
        <v>31</v>
      </c>
      <c r="D16" s="62" t="str">
        <f>IFERROR(__xludf.DUMMYFUNCTION("GOOGLEFINANCE($E16, ""name"")"),"S&amp;P GSCI Gold ER")</f>
        <v>S&amp;P GSCI Gold ER</v>
      </c>
      <c r="E16" s="22" t="s">
        <v>34</v>
      </c>
      <c r="F16" s="24">
        <v>50000.0</v>
      </c>
      <c r="G16" s="24">
        <v>50000.0</v>
      </c>
      <c r="H16" s="27">
        <f>round(G16/J17,2)</f>
        <v>382.18</v>
      </c>
      <c r="I16" s="29" t="s">
        <v>28</v>
      </c>
      <c r="J16" s="29" t="s">
        <v>29</v>
      </c>
      <c r="K16" s="29" t="s">
        <v>28</v>
      </c>
      <c r="L16" s="29" t="s">
        <v>29</v>
      </c>
      <c r="M16" s="31">
        <f>round(L17*H16,2)</f>
        <v>50784.08</v>
      </c>
      <c r="N16" s="33">
        <f>O16</f>
        <v>784.08</v>
      </c>
      <c r="O16" s="33">
        <f>M16-G16</f>
        <v>784.08</v>
      </c>
      <c r="P16" s="36">
        <f> round(N16*100/F16,2)</f>
        <v>1.57</v>
      </c>
    </row>
    <row r="17">
      <c r="A17" s="38">
        <f>IFERROR(__xludf.DUMMYFUNCTION("""COMPUTED_VALUE"""),43974.99861111111)</f>
        <v>43974.99861</v>
      </c>
      <c r="B17" s="40">
        <f>IFERROR(__xludf.DUMMYFUNCTION("""COMPUTED_VALUE"""),0.1402426)</f>
        <v>0.1402426</v>
      </c>
      <c r="I17" s="42">
        <v>43955.666666666664</v>
      </c>
      <c r="J17" s="44">
        <v>130.83</v>
      </c>
      <c r="K17" s="49">
        <v>43980.625</v>
      </c>
      <c r="L17" s="44">
        <f>IFERROR(__xludf.DUMMYFUNCTION("GOOGLEFINANCE($E16,""price"")"),132.88)</f>
        <v>132.88</v>
      </c>
    </row>
    <row r="18">
      <c r="A18" s="19"/>
      <c r="B18" s="19"/>
      <c r="C18" s="20" t="s">
        <v>35</v>
      </c>
      <c r="D18" s="62" t="str">
        <f>IFERROR(__xludf.DUMMYFUNCTION("GOOGLEFINANCE($E18, ""name"")"),"iShares Barclays 20+ Yr Treas.Bond")</f>
        <v>iShares Barclays 20+ Yr Treas.Bond</v>
      </c>
      <c r="E18" s="22" t="s">
        <v>36</v>
      </c>
      <c r="F18" s="24">
        <v>30000.0</v>
      </c>
      <c r="G18" s="24">
        <v>30000.0</v>
      </c>
      <c r="H18" s="27">
        <f>round(G18/J19,2)</f>
        <v>179.47</v>
      </c>
      <c r="I18" s="29" t="str">
        <f>IFERROR(__xludf.DUMMYFUNCTION("GOOGLEFINANCE($E18,""price"",""5/4/2020"")"),"Date")</f>
        <v>Date</v>
      </c>
      <c r="J18" s="29" t="str">
        <f>IFERROR(__xludf.DUMMYFUNCTION("""COMPUTED_VALUE"""),"Close")</f>
        <v>Close</v>
      </c>
      <c r="K18" s="29" t="str">
        <f>IFERROR(__xludf.DUMMYFUNCTION("GOOGLEFINANCE($E45,""price"",""05/29/2020"")"),"Date")</f>
        <v>Date</v>
      </c>
      <c r="L18" s="29" t="str">
        <f>IFERROR(__xludf.DUMMYFUNCTION("""COMPUTED_VALUE"""),"Close")</f>
        <v>Close</v>
      </c>
      <c r="M18" s="31">
        <f>round(L19*H18,2)</f>
        <v>29359.5</v>
      </c>
      <c r="N18" s="55">
        <f>O18</f>
        <v>-640.5</v>
      </c>
      <c r="O18" s="55">
        <f>M18-G18</f>
        <v>-640.5</v>
      </c>
      <c r="P18" s="57">
        <f> round(N18*100/F18,2)</f>
        <v>-2.14</v>
      </c>
    </row>
    <row r="19">
      <c r="A19" s="19"/>
      <c r="B19" s="19"/>
      <c r="I19" s="42">
        <f>IFERROR(__xludf.DUMMYFUNCTION("""COMPUTED_VALUE"""),43955.66666666667)</f>
        <v>43955.66667</v>
      </c>
      <c r="J19" s="44">
        <f>IFERROR(__xludf.DUMMYFUNCTION("""COMPUTED_VALUE"""),167.16)</f>
        <v>167.16</v>
      </c>
      <c r="K19" s="42">
        <f>IFERROR(__xludf.DUMMYFUNCTION("""COMPUTED_VALUE"""),43980.66666666667)</f>
        <v>43980.66667</v>
      </c>
      <c r="L19" s="44">
        <f>IFERROR(__xludf.DUMMYFUNCTION("""COMPUTED_VALUE"""),163.59)</f>
        <v>163.59</v>
      </c>
    </row>
    <row r="20">
      <c r="A20" s="19"/>
      <c r="B20" s="19"/>
      <c r="C20" s="20" t="s">
        <v>35</v>
      </c>
      <c r="D20" s="62" t="str">
        <f>IFERROR(__xludf.DUMMYFUNCTION("GOOGLEFINANCE($E20, ""name"")"),"iShares iBoxx $ High Yid Corp Bond")</f>
        <v>iShares iBoxx $ High Yid Corp Bond</v>
      </c>
      <c r="E20" s="22" t="s">
        <v>37</v>
      </c>
      <c r="F20" s="24">
        <v>20000.0</v>
      </c>
      <c r="G20" s="24">
        <v>20000.0</v>
      </c>
      <c r="H20" s="27">
        <f>round(G20/J21,2)</f>
        <v>254.55</v>
      </c>
      <c r="I20" s="29" t="str">
        <f>IFERROR(__xludf.DUMMYFUNCTION("GOOGLEFINANCE($E20,""price"",""5/4/2020"")"),"Date")</f>
        <v>Date</v>
      </c>
      <c r="J20" s="29" t="str">
        <f>IFERROR(__xludf.DUMMYFUNCTION("""COMPUTED_VALUE"""),"Close")</f>
        <v>Close</v>
      </c>
      <c r="K20" s="29" t="str">
        <f>IFERROR(__xludf.DUMMYFUNCTION("GOOGLEFINANCE($E47,""price"",""05/29/2020"")"),"Date")</f>
        <v>Date</v>
      </c>
      <c r="L20" s="29" t="str">
        <f>IFERROR(__xludf.DUMMYFUNCTION("""COMPUTED_VALUE"""),"Close")</f>
        <v>Close</v>
      </c>
      <c r="M20" s="31">
        <f>round(L21*H20,2)</f>
        <v>20980.01</v>
      </c>
      <c r="N20" s="33">
        <f>O20</f>
        <v>980.01</v>
      </c>
      <c r="O20" s="33">
        <f>M20-G20</f>
        <v>980.01</v>
      </c>
      <c r="P20" s="72">
        <f> round(N20*100/F20,2)</f>
        <v>4.9</v>
      </c>
    </row>
    <row r="21">
      <c r="A21" s="19"/>
      <c r="B21" s="19"/>
      <c r="I21" s="42">
        <f>IFERROR(__xludf.DUMMYFUNCTION("""COMPUTED_VALUE"""),43955.66666666667)</f>
        <v>43955.66667</v>
      </c>
      <c r="J21" s="44">
        <f>IFERROR(__xludf.DUMMYFUNCTION("""COMPUTED_VALUE"""),78.57)</f>
        <v>78.57</v>
      </c>
      <c r="K21" s="42">
        <f>IFERROR(__xludf.DUMMYFUNCTION("""COMPUTED_VALUE"""),43980.66666666667)</f>
        <v>43980.66667</v>
      </c>
      <c r="L21" s="44">
        <f>IFERROR(__xludf.DUMMYFUNCTION("""COMPUTED_VALUE"""),82.42)</f>
        <v>82.42</v>
      </c>
    </row>
    <row r="22">
      <c r="A22" s="19"/>
      <c r="B22" s="19"/>
      <c r="C22" s="20" t="s">
        <v>38</v>
      </c>
      <c r="D22" s="75" t="s">
        <v>38</v>
      </c>
      <c r="E22" s="22" t="s">
        <v>39</v>
      </c>
      <c r="F22" s="24">
        <v>700000.0</v>
      </c>
      <c r="G22" s="24">
        <v>700000.0</v>
      </c>
      <c r="H22" s="77" t="s">
        <v>39</v>
      </c>
      <c r="I22" s="29" t="s">
        <v>39</v>
      </c>
      <c r="K22" s="29" t="s">
        <v>39</v>
      </c>
      <c r="M22" s="31">
        <f>round(G22*(1+ 7/36500),2)</f>
        <v>700134.25</v>
      </c>
      <c r="N22" s="36">
        <v>134.0</v>
      </c>
      <c r="O22" s="33">
        <f>M22-G22</f>
        <v>134.25</v>
      </c>
      <c r="P22" s="72">
        <f> round(N22*100/F22,2)</f>
        <v>0.02</v>
      </c>
    </row>
    <row r="23">
      <c r="A23" s="19"/>
      <c r="B23" s="19"/>
    </row>
    <row r="24">
      <c r="A24" s="19"/>
      <c r="B24" s="19"/>
      <c r="C24" s="79" t="s">
        <v>40</v>
      </c>
      <c r="D24" s="80"/>
      <c r="E24" s="80"/>
      <c r="F24" s="81">
        <f>SUM(F4:F23)</f>
        <v>1000000</v>
      </c>
      <c r="G24" s="80"/>
      <c r="H24" s="80"/>
      <c r="I24" s="80"/>
      <c r="J24" s="80"/>
      <c r="K24" s="80"/>
      <c r="L24" s="80"/>
      <c r="M24" s="80"/>
      <c r="N24" s="83">
        <f>SUM(N4:N23)</f>
        <v>21318.46987</v>
      </c>
      <c r="O24" s="84"/>
      <c r="P24" s="84"/>
    </row>
    <row r="25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</row>
    <row r="26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</row>
    <row r="27">
      <c r="A27" s="85"/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</row>
    <row r="28">
      <c r="A28" s="2"/>
      <c r="B28" s="2"/>
      <c r="C28" s="2"/>
      <c r="D28" s="2"/>
      <c r="E28" s="2"/>
      <c r="F28" s="4" t="s">
        <v>41</v>
      </c>
      <c r="I28" s="2"/>
      <c r="J28" s="2"/>
      <c r="K28" s="2"/>
      <c r="L28" s="2"/>
      <c r="M28" s="2"/>
      <c r="N28" s="2"/>
      <c r="O28" s="2"/>
      <c r="P28" s="2"/>
    </row>
    <row r="29">
      <c r="A29" s="6" t="s">
        <v>1</v>
      </c>
      <c r="C29" s="7"/>
      <c r="D29" s="7"/>
      <c r="E29" s="7"/>
      <c r="F29" s="9" t="s">
        <v>42</v>
      </c>
      <c r="H29" s="7"/>
      <c r="I29" s="7"/>
      <c r="J29" s="7"/>
      <c r="K29" s="7"/>
      <c r="L29" s="7"/>
      <c r="M29" s="7"/>
      <c r="N29" s="9" t="s">
        <v>3</v>
      </c>
      <c r="P29" s="7"/>
    </row>
    <row r="30">
      <c r="A30" s="11" t="s">
        <v>4</v>
      </c>
      <c r="C30" s="13" t="s">
        <v>5</v>
      </c>
      <c r="D30" s="13" t="s">
        <v>6</v>
      </c>
      <c r="E30" s="13" t="s">
        <v>7</v>
      </c>
      <c r="F30" s="13" t="s">
        <v>8</v>
      </c>
      <c r="G30" s="13" t="s">
        <v>9</v>
      </c>
      <c r="H30" s="13" t="s">
        <v>10</v>
      </c>
      <c r="I30" s="15" t="s">
        <v>11</v>
      </c>
      <c r="K30" s="15" t="s">
        <v>12</v>
      </c>
      <c r="M30" s="13" t="s">
        <v>13</v>
      </c>
      <c r="N30" s="15" t="s">
        <v>14</v>
      </c>
      <c r="O30" s="13" t="s">
        <v>15</v>
      </c>
      <c r="P30" s="13" t="s">
        <v>16</v>
      </c>
    </row>
    <row r="31">
      <c r="A31" s="19" t="str">
        <f>IFERROR(__xludf.DUMMYFUNCTION("GOOGLEFINANCE(""currency:EURUSD"", ""price"",DATE(2020,5,4))"),"Date")</f>
        <v>Date</v>
      </c>
      <c r="B31" s="19" t="str">
        <f>IFERROR(__xludf.DUMMYFUNCTION("""COMPUTED_VALUE"""),"Close")</f>
        <v>Close</v>
      </c>
      <c r="C31" s="20" t="s">
        <v>17</v>
      </c>
      <c r="D31" s="22" t="str">
        <f>IFERROR(__xludf.DUMMYFUNCTION("GOOGLEFINANCE($E31, ""name"")"),"S&amp;P 500 Index")</f>
        <v>S&amp;P 500 Index</v>
      </c>
      <c r="E31" s="22" t="s">
        <v>18</v>
      </c>
      <c r="F31" s="24">
        <v>30000.0</v>
      </c>
      <c r="G31" s="24">
        <f>F31</f>
        <v>30000</v>
      </c>
      <c r="H31" s="27">
        <f>round((G31)/J32,2)</f>
        <v>10.24</v>
      </c>
      <c r="I31" s="28" t="str">
        <f>IFERROR(__xludf.DUMMYFUNCTION("GOOGLEFINANCE($E31,""price"",""5/11/2020"")"),"Date")</f>
        <v>Date</v>
      </c>
      <c r="J31" s="29" t="str">
        <f>IFERROR(__xludf.DUMMYFUNCTION("""COMPUTED_VALUE"""),"Close")</f>
        <v>Close</v>
      </c>
      <c r="K31" s="29" t="str">
        <f>IFERROR(__xludf.DUMMYFUNCTION("GOOGLEFINANCE($E31,""price"",""05/29/2020"")"),"Date")</f>
        <v>Date</v>
      </c>
      <c r="L31" s="29" t="str">
        <f>IFERROR(__xludf.DUMMYFUNCTION("""COMPUTED_VALUE"""),"Close")</f>
        <v>Close</v>
      </c>
      <c r="M31" s="31">
        <f>round(L32*H31,2)</f>
        <v>31173.73</v>
      </c>
      <c r="N31" s="33">
        <f>M31-G31</f>
        <v>1173.73</v>
      </c>
      <c r="O31" s="33">
        <f>M31-G31</f>
        <v>1173.73</v>
      </c>
      <c r="P31" s="36">
        <f> round(N31*100/F31,2)</f>
        <v>3.91</v>
      </c>
    </row>
    <row r="32">
      <c r="A32" s="38">
        <f>IFERROR(__xludf.DUMMYFUNCTION("""COMPUTED_VALUE"""),43955.99861111111)</f>
        <v>43955.99861</v>
      </c>
      <c r="B32" s="40">
        <f>IFERROR(__xludf.DUMMYFUNCTION("""COMPUTED_VALUE"""),1.09041)</f>
        <v>1.09041</v>
      </c>
      <c r="I32" s="42">
        <f>IFERROR(__xludf.DUMMYFUNCTION("""COMPUTED_VALUE"""),43962.66666666667)</f>
        <v>43962.66667</v>
      </c>
      <c r="J32" s="44">
        <f>IFERROR(__xludf.DUMMYFUNCTION("""COMPUTED_VALUE"""),2930.32)</f>
        <v>2930.32</v>
      </c>
      <c r="K32" s="42">
        <f>IFERROR(__xludf.DUMMYFUNCTION("""COMPUTED_VALUE"""),43980.66666666667)</f>
        <v>43980.66667</v>
      </c>
      <c r="L32" s="44">
        <f>IFERROR(__xludf.DUMMYFUNCTION("""COMPUTED_VALUE"""),3044.31)</f>
        <v>3044.31</v>
      </c>
    </row>
    <row r="33">
      <c r="A33" s="19" t="str">
        <f>IFERROR(__xludf.DUMMYFUNCTION("GOOGLEFINANCE(""currency:EURUSD"", ""price"",DATE(2020,5,23))"),"Date")</f>
        <v>Date</v>
      </c>
      <c r="B33" s="19" t="str">
        <f>IFERROR(__xludf.DUMMYFUNCTION("""COMPUTED_VALUE"""),"Close")</f>
        <v>Close</v>
      </c>
      <c r="C33" s="20" t="s">
        <v>17</v>
      </c>
      <c r="D33" s="22" t="str">
        <f>IFERROR(__xludf.DUMMYFUNCTION("GOOGLEFINANCE($E33, ""name"")"),"NASDAQ-100")</f>
        <v>NASDAQ-100</v>
      </c>
      <c r="E33" s="22" t="s">
        <v>19</v>
      </c>
      <c r="F33" s="24">
        <v>50000.0</v>
      </c>
      <c r="G33" s="24">
        <f>F33</f>
        <v>50000</v>
      </c>
      <c r="H33" s="27">
        <f>round((G33)/J34,2)</f>
        <v>5.38</v>
      </c>
      <c r="I33" s="29" t="str">
        <f>IFERROR(__xludf.DUMMYFUNCTION("GOOGLEFINANCE($E33,""price"",""5/11/2020"")"),"Date")</f>
        <v>Date</v>
      </c>
      <c r="J33" s="29" t="str">
        <f>IFERROR(__xludf.DUMMYFUNCTION("""COMPUTED_VALUE"""),"Close")</f>
        <v>Close</v>
      </c>
      <c r="K33" s="29" t="str">
        <f>IFERROR(__xludf.DUMMYFUNCTION("GOOGLEFINANCE($E33,""price"",""05/29/2020"")"),"Date")</f>
        <v>Date</v>
      </c>
      <c r="L33" s="29" t="str">
        <f>IFERROR(__xludf.DUMMYFUNCTION("""COMPUTED_VALUE"""),"Close")</f>
        <v>Close</v>
      </c>
      <c r="M33" s="31">
        <f>round(L34*H33,2)</f>
        <v>51408.75</v>
      </c>
      <c r="N33" s="33">
        <f>M33-G33</f>
        <v>1408.75</v>
      </c>
      <c r="O33" s="33">
        <f>M33-G33</f>
        <v>1408.75</v>
      </c>
      <c r="P33" s="36">
        <f> round(N33*100/F33,2)</f>
        <v>2.82</v>
      </c>
    </row>
    <row r="34">
      <c r="A34" s="38">
        <f>IFERROR(__xludf.DUMMYFUNCTION("""COMPUTED_VALUE"""),43974.99861111111)</f>
        <v>43974.99861</v>
      </c>
      <c r="B34" s="40">
        <f>IFERROR(__xludf.DUMMYFUNCTION("""COMPUTED_VALUE"""),1.0897)</f>
        <v>1.0897</v>
      </c>
      <c r="I34" s="42">
        <f>IFERROR(__xludf.DUMMYFUNCTION("""COMPUTED_VALUE"""),43962.66666666667)</f>
        <v>43962.66667</v>
      </c>
      <c r="J34" s="44">
        <f>IFERROR(__xludf.DUMMYFUNCTION("""COMPUTED_VALUE"""),9298.92)</f>
        <v>9298.92</v>
      </c>
      <c r="K34" s="42">
        <f>IFERROR(__xludf.DUMMYFUNCTION("""COMPUTED_VALUE"""),43980.66666666667)</f>
        <v>43980.66667</v>
      </c>
      <c r="L34" s="44">
        <f>IFERROR(__xludf.DUMMYFUNCTION("""COMPUTED_VALUE"""),9555.53)</f>
        <v>9555.53</v>
      </c>
    </row>
    <row r="35">
      <c r="A35" s="11" t="s">
        <v>20</v>
      </c>
      <c r="C35" s="20" t="s">
        <v>21</v>
      </c>
      <c r="D35" s="22" t="str">
        <f>IFERROR(__xludf.DUMMYFUNCTION("GOOGLEFINANCE(""indexdb:DAX"", ""name"")"),"DAX PERFORMANCE-INDEX")</f>
        <v>DAX PERFORMANCE-INDEX</v>
      </c>
      <c r="E35" s="22" t="s">
        <v>22</v>
      </c>
      <c r="F35" s="24">
        <v>30000.0</v>
      </c>
      <c r="G35" s="24">
        <f>F35/B32</f>
        <v>27512.58701</v>
      </c>
      <c r="H35" s="27">
        <f>round((G35)/J36,2)</f>
        <v>2.54</v>
      </c>
      <c r="I35" s="28" t="str">
        <f>IFERROR(__xludf.DUMMYFUNCTION("GOOGLEFINANCE(""indexdb:DAX"",""price"",""5/11/2020"")"),"Date")</f>
        <v>Date</v>
      </c>
      <c r="J35" s="29" t="str">
        <f>IFERROR(__xludf.DUMMYFUNCTION("""COMPUTED_VALUE"""),"Close")</f>
        <v>Close</v>
      </c>
      <c r="K35" s="29" t="str">
        <f>IFERROR(__xludf.DUMMYFUNCTION("GOOGLEFINANCE(""indexdb:DAX"", ""price"",""05/29/2020"")"),"Date")</f>
        <v>Date</v>
      </c>
      <c r="L35" s="29" t="str">
        <f>IFERROR(__xludf.DUMMYFUNCTION("""COMPUTED_VALUE"""),"Close")</f>
        <v>Close</v>
      </c>
      <c r="M35" s="31">
        <f>round(L36*H35,2)</f>
        <v>29430.6</v>
      </c>
      <c r="N35" s="33">
        <f>O35*B34</f>
        <v>2090.058757</v>
      </c>
      <c r="O35" s="33">
        <f>M35-G35</f>
        <v>1918.012991</v>
      </c>
      <c r="P35" s="36">
        <f> round(N35*100/F35,2)</f>
        <v>6.97</v>
      </c>
    </row>
    <row r="36">
      <c r="A36" s="19" t="str">
        <f>IFERROR(__xludf.DUMMYFUNCTION("GOOGLEFINANCE(""currency:JPYUSD"", ""price"",DATE(2020,5,4))"),"Date")</f>
        <v>Date</v>
      </c>
      <c r="B36" s="19" t="str">
        <f>IFERROR(__xludf.DUMMYFUNCTION("""COMPUTED_VALUE"""),"Close")</f>
        <v>Close</v>
      </c>
      <c r="I36" s="42">
        <f>IFERROR(__xludf.DUMMYFUNCTION("""COMPUTED_VALUE"""),43962.83333333333)</f>
        <v>43962.83333</v>
      </c>
      <c r="J36" s="44">
        <f>IFERROR(__xludf.DUMMYFUNCTION("""COMPUTED_VALUE"""),10824.99)</f>
        <v>10824.99</v>
      </c>
      <c r="K36" s="49">
        <f>IFERROR(__xludf.DUMMYFUNCTION("""COMPUTED_VALUE"""),43980.83333333333)</f>
        <v>43980.83333</v>
      </c>
      <c r="L36" s="44">
        <f>IFERROR(__xludf.DUMMYFUNCTION("""COMPUTED_VALUE"""),11586.85)</f>
        <v>11586.85</v>
      </c>
    </row>
    <row r="37">
      <c r="A37" s="38">
        <f>IFERROR(__xludf.DUMMYFUNCTION("""COMPUTED_VALUE"""),43955.99861111111)</f>
        <v>43955.99861</v>
      </c>
      <c r="B37" s="40">
        <f>IFERROR(__xludf.DUMMYFUNCTION("""COMPUTED_VALUE"""),0.009372)</f>
        <v>0.009372</v>
      </c>
      <c r="C37" s="20" t="s">
        <v>23</v>
      </c>
      <c r="D37" s="22" t="str">
        <f>IFERROR(__xludf.DUMMYFUNCTION("GOOGLEFINANCE($E37, ""name"")"),"Nikkei 225")</f>
        <v>Nikkei 225</v>
      </c>
      <c r="E37" s="22" t="s">
        <v>24</v>
      </c>
      <c r="F37" s="24">
        <v>40000.0</v>
      </c>
      <c r="G37" s="24">
        <f>60000/B37</f>
        <v>6402048.656</v>
      </c>
      <c r="H37" s="27">
        <f>round((G37)/J38,2)</f>
        <v>313.97</v>
      </c>
      <c r="I37" s="29" t="str">
        <f>IFERROR(__xludf.DUMMYFUNCTION("GOOGLEFINANCE($E37,""price"",""5/10/2020"")"),"Date")</f>
        <v>Date</v>
      </c>
      <c r="J37" s="29" t="str">
        <f>IFERROR(__xludf.DUMMYFUNCTION("""COMPUTED_VALUE"""),"Close")</f>
        <v>Close</v>
      </c>
      <c r="K37" s="29" t="str">
        <f>IFERROR(__xludf.DUMMYFUNCTION("GOOGLEFINANCE($E37,""price"",""05/28/2020"")"),"Date")</f>
        <v>Date</v>
      </c>
      <c r="L37" s="29" t="str">
        <f>IFERROR(__xludf.DUMMYFUNCTION("""COMPUTED_VALUE"""),"Close")</f>
        <v>Close</v>
      </c>
      <c r="M37" s="31">
        <f>round(L38*H37,2)</f>
        <v>6869001.12</v>
      </c>
      <c r="N37" s="39">
        <f>O37*B39</f>
        <v>4338.699096</v>
      </c>
      <c r="O37" s="39">
        <f>M37-G37</f>
        <v>466952.4644</v>
      </c>
      <c r="P37" s="43">
        <f> round(N37*100/F37,2)</f>
        <v>10.85</v>
      </c>
    </row>
    <row r="38">
      <c r="A38" s="19" t="str">
        <f>IFERROR(__xludf.DUMMYFUNCTION("GOOGLEFINANCE(""currency:JPYUSD"", ""price"",DATE(2020,5,23))"),"Date")</f>
        <v>Date</v>
      </c>
      <c r="B38" s="19" t="str">
        <f>IFERROR(__xludf.DUMMYFUNCTION("""COMPUTED_VALUE"""),"Close")</f>
        <v>Close</v>
      </c>
      <c r="I38" s="42">
        <f>IFERROR(__xludf.DUMMYFUNCTION("""COMPUTED_VALUE"""),43962.625)</f>
        <v>43962.625</v>
      </c>
      <c r="J38" s="44">
        <f>IFERROR(__xludf.DUMMYFUNCTION("""COMPUTED_VALUE"""),20390.66)</f>
        <v>20390.66</v>
      </c>
      <c r="K38" s="49">
        <f>IFERROR(__xludf.DUMMYFUNCTION("""COMPUTED_VALUE"""),43980.625)</f>
        <v>43980.625</v>
      </c>
      <c r="L38" s="44">
        <f>IFERROR(__xludf.DUMMYFUNCTION("""COMPUTED_VALUE"""),21877.89)</f>
        <v>21877.89</v>
      </c>
    </row>
    <row r="39">
      <c r="A39" s="38">
        <f>IFERROR(__xludf.DUMMYFUNCTION("""COMPUTED_VALUE"""),43974.99861111111)</f>
        <v>43974.99861</v>
      </c>
      <c r="B39" s="40">
        <f>IFERROR(__xludf.DUMMYFUNCTION("""COMPUTED_VALUE"""),0.009291522)</f>
        <v>0.009291522</v>
      </c>
      <c r="C39" s="20" t="s">
        <v>25</v>
      </c>
      <c r="D39" s="22" t="s">
        <v>26</v>
      </c>
      <c r="E39" s="52" t="s">
        <v>27</v>
      </c>
      <c r="F39" s="24">
        <v>30000.0</v>
      </c>
      <c r="G39" s="24">
        <f>50000/B42</f>
        <v>353125.0508</v>
      </c>
      <c r="H39" s="27">
        <f>round((G39)/J40,2)</f>
        <v>121.96</v>
      </c>
      <c r="I39" s="29" t="s">
        <v>28</v>
      </c>
      <c r="J39" s="29" t="s">
        <v>29</v>
      </c>
      <c r="K39" s="29" t="s">
        <v>28</v>
      </c>
      <c r="L39" s="29" t="s">
        <v>29</v>
      </c>
      <c r="M39" s="31">
        <f>round(L40*H39,2)</f>
        <v>347872.61</v>
      </c>
      <c r="N39" s="55">
        <f>O39*B44</f>
        <v>-736.6159488</v>
      </c>
      <c r="O39" s="55">
        <f>M39-G39</f>
        <v>-5252.440762</v>
      </c>
      <c r="P39" s="57">
        <f> round(N39*100/F39,2)</f>
        <v>-2.46</v>
      </c>
    </row>
    <row r="40">
      <c r="A40" s="11" t="s">
        <v>30</v>
      </c>
      <c r="I40" s="59">
        <v>43951.666666666664</v>
      </c>
      <c r="J40" s="44">
        <v>2895.51</v>
      </c>
      <c r="K40" s="49">
        <v>43980.625</v>
      </c>
      <c r="L40" s="60">
        <v>2852.35</v>
      </c>
    </row>
    <row r="41">
      <c r="A41" s="61" t="str">
        <f>IFERROR(__xludf.DUMMYFUNCTION("GOOGLEFINANCE(""currency:CNYUSD"", ""price"",DATE(2020,5,4))"),"Date")</f>
        <v>Date</v>
      </c>
      <c r="B41" s="19" t="str">
        <f>IFERROR(__xludf.DUMMYFUNCTION("""COMPUTED_VALUE"""),"Close")</f>
        <v>Close</v>
      </c>
      <c r="C41" s="20" t="s">
        <v>31</v>
      </c>
      <c r="D41" s="62" t="str">
        <f>IFERROR(__xludf.DUMMYFUNCTION("GOOGLEFINANCE($E41, ""name"")"),"S&amp;P GSCI Crude Oil ER")</f>
        <v>S&amp;P GSCI Crude Oil ER</v>
      </c>
      <c r="E41" s="22" t="s">
        <v>32</v>
      </c>
      <c r="F41" s="24">
        <v>20000.0</v>
      </c>
      <c r="G41" s="24">
        <f>F41</f>
        <v>20000</v>
      </c>
      <c r="H41" s="27">
        <f>round((G41)/J42,2)</f>
        <v>488.76</v>
      </c>
      <c r="I41" s="29" t="s">
        <v>28</v>
      </c>
      <c r="J41" s="29" t="s">
        <v>29</v>
      </c>
      <c r="K41" s="29" t="s">
        <v>28</v>
      </c>
      <c r="L41" s="29" t="s">
        <v>29</v>
      </c>
      <c r="M41" s="31">
        <f>round(L42*H41,2)</f>
        <v>27028.43</v>
      </c>
      <c r="N41" s="33">
        <f>O41</f>
        <v>7028.43</v>
      </c>
      <c r="O41" s="33">
        <f>M41-G41</f>
        <v>7028.43</v>
      </c>
      <c r="P41" s="36">
        <f> round(N41*100/F41,2)</f>
        <v>35.14</v>
      </c>
    </row>
    <row r="42">
      <c r="A42" s="38">
        <f>IFERROR(__xludf.DUMMYFUNCTION("""COMPUTED_VALUE"""),43955.99861111111)</f>
        <v>43955.99861</v>
      </c>
      <c r="B42" s="40">
        <f>IFERROR(__xludf.DUMMYFUNCTION("""COMPUTED_VALUE"""),0.1415929)</f>
        <v>0.1415929</v>
      </c>
      <c r="I42" s="49">
        <v>43962.666666666664</v>
      </c>
      <c r="J42" s="44">
        <v>40.92</v>
      </c>
      <c r="K42" s="49">
        <v>43980.625</v>
      </c>
      <c r="L42" s="44">
        <f>IFERROR(__xludf.DUMMYFUNCTION("GOOGLEFINANCE($E41,""price"")"),55.3)</f>
        <v>55.3</v>
      </c>
    </row>
    <row r="43">
      <c r="A43" s="19" t="str">
        <f>IFERROR(__xludf.DUMMYFUNCTION("GOOGLEFINANCE(""currency:CNYUSD"", ""price"",DATE(2020,5,23))"),"Date")</f>
        <v>Date</v>
      </c>
      <c r="B43" s="19" t="str">
        <f>IFERROR(__xludf.DUMMYFUNCTION("""COMPUTED_VALUE"""),"Close")</f>
        <v>Close</v>
      </c>
      <c r="C43" s="20" t="s">
        <v>31</v>
      </c>
      <c r="D43" s="62" t="str">
        <f>IFERROR(__xludf.DUMMYFUNCTION("GOOGLEFINANCE($E43, ""name"")"),"S&amp;P GSCI Gold ER")</f>
        <v>S&amp;P GSCI Gold ER</v>
      </c>
      <c r="E43" s="22" t="s">
        <v>34</v>
      </c>
      <c r="F43" s="24">
        <v>0.0</v>
      </c>
      <c r="G43" s="24">
        <f>F43</f>
        <v>0</v>
      </c>
      <c r="H43" s="27">
        <f>round((G43)/J44,2)</f>
        <v>0</v>
      </c>
      <c r="I43" s="29" t="s">
        <v>28</v>
      </c>
      <c r="J43" s="29" t="s">
        <v>29</v>
      </c>
      <c r="K43" s="29" t="s">
        <v>28</v>
      </c>
      <c r="L43" s="29" t="s">
        <v>29</v>
      </c>
      <c r="M43" s="31">
        <f>round(L44*H43,2)</f>
        <v>0</v>
      </c>
      <c r="N43" s="33">
        <f>O43</f>
        <v>0</v>
      </c>
      <c r="O43" s="33">
        <f>M43-G43</f>
        <v>0</v>
      </c>
      <c r="P43" s="36">
        <v>0.0</v>
      </c>
    </row>
    <row r="44">
      <c r="A44" s="38">
        <f>IFERROR(__xludf.DUMMYFUNCTION("""COMPUTED_VALUE"""),43974.99861111111)</f>
        <v>43974.99861</v>
      </c>
      <c r="B44" s="40">
        <f>IFERROR(__xludf.DUMMYFUNCTION("""COMPUTED_VALUE"""),0.1402426)</f>
        <v>0.1402426</v>
      </c>
      <c r="I44" s="42">
        <v>43955.666666666664</v>
      </c>
      <c r="J44" s="44">
        <v>130.83</v>
      </c>
      <c r="K44" s="49">
        <v>43980.625</v>
      </c>
      <c r="L44" s="44">
        <f>IFERROR(__xludf.DUMMYFUNCTION("GOOGLEFINANCE($E43,""price"")"),132.88)</f>
        <v>132.88</v>
      </c>
    </row>
    <row r="45">
      <c r="A45" s="19"/>
      <c r="B45" s="19"/>
      <c r="C45" s="20" t="s">
        <v>35</v>
      </c>
      <c r="D45" s="62" t="str">
        <f>IFERROR(__xludf.DUMMYFUNCTION("GOOGLEFINANCE($E45, ""name"")"),"iShares Barclays 20+ Yr Treas.Bond")</f>
        <v>iShares Barclays 20+ Yr Treas.Bond</v>
      </c>
      <c r="E45" s="22" t="s">
        <v>36</v>
      </c>
      <c r="F45" s="24">
        <v>0.0</v>
      </c>
      <c r="G45" s="24">
        <f>F45</f>
        <v>0</v>
      </c>
      <c r="H45" s="27">
        <f>round((G45)/J46,2)</f>
        <v>0</v>
      </c>
      <c r="I45" s="29" t="str">
        <f>IFERROR(__xludf.DUMMYFUNCTION("GOOGLEFINANCE($E45,""price"",""5/4/2020"")"),"Date")</f>
        <v>Date</v>
      </c>
      <c r="J45" s="29" t="str">
        <f>IFERROR(__xludf.DUMMYFUNCTION("""COMPUTED_VALUE"""),"Close")</f>
        <v>Close</v>
      </c>
      <c r="K45" s="29" t="str">
        <f>IFERROR(__xludf.DUMMYFUNCTION("GOOGLEFINANCE($E72,""price"",""05/29/2020"")"),"Date")</f>
        <v>Date</v>
      </c>
      <c r="L45" s="29" t="str">
        <f>IFERROR(__xludf.DUMMYFUNCTION("""COMPUTED_VALUE"""),"Close")</f>
        <v>Close</v>
      </c>
      <c r="M45" s="31">
        <f>round(L46*H45,2)</f>
        <v>0</v>
      </c>
      <c r="N45" s="33">
        <f>O45</f>
        <v>0</v>
      </c>
      <c r="O45" s="33">
        <f>M45-G45</f>
        <v>0</v>
      </c>
      <c r="P45" s="36">
        <v>0.0</v>
      </c>
    </row>
    <row r="46">
      <c r="A46" s="19"/>
      <c r="B46" s="19"/>
      <c r="I46" s="42">
        <f>IFERROR(__xludf.DUMMYFUNCTION("""COMPUTED_VALUE"""),43955.66666666667)</f>
        <v>43955.66667</v>
      </c>
      <c r="J46" s="44">
        <f>IFERROR(__xludf.DUMMYFUNCTION("""COMPUTED_VALUE"""),167.16)</f>
        <v>167.16</v>
      </c>
      <c r="K46" s="42">
        <f>IFERROR(__xludf.DUMMYFUNCTION("""COMPUTED_VALUE"""),43980.66666666667)</f>
        <v>43980.66667</v>
      </c>
      <c r="L46" s="44">
        <f>IFERROR(__xludf.DUMMYFUNCTION("""COMPUTED_VALUE"""),163.59)</f>
        <v>163.59</v>
      </c>
    </row>
    <row r="47">
      <c r="A47" s="19"/>
      <c r="B47" s="19"/>
      <c r="C47" s="20" t="s">
        <v>35</v>
      </c>
      <c r="D47" s="62" t="str">
        <f>IFERROR(__xludf.DUMMYFUNCTION("GOOGLEFINANCE($E47, ""name"")"),"iShares iBoxx $ High Yid Corp Bond")</f>
        <v>iShares iBoxx $ High Yid Corp Bond</v>
      </c>
      <c r="E47" s="22" t="s">
        <v>37</v>
      </c>
      <c r="F47" s="24">
        <v>10000.0</v>
      </c>
      <c r="G47" s="24">
        <f>F47</f>
        <v>10000</v>
      </c>
      <c r="H47" s="27">
        <f>round((G47)/J48,2)</f>
        <v>125.96</v>
      </c>
      <c r="I47" s="29" t="str">
        <f>IFERROR(__xludf.DUMMYFUNCTION("GOOGLEFINANCE($E47,""price"",""5/11/2020"")"),"Date")</f>
        <v>Date</v>
      </c>
      <c r="J47" s="29" t="str">
        <f>IFERROR(__xludf.DUMMYFUNCTION("""COMPUTED_VALUE"""),"Close")</f>
        <v>Close</v>
      </c>
      <c r="K47" s="29" t="str">
        <f>IFERROR(__xludf.DUMMYFUNCTION("GOOGLEFINANCE($E74,""price"",""05/29/2020"")"),"Date")</f>
        <v>Date</v>
      </c>
      <c r="L47" s="29" t="str">
        <f>IFERROR(__xludf.DUMMYFUNCTION("""COMPUTED_VALUE"""),"Close")</f>
        <v>Close</v>
      </c>
      <c r="M47" s="31">
        <f>round(L48*H47,2)</f>
        <v>10381.62</v>
      </c>
      <c r="N47" s="33">
        <f>O47</f>
        <v>381.62</v>
      </c>
      <c r="O47" s="33">
        <f>M47-G47</f>
        <v>381.62</v>
      </c>
      <c r="P47" s="72">
        <f> round(N47*100/F47,2)</f>
        <v>3.82</v>
      </c>
    </row>
    <row r="48">
      <c r="A48" s="19"/>
      <c r="B48" s="19"/>
      <c r="I48" s="42">
        <f>IFERROR(__xludf.DUMMYFUNCTION("""COMPUTED_VALUE"""),43962.66666666667)</f>
        <v>43962.66667</v>
      </c>
      <c r="J48" s="44">
        <f>IFERROR(__xludf.DUMMYFUNCTION("""COMPUTED_VALUE"""),79.39)</f>
        <v>79.39</v>
      </c>
      <c r="K48" s="42">
        <f>IFERROR(__xludf.DUMMYFUNCTION("""COMPUTED_VALUE"""),43980.66666666667)</f>
        <v>43980.66667</v>
      </c>
      <c r="L48" s="44">
        <f>IFERROR(__xludf.DUMMYFUNCTION("""COMPUTED_VALUE"""),82.42)</f>
        <v>82.42</v>
      </c>
    </row>
    <row r="49">
      <c r="A49" s="19"/>
      <c r="B49" s="19"/>
      <c r="C49" s="20" t="s">
        <v>38</v>
      </c>
      <c r="D49" s="75" t="s">
        <v>38</v>
      </c>
      <c r="E49" s="22" t="s">
        <v>39</v>
      </c>
      <c r="F49" s="24">
        <v>497008.0</v>
      </c>
      <c r="G49" s="24">
        <f>F49</f>
        <v>497008</v>
      </c>
      <c r="H49" s="77" t="s">
        <v>39</v>
      </c>
      <c r="I49" s="29" t="s">
        <v>39</v>
      </c>
      <c r="K49" s="29" t="s">
        <v>39</v>
      </c>
      <c r="M49" s="31">
        <f>round(G49*(1+ 7/36500),2)</f>
        <v>497103.32</v>
      </c>
      <c r="N49" s="33">
        <f>O49</f>
        <v>95.32</v>
      </c>
      <c r="O49" s="33">
        <f>M49-G49</f>
        <v>95.32</v>
      </c>
      <c r="P49" s="72">
        <f> round(N49*100/F49,2)</f>
        <v>0.02</v>
      </c>
    </row>
    <row r="50">
      <c r="A50" s="19"/>
      <c r="B50" s="19"/>
    </row>
    <row r="51">
      <c r="A51" s="19"/>
      <c r="B51" s="19"/>
      <c r="C51" s="79" t="s">
        <v>40</v>
      </c>
      <c r="D51" s="80"/>
      <c r="E51" s="80"/>
      <c r="F51" s="77"/>
      <c r="G51" s="80"/>
      <c r="H51" s="80"/>
      <c r="I51" s="80"/>
      <c r="J51" s="80"/>
      <c r="K51" s="80"/>
      <c r="L51" s="80"/>
      <c r="M51" s="80"/>
      <c r="N51" s="83">
        <f>SUM(N31:N50)</f>
        <v>15779.9919</v>
      </c>
      <c r="O51" s="84"/>
      <c r="P51" s="84"/>
    </row>
    <row r="52">
      <c r="A52" s="85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</row>
    <row r="53">
      <c r="A53" s="85"/>
      <c r="B53" s="85"/>
      <c r="C53" s="85"/>
      <c r="D53" s="85"/>
      <c r="E53" s="85"/>
      <c r="F53" s="85"/>
      <c r="G53" s="85"/>
      <c r="H53" s="85"/>
      <c r="I53" s="85"/>
      <c r="K53" s="94"/>
      <c r="L53" s="85"/>
      <c r="M53" s="85"/>
      <c r="N53" s="85"/>
      <c r="O53" s="85"/>
      <c r="P53" s="85"/>
    </row>
    <row r="54">
      <c r="A54" s="85"/>
      <c r="B54" s="85"/>
      <c r="C54" s="85"/>
      <c r="D54" s="85"/>
      <c r="E54" s="85"/>
      <c r="F54" s="85"/>
      <c r="G54" s="85"/>
      <c r="H54" s="85"/>
      <c r="I54" s="85"/>
      <c r="K54" s="95"/>
      <c r="L54" s="85"/>
      <c r="M54" s="85"/>
      <c r="N54" s="85"/>
      <c r="O54" s="85"/>
      <c r="P54" s="85"/>
    </row>
    <row r="55">
      <c r="A55" s="2"/>
      <c r="B55" s="2"/>
      <c r="C55" s="2"/>
      <c r="D55" s="2"/>
      <c r="E55" s="2"/>
      <c r="F55" s="96" t="s">
        <v>46</v>
      </c>
      <c r="I55" s="2"/>
      <c r="J55" s="2"/>
      <c r="K55" s="2"/>
      <c r="L55" s="2"/>
      <c r="M55" s="2"/>
      <c r="N55" s="2"/>
      <c r="O55" s="2"/>
      <c r="P55" s="2"/>
    </row>
    <row r="56">
      <c r="A56" s="6" t="s">
        <v>1</v>
      </c>
      <c r="C56" s="7"/>
      <c r="D56" s="7"/>
      <c r="E56" s="7"/>
      <c r="F56" s="9" t="s">
        <v>42</v>
      </c>
      <c r="H56" s="7"/>
      <c r="I56" s="7"/>
      <c r="J56" s="7"/>
      <c r="K56" s="7"/>
      <c r="L56" s="7"/>
      <c r="M56" s="7"/>
      <c r="N56" s="9" t="s">
        <v>3</v>
      </c>
      <c r="P56" s="7"/>
    </row>
    <row r="57">
      <c r="A57" s="11" t="s">
        <v>4</v>
      </c>
      <c r="C57" s="13" t="s">
        <v>5</v>
      </c>
      <c r="D57" s="13" t="s">
        <v>6</v>
      </c>
      <c r="E57" s="13" t="s">
        <v>7</v>
      </c>
      <c r="F57" s="13" t="s">
        <v>8</v>
      </c>
      <c r="G57" s="13" t="s">
        <v>9</v>
      </c>
      <c r="H57" s="13" t="s">
        <v>10</v>
      </c>
      <c r="I57" s="15" t="s">
        <v>11</v>
      </c>
      <c r="K57" s="15" t="s">
        <v>12</v>
      </c>
      <c r="M57" s="13" t="s">
        <v>13</v>
      </c>
      <c r="N57" s="15" t="s">
        <v>14</v>
      </c>
      <c r="O57" s="13" t="s">
        <v>15</v>
      </c>
      <c r="P57" s="13" t="s">
        <v>16</v>
      </c>
    </row>
    <row r="58">
      <c r="A58" s="19" t="str">
        <f>IFERROR(__xludf.DUMMYFUNCTION("GOOGLEFINANCE(""currency:EURUSD"", ""price"",DATE(2020,5,4))"),"Date")</f>
        <v>Date</v>
      </c>
      <c r="B58" s="19" t="str">
        <f>IFERROR(__xludf.DUMMYFUNCTION("""COMPUTED_VALUE"""),"Close")</f>
        <v>Close</v>
      </c>
      <c r="C58" s="20" t="s">
        <v>17</v>
      </c>
      <c r="D58" s="22" t="str">
        <f>IFERROR(__xludf.DUMMYFUNCTION("GOOGLEFINANCE($E58, ""name"")"),"S&amp;P 500 Index")</f>
        <v>S&amp;P 500 Index</v>
      </c>
      <c r="E58" s="22" t="s">
        <v>18</v>
      </c>
      <c r="F58" s="97">
        <v>15000.0</v>
      </c>
      <c r="G58" s="24">
        <f>F58</f>
        <v>15000</v>
      </c>
      <c r="H58" s="27">
        <f>round((G58)/J59,2)</f>
        <v>5.08</v>
      </c>
      <c r="I58" s="28" t="str">
        <f>IFERROR(__xludf.DUMMYFUNCTION("GOOGLEFINANCE($E58,""price"",""5/18/2020"")"),"Date")</f>
        <v>Date</v>
      </c>
      <c r="J58" s="29" t="str">
        <f>IFERROR(__xludf.DUMMYFUNCTION("""COMPUTED_VALUE"""),"Close")</f>
        <v>Close</v>
      </c>
      <c r="K58" s="29" t="str">
        <f>IFERROR(__xludf.DUMMYFUNCTION("GOOGLEFINANCE($E58,""price"",""05/29/2020"")"),"Date")</f>
        <v>Date</v>
      </c>
      <c r="L58" s="29" t="str">
        <f>IFERROR(__xludf.DUMMYFUNCTION("""COMPUTED_VALUE"""),"Close")</f>
        <v>Close</v>
      </c>
      <c r="M58" s="31">
        <f>round(L59*H58,2)</f>
        <v>15465.09</v>
      </c>
      <c r="N58" s="33">
        <f>M58-G58</f>
        <v>465.09</v>
      </c>
      <c r="O58" s="33">
        <f>M58-G58</f>
        <v>465.09</v>
      </c>
      <c r="P58" s="36">
        <f> round(N58*100/F58,2)</f>
        <v>3.1</v>
      </c>
    </row>
    <row r="59">
      <c r="A59" s="38">
        <f>IFERROR(__xludf.DUMMYFUNCTION("""COMPUTED_VALUE"""),43955.99861111111)</f>
        <v>43955.99861</v>
      </c>
      <c r="B59" s="40">
        <f>IFERROR(__xludf.DUMMYFUNCTION("""COMPUTED_VALUE"""),1.09041)</f>
        <v>1.09041</v>
      </c>
      <c r="I59" s="42">
        <f>IFERROR(__xludf.DUMMYFUNCTION("""COMPUTED_VALUE"""),43969.66666666667)</f>
        <v>43969.66667</v>
      </c>
      <c r="J59" s="44">
        <f>IFERROR(__xludf.DUMMYFUNCTION("""COMPUTED_VALUE"""),2953.91)</f>
        <v>2953.91</v>
      </c>
      <c r="K59" s="42">
        <f>IFERROR(__xludf.DUMMYFUNCTION("""COMPUTED_VALUE"""),43980.66666666667)</f>
        <v>43980.66667</v>
      </c>
      <c r="L59" s="44">
        <f>IFERROR(__xludf.DUMMYFUNCTION("""COMPUTED_VALUE"""),3044.31)</f>
        <v>3044.31</v>
      </c>
    </row>
    <row r="60">
      <c r="A60" s="19" t="str">
        <f>IFERROR(__xludf.DUMMYFUNCTION("GOOGLEFINANCE(""currency:EURUSD"", ""price"",DATE(2020,5,23))"),"Date")</f>
        <v>Date</v>
      </c>
      <c r="B60" s="19" t="str">
        <f>IFERROR(__xludf.DUMMYFUNCTION("""COMPUTED_VALUE"""),"Close")</f>
        <v>Close</v>
      </c>
      <c r="C60" s="20" t="s">
        <v>17</v>
      </c>
      <c r="D60" s="22" t="str">
        <f>IFERROR(__xludf.DUMMYFUNCTION("GOOGLEFINANCE($E60, ""name"")"),"NASDAQ-100")</f>
        <v>NASDAQ-100</v>
      </c>
      <c r="E60" s="22" t="s">
        <v>19</v>
      </c>
      <c r="F60" s="97">
        <v>25000.0</v>
      </c>
      <c r="G60" s="24">
        <f>F60</f>
        <v>25000</v>
      </c>
      <c r="H60" s="27">
        <f>round((G60)/J61,2)</f>
        <v>2.68</v>
      </c>
      <c r="I60" s="29" t="str">
        <f>IFERROR(__xludf.DUMMYFUNCTION("GOOGLEFINANCE($E60,""price"",""5/18/2020"")"),"Date")</f>
        <v>Date</v>
      </c>
      <c r="J60" s="29" t="str">
        <f>IFERROR(__xludf.DUMMYFUNCTION("""COMPUTED_VALUE"""),"Close")</f>
        <v>Close</v>
      </c>
      <c r="K60" s="29" t="str">
        <f>IFERROR(__xludf.DUMMYFUNCTION("GOOGLEFINANCE($E60,""price"",""05/29/2020"")"),"Date")</f>
        <v>Date</v>
      </c>
      <c r="L60" s="29" t="str">
        <f>IFERROR(__xludf.DUMMYFUNCTION("""COMPUTED_VALUE"""),"Close")</f>
        <v>Close</v>
      </c>
      <c r="M60" s="31">
        <f>round(L61*H60,2)</f>
        <v>25608.82</v>
      </c>
      <c r="N60" s="33">
        <f>M60-G60</f>
        <v>608.82</v>
      </c>
      <c r="O60" s="33">
        <f>M60-G60</f>
        <v>608.82</v>
      </c>
      <c r="P60" s="36">
        <f> round(N60*100/F60,2)</f>
        <v>2.44</v>
      </c>
    </row>
    <row r="61">
      <c r="A61" s="38">
        <f>IFERROR(__xludf.DUMMYFUNCTION("""COMPUTED_VALUE"""),43974.99861111111)</f>
        <v>43974.99861</v>
      </c>
      <c r="B61" s="40">
        <f>IFERROR(__xludf.DUMMYFUNCTION("""COMPUTED_VALUE"""),1.0897)</f>
        <v>1.0897</v>
      </c>
      <c r="I61" s="42">
        <f>IFERROR(__xludf.DUMMYFUNCTION("""COMPUTED_VALUE"""),43969.66666666667)</f>
        <v>43969.66667</v>
      </c>
      <c r="J61" s="44">
        <f>IFERROR(__xludf.DUMMYFUNCTION("""COMPUTED_VALUE"""),9331.93)</f>
        <v>9331.93</v>
      </c>
      <c r="K61" s="42">
        <f>IFERROR(__xludf.DUMMYFUNCTION("""COMPUTED_VALUE"""),43980.66666666667)</f>
        <v>43980.66667</v>
      </c>
      <c r="L61" s="44">
        <f>IFERROR(__xludf.DUMMYFUNCTION("""COMPUTED_VALUE"""),9555.53)</f>
        <v>9555.53</v>
      </c>
    </row>
    <row r="62">
      <c r="A62" s="11" t="s">
        <v>20</v>
      </c>
      <c r="C62" s="20" t="s">
        <v>21</v>
      </c>
      <c r="D62" s="22" t="str">
        <f>IFERROR(__xludf.DUMMYFUNCTION("GOOGLEFINANCE(""indexdb:DAX"", ""name"")"),"DAX PERFORMANCE-INDEX")</f>
        <v>DAX PERFORMANCE-INDEX</v>
      </c>
      <c r="E62" s="22" t="s">
        <v>22</v>
      </c>
      <c r="F62" s="97">
        <v>20000.0</v>
      </c>
      <c r="G62" s="24">
        <f>F62/B59</f>
        <v>18341.72467</v>
      </c>
      <c r="H62" s="27">
        <f>round((G62)/J63,2)</f>
        <v>1.66</v>
      </c>
      <c r="I62" s="28" t="str">
        <f>IFERROR(__xludf.DUMMYFUNCTION("GOOGLEFINANCE(""indexdb:DAX"",""price"",""5/18/2020"")"),"Date")</f>
        <v>Date</v>
      </c>
      <c r="J62" s="29" t="str">
        <f>IFERROR(__xludf.DUMMYFUNCTION("""COMPUTED_VALUE"""),"Close")</f>
        <v>Close</v>
      </c>
      <c r="K62" s="29" t="str">
        <f>IFERROR(__xludf.DUMMYFUNCTION("GOOGLEFINANCE(""indexdb:DAX"", ""price"",""05/29/2020"")"),"Date")</f>
        <v>Date</v>
      </c>
      <c r="L62" s="29" t="str">
        <f>IFERROR(__xludf.DUMMYFUNCTION("""COMPUTED_VALUE"""),"Close")</f>
        <v>Close</v>
      </c>
      <c r="M62" s="31">
        <f>round(L63*H62,2)</f>
        <v>19234.17</v>
      </c>
      <c r="N62" s="33">
        <f>O62*B61</f>
        <v>972.4976735</v>
      </c>
      <c r="O62" s="33">
        <f>M62-G62</f>
        <v>892.4453276</v>
      </c>
      <c r="P62" s="36">
        <f> round(N62*100/F62,2)</f>
        <v>4.86</v>
      </c>
    </row>
    <row r="63">
      <c r="A63" s="19" t="str">
        <f>IFERROR(__xludf.DUMMYFUNCTION("GOOGLEFINANCE(""currency:JPYUSD"", ""price"",DATE(2020,5,4))"),"Date")</f>
        <v>Date</v>
      </c>
      <c r="B63" s="19" t="str">
        <f>IFERROR(__xludf.DUMMYFUNCTION("""COMPUTED_VALUE"""),"Close")</f>
        <v>Close</v>
      </c>
      <c r="I63" s="42">
        <f>IFERROR(__xludf.DUMMYFUNCTION("""COMPUTED_VALUE"""),43969.83333333333)</f>
        <v>43969.83333</v>
      </c>
      <c r="J63" s="44">
        <f>IFERROR(__xludf.DUMMYFUNCTION("""COMPUTED_VALUE"""),11058.87)</f>
        <v>11058.87</v>
      </c>
      <c r="K63" s="49">
        <f>IFERROR(__xludf.DUMMYFUNCTION("""COMPUTED_VALUE"""),43980.83333333333)</f>
        <v>43980.83333</v>
      </c>
      <c r="L63" s="44">
        <f>IFERROR(__xludf.DUMMYFUNCTION("""COMPUTED_VALUE"""),11586.85)</f>
        <v>11586.85</v>
      </c>
    </row>
    <row r="64">
      <c r="A64" s="38">
        <f>IFERROR(__xludf.DUMMYFUNCTION("""COMPUTED_VALUE"""),43955.99861111111)</f>
        <v>43955.99861</v>
      </c>
      <c r="B64" s="40">
        <f>IFERROR(__xludf.DUMMYFUNCTION("""COMPUTED_VALUE"""),0.009372)</f>
        <v>0.009372</v>
      </c>
      <c r="C64" s="20" t="s">
        <v>23</v>
      </c>
      <c r="D64" s="22" t="str">
        <f>IFERROR(__xludf.DUMMYFUNCTION("GOOGLEFINANCE($E64, ""name"")"),"Nikkei 225")</f>
        <v>Nikkei 225</v>
      </c>
      <c r="E64" s="22" t="s">
        <v>24</v>
      </c>
      <c r="F64" s="97">
        <v>30000.0</v>
      </c>
      <c r="G64" s="24">
        <f>30000/B64</f>
        <v>3201024.328</v>
      </c>
      <c r="H64" s="27">
        <f>round((G64)/J65,2)</f>
        <v>158.99</v>
      </c>
      <c r="I64" s="29" t="str">
        <f>IFERROR(__xludf.DUMMYFUNCTION("GOOGLEFINANCE($E64,""price"",""5/17/2020"")"),"Date")</f>
        <v>Date</v>
      </c>
      <c r="J64" s="29" t="str">
        <f>IFERROR(__xludf.DUMMYFUNCTION("""COMPUTED_VALUE"""),"Close")</f>
        <v>Close</v>
      </c>
      <c r="K64" s="29" t="str">
        <f>IFERROR(__xludf.DUMMYFUNCTION("GOOGLEFINANCE($E64,""price"",""05/28/2020"")"),"Date")</f>
        <v>Date</v>
      </c>
      <c r="L64" s="29" t="str">
        <f>IFERROR(__xludf.DUMMYFUNCTION("""COMPUTED_VALUE"""),"Close")</f>
        <v>Close</v>
      </c>
      <c r="M64" s="31">
        <f>round(L65*H64,2)</f>
        <v>3478365.73</v>
      </c>
      <c r="N64" s="39">
        <f>O64*B66</f>
        <v>2576.92374</v>
      </c>
      <c r="O64" s="39">
        <f>M64-G64</f>
        <v>277341.4022</v>
      </c>
      <c r="P64" s="43">
        <f> round(N64*100/F64,2)</f>
        <v>8.59</v>
      </c>
    </row>
    <row r="65">
      <c r="A65" s="19" t="str">
        <f>IFERROR(__xludf.DUMMYFUNCTION("GOOGLEFINANCE(""currency:JPYUSD"", ""price"",DATE(2020,5,23))"),"Date")</f>
        <v>Date</v>
      </c>
      <c r="B65" s="19" t="str">
        <f>IFERROR(__xludf.DUMMYFUNCTION("""COMPUTED_VALUE"""),"Close")</f>
        <v>Close</v>
      </c>
      <c r="I65" s="42">
        <f>IFERROR(__xludf.DUMMYFUNCTION("""COMPUTED_VALUE"""),43969.625)</f>
        <v>43969.625</v>
      </c>
      <c r="J65" s="44">
        <f>IFERROR(__xludf.DUMMYFUNCTION("""COMPUTED_VALUE"""),20133.73)</f>
        <v>20133.73</v>
      </c>
      <c r="K65" s="49">
        <f>IFERROR(__xludf.DUMMYFUNCTION("""COMPUTED_VALUE"""),43980.625)</f>
        <v>43980.625</v>
      </c>
      <c r="L65" s="44">
        <f>IFERROR(__xludf.DUMMYFUNCTION("""COMPUTED_VALUE"""),21877.89)</f>
        <v>21877.89</v>
      </c>
    </row>
    <row r="66">
      <c r="A66" s="38">
        <f>IFERROR(__xludf.DUMMYFUNCTION("""COMPUTED_VALUE"""),43974.99861111111)</f>
        <v>43974.99861</v>
      </c>
      <c r="B66" s="40">
        <f>IFERROR(__xludf.DUMMYFUNCTION("""COMPUTED_VALUE"""),0.009291522)</f>
        <v>0.009291522</v>
      </c>
      <c r="C66" s="20" t="s">
        <v>25</v>
      </c>
      <c r="D66" s="22" t="s">
        <v>26</v>
      </c>
      <c r="E66" s="52" t="s">
        <v>27</v>
      </c>
      <c r="F66" s="97">
        <v>0.0</v>
      </c>
      <c r="G66" s="24">
        <f>0/B69</f>
        <v>0</v>
      </c>
      <c r="H66" s="27">
        <f>round((G66)/J67,2)</f>
        <v>0</v>
      </c>
      <c r="I66" s="29" t="s">
        <v>28</v>
      </c>
      <c r="J66" s="29" t="s">
        <v>29</v>
      </c>
      <c r="K66" s="29" t="s">
        <v>28</v>
      </c>
      <c r="L66" s="29" t="s">
        <v>29</v>
      </c>
      <c r="M66" s="31">
        <f>round(L67*H66,2)</f>
        <v>0</v>
      </c>
      <c r="N66" s="98">
        <f>O66*B71</f>
        <v>0</v>
      </c>
      <c r="O66" s="98">
        <f>M66-G66</f>
        <v>0</v>
      </c>
      <c r="P66" s="99" t="s">
        <v>39</v>
      </c>
    </row>
    <row r="67">
      <c r="A67" s="11" t="s">
        <v>30</v>
      </c>
      <c r="I67" s="59">
        <v>43951.666666666664</v>
      </c>
      <c r="J67" s="44">
        <v>2895.51</v>
      </c>
      <c r="K67" s="49">
        <v>43980.625</v>
      </c>
      <c r="L67" s="60">
        <v>2852.35</v>
      </c>
    </row>
    <row r="68">
      <c r="A68" s="61" t="str">
        <f>IFERROR(__xludf.DUMMYFUNCTION("GOOGLEFINANCE(""currency:CNYUSD"", ""price"",DATE(2020,5,4))"),"Date")</f>
        <v>Date</v>
      </c>
      <c r="B68" s="19" t="str">
        <f>IFERROR(__xludf.DUMMYFUNCTION("""COMPUTED_VALUE"""),"Close")</f>
        <v>Close</v>
      </c>
      <c r="C68" s="20" t="s">
        <v>31</v>
      </c>
      <c r="D68" s="62" t="str">
        <f>IFERROR(__xludf.DUMMYFUNCTION("GOOGLEFINANCE($E68, ""name"")"),"S&amp;P GSCI Crude Oil ER")</f>
        <v>S&amp;P GSCI Crude Oil ER</v>
      </c>
      <c r="E68" s="22" t="s">
        <v>32</v>
      </c>
      <c r="F68" s="97">
        <v>0.0</v>
      </c>
      <c r="G68" s="24">
        <f>F68</f>
        <v>0</v>
      </c>
      <c r="H68" s="27">
        <f>round((G68)/J69,2)</f>
        <v>0</v>
      </c>
      <c r="I68" s="29" t="s">
        <v>28</v>
      </c>
      <c r="J68" s="29" t="s">
        <v>29</v>
      </c>
      <c r="K68" s="29" t="s">
        <v>28</v>
      </c>
      <c r="L68" s="29" t="s">
        <v>29</v>
      </c>
      <c r="M68" s="31">
        <f>round(L69*H68,2)</f>
        <v>0</v>
      </c>
      <c r="N68" s="98">
        <f>O68</f>
        <v>0</v>
      </c>
      <c r="O68" s="98">
        <f>M68-G68</f>
        <v>0</v>
      </c>
      <c r="P68" s="99" t="s">
        <v>39</v>
      </c>
    </row>
    <row r="69">
      <c r="A69" s="38">
        <f>IFERROR(__xludf.DUMMYFUNCTION("""COMPUTED_VALUE"""),43955.99861111111)</f>
        <v>43955.99861</v>
      </c>
      <c r="B69" s="40">
        <f>IFERROR(__xludf.DUMMYFUNCTION("""COMPUTED_VALUE"""),0.1415929)</f>
        <v>0.1415929</v>
      </c>
      <c r="I69" s="49">
        <v>43962.666666666664</v>
      </c>
      <c r="J69" s="44">
        <v>40.92</v>
      </c>
      <c r="K69" s="49">
        <v>43980.625</v>
      </c>
      <c r="L69" s="44">
        <f>IFERROR(__xludf.DUMMYFUNCTION("GOOGLEFINANCE($E68,""price"")"),55.3)</f>
        <v>55.3</v>
      </c>
    </row>
    <row r="70">
      <c r="A70" s="19" t="str">
        <f>IFERROR(__xludf.DUMMYFUNCTION("GOOGLEFINANCE(""currency:CNYUSD"", ""price"",DATE(2020,5,23))"),"Date")</f>
        <v>Date</v>
      </c>
      <c r="B70" s="19" t="str">
        <f>IFERROR(__xludf.DUMMYFUNCTION("""COMPUTED_VALUE"""),"Close")</f>
        <v>Close</v>
      </c>
      <c r="C70" s="20" t="s">
        <v>31</v>
      </c>
      <c r="D70" s="62" t="str">
        <f>IFERROR(__xludf.DUMMYFUNCTION("GOOGLEFINANCE($E70, ""name"")"),"S&amp;P GSCI Gold ER")</f>
        <v>S&amp;P GSCI Gold ER</v>
      </c>
      <c r="E70" s="22" t="s">
        <v>34</v>
      </c>
      <c r="F70" s="97">
        <v>10000.0</v>
      </c>
      <c r="G70" s="24">
        <f>F70</f>
        <v>10000</v>
      </c>
      <c r="H70" s="27">
        <f>round((G70)/J71,2)</f>
        <v>75.47</v>
      </c>
      <c r="I70" s="29" t="s">
        <v>28</v>
      </c>
      <c r="J70" s="29" t="s">
        <v>29</v>
      </c>
      <c r="K70" s="29" t="s">
        <v>28</v>
      </c>
      <c r="L70" s="29" t="s">
        <v>29</v>
      </c>
      <c r="M70" s="31">
        <f>round(L71*H70,2)</f>
        <v>10028.45</v>
      </c>
      <c r="N70" s="33">
        <f>O70</f>
        <v>28.45</v>
      </c>
      <c r="O70" s="33">
        <f>M70-G70</f>
        <v>28.45</v>
      </c>
      <c r="P70" s="36">
        <v>0.0</v>
      </c>
    </row>
    <row r="71">
      <c r="A71" s="38">
        <f>IFERROR(__xludf.DUMMYFUNCTION("""COMPUTED_VALUE"""),43974.99861111111)</f>
        <v>43974.99861</v>
      </c>
      <c r="B71" s="40">
        <f>IFERROR(__xludf.DUMMYFUNCTION("""COMPUTED_VALUE"""),0.1402426)</f>
        <v>0.1402426</v>
      </c>
      <c r="I71" s="101">
        <v>43969.666666666664</v>
      </c>
      <c r="J71" s="60">
        <v>132.5</v>
      </c>
      <c r="K71" s="49">
        <v>43980.625</v>
      </c>
      <c r="L71" s="44">
        <f>IFERROR(__xludf.DUMMYFUNCTION("GOOGLEFINANCE($E70,""price"")"),132.88)</f>
        <v>132.88</v>
      </c>
    </row>
    <row r="72">
      <c r="A72" s="19"/>
      <c r="B72" s="19"/>
      <c r="C72" s="20" t="s">
        <v>35</v>
      </c>
      <c r="D72" s="62" t="str">
        <f>IFERROR(__xludf.DUMMYFUNCTION("GOOGLEFINANCE($E72, ""name"")"),"iShares Barclays 20+ Yr Treas.Bond")</f>
        <v>iShares Barclays 20+ Yr Treas.Bond</v>
      </c>
      <c r="E72" s="22" t="s">
        <v>36</v>
      </c>
      <c r="F72" s="97">
        <v>-15000.0</v>
      </c>
      <c r="G72" s="24">
        <f>F72</f>
        <v>-15000</v>
      </c>
      <c r="H72" s="27">
        <f>round((G72)/J73,2)</f>
        <v>-92</v>
      </c>
      <c r="I72" s="29" t="str">
        <f>IFERROR(__xludf.DUMMYFUNCTION("GOOGLEFINANCE($E72,""price"",""5/18/2020"")"),"Date")</f>
        <v>Date</v>
      </c>
      <c r="J72" s="29" t="str">
        <f>IFERROR(__xludf.DUMMYFUNCTION("""COMPUTED_VALUE"""),"Close")</f>
        <v>Close</v>
      </c>
      <c r="K72" s="29" t="str">
        <f>IFERROR(__xludf.DUMMYFUNCTION("GOOGLEFINANCE($E99,""price"",""05/29/2020"")"),"Date")</f>
        <v>Date</v>
      </c>
      <c r="L72" s="29" t="str">
        <f>IFERROR(__xludf.DUMMYFUNCTION("""COMPUTED_VALUE"""),"Close")</f>
        <v>Close</v>
      </c>
      <c r="M72" s="31">
        <f>round(L73*H72,2)</f>
        <v>-15050.28</v>
      </c>
      <c r="N72" s="55">
        <f>O72</f>
        <v>-50.28</v>
      </c>
      <c r="O72" s="55">
        <f>M72-G72</f>
        <v>-50.28</v>
      </c>
      <c r="P72" s="57">
        <v>0.0</v>
      </c>
    </row>
    <row r="73">
      <c r="A73" s="19"/>
      <c r="B73" s="19"/>
      <c r="I73" s="42">
        <f>IFERROR(__xludf.DUMMYFUNCTION("""COMPUTED_VALUE"""),43969.66666666667)</f>
        <v>43969.66667</v>
      </c>
      <c r="J73" s="44">
        <f>IFERROR(__xludf.DUMMYFUNCTION("""COMPUTED_VALUE"""),163.05)</f>
        <v>163.05</v>
      </c>
      <c r="K73" s="42">
        <f>IFERROR(__xludf.DUMMYFUNCTION("""COMPUTED_VALUE"""),43980.66666666667)</f>
        <v>43980.66667</v>
      </c>
      <c r="L73" s="44">
        <f>IFERROR(__xludf.DUMMYFUNCTION("""COMPUTED_VALUE"""),163.59)</f>
        <v>163.59</v>
      </c>
    </row>
    <row r="74">
      <c r="A74" s="19"/>
      <c r="B74" s="19"/>
      <c r="C74" s="20" t="s">
        <v>35</v>
      </c>
      <c r="D74" s="62" t="str">
        <f>IFERROR(__xludf.DUMMYFUNCTION("GOOGLEFINANCE($E74, ""name"")"),"iShares iBoxx $ High Yid Corp Bond")</f>
        <v>iShares iBoxx $ High Yid Corp Bond</v>
      </c>
      <c r="E74" s="22" t="s">
        <v>37</v>
      </c>
      <c r="F74" s="97">
        <v>0.0</v>
      </c>
      <c r="G74" s="24">
        <f>F74</f>
        <v>0</v>
      </c>
      <c r="H74" s="27">
        <f>round((G74)/J75,2)</f>
        <v>0</v>
      </c>
      <c r="I74" s="29" t="str">
        <f>IFERROR(__xludf.DUMMYFUNCTION("GOOGLEFINANCE($E74,""price"",""5/11/2020"")"),"Date")</f>
        <v>Date</v>
      </c>
      <c r="J74" s="29" t="str">
        <f>IFERROR(__xludf.DUMMYFUNCTION("""COMPUTED_VALUE"""),"Close")</f>
        <v>Close</v>
      </c>
      <c r="K74" s="29" t="str">
        <f>IFERROR(__xludf.DUMMYFUNCTION("GOOGLEFINANCE($E101,""price"",""05/29/2020"")"),"Date")</f>
        <v>Date</v>
      </c>
      <c r="L74" s="29" t="str">
        <f>IFERROR(__xludf.DUMMYFUNCTION("""COMPUTED_VALUE"""),"Close")</f>
        <v>Close</v>
      </c>
      <c r="M74" s="31">
        <f>round(L75*H74,2)</f>
        <v>0</v>
      </c>
      <c r="N74" s="98">
        <f>O74</f>
        <v>0</v>
      </c>
      <c r="O74" s="98">
        <f>M74-G74</f>
        <v>0</v>
      </c>
      <c r="P74" s="102" t="s">
        <v>39</v>
      </c>
    </row>
    <row r="75">
      <c r="A75" s="19"/>
      <c r="B75" s="19"/>
      <c r="I75" s="42">
        <f>IFERROR(__xludf.DUMMYFUNCTION("""COMPUTED_VALUE"""),43962.66666666667)</f>
        <v>43962.66667</v>
      </c>
      <c r="J75" s="44">
        <f>IFERROR(__xludf.DUMMYFUNCTION("""COMPUTED_VALUE"""),79.39)</f>
        <v>79.39</v>
      </c>
      <c r="K75" s="42">
        <f>IFERROR(__xludf.DUMMYFUNCTION("""COMPUTED_VALUE"""),43980.66666666667)</f>
        <v>43980.66667</v>
      </c>
      <c r="L75" s="44">
        <f>IFERROR(__xludf.DUMMYFUNCTION("""COMPUTED_VALUE"""),82.42)</f>
        <v>82.42</v>
      </c>
    </row>
    <row r="76">
      <c r="A76" s="19"/>
      <c r="B76" s="19"/>
      <c r="C76" s="20" t="s">
        <v>38</v>
      </c>
      <c r="D76" s="75" t="s">
        <v>38</v>
      </c>
      <c r="E76" s="22" t="s">
        <v>39</v>
      </c>
      <c r="F76" s="97">
        <v>416432.0</v>
      </c>
      <c r="G76" s="24">
        <f>F76</f>
        <v>416432</v>
      </c>
      <c r="H76" s="77" t="s">
        <v>39</v>
      </c>
      <c r="I76" s="29" t="s">
        <v>39</v>
      </c>
      <c r="K76" s="29" t="s">
        <v>39</v>
      </c>
      <c r="M76" s="31">
        <f>round(G76*(1+ 7/36500),2)</f>
        <v>416511.86</v>
      </c>
      <c r="N76" s="33">
        <f>O76</f>
        <v>79.86</v>
      </c>
      <c r="O76" s="33">
        <f>M76-G76</f>
        <v>79.86</v>
      </c>
      <c r="P76" s="72">
        <f> round(N76*100/F76,2)</f>
        <v>0.02</v>
      </c>
    </row>
    <row r="77">
      <c r="A77" s="19"/>
      <c r="B77" s="19"/>
    </row>
    <row r="78">
      <c r="A78" s="19"/>
      <c r="B78" s="19"/>
      <c r="C78" s="79" t="s">
        <v>40</v>
      </c>
      <c r="D78" s="80"/>
      <c r="E78" s="80"/>
      <c r="F78" s="77"/>
      <c r="G78" s="80"/>
      <c r="H78" s="80"/>
      <c r="I78" s="80"/>
      <c r="J78" s="80"/>
      <c r="K78" s="80"/>
      <c r="L78" s="80"/>
      <c r="M78" s="80"/>
      <c r="N78" s="83">
        <f>SUM(N58:N77)</f>
        <v>4681.361414</v>
      </c>
      <c r="O78" s="84"/>
      <c r="P78" s="84"/>
    </row>
    <row r="81">
      <c r="H81" s="85"/>
      <c r="J81" s="94"/>
    </row>
    <row r="82">
      <c r="A82" s="2"/>
      <c r="B82" s="2"/>
      <c r="C82" s="2"/>
      <c r="D82" s="2"/>
      <c r="E82" s="2"/>
      <c r="F82" s="96" t="s">
        <v>47</v>
      </c>
      <c r="I82" s="2"/>
      <c r="J82" s="2"/>
      <c r="K82" s="2"/>
      <c r="L82" s="2"/>
      <c r="M82" s="2"/>
      <c r="N82" s="2"/>
      <c r="O82" s="2"/>
      <c r="P82" s="2"/>
    </row>
    <row r="83">
      <c r="A83" s="6" t="s">
        <v>1</v>
      </c>
      <c r="C83" s="7"/>
      <c r="D83" s="7"/>
      <c r="E83" s="7"/>
      <c r="F83" s="9" t="s">
        <v>42</v>
      </c>
      <c r="H83" s="7"/>
      <c r="I83" s="7"/>
      <c r="J83" s="7"/>
      <c r="K83" s="7"/>
      <c r="L83" s="7"/>
      <c r="M83" s="7"/>
      <c r="N83" s="9" t="s">
        <v>3</v>
      </c>
      <c r="P83" s="7"/>
    </row>
    <row r="84">
      <c r="A84" s="11" t="s">
        <v>4</v>
      </c>
      <c r="C84" s="13" t="s">
        <v>5</v>
      </c>
      <c r="D84" s="13" t="s">
        <v>6</v>
      </c>
      <c r="E84" s="13" t="s">
        <v>7</v>
      </c>
      <c r="F84" s="13" t="s">
        <v>8</v>
      </c>
      <c r="G84" s="13" t="s">
        <v>9</v>
      </c>
      <c r="H84" s="13" t="s">
        <v>10</v>
      </c>
      <c r="I84" s="15" t="s">
        <v>11</v>
      </c>
      <c r="K84" s="15" t="s">
        <v>12</v>
      </c>
      <c r="M84" s="13" t="s">
        <v>13</v>
      </c>
      <c r="N84" s="15" t="s">
        <v>14</v>
      </c>
      <c r="O84" s="13" t="s">
        <v>15</v>
      </c>
      <c r="P84" s="13" t="s">
        <v>16</v>
      </c>
    </row>
    <row r="85">
      <c r="A85" s="19" t="str">
        <f>IFERROR(__xludf.DUMMYFUNCTION("GOOGLEFINANCE(""currency:EURUSD"", ""price"",DATE(2020,5,4))"),"Date")</f>
        <v>Date</v>
      </c>
      <c r="B85" s="19" t="str">
        <f>IFERROR(__xludf.DUMMYFUNCTION("""COMPUTED_VALUE"""),"Close")</f>
        <v>Close</v>
      </c>
      <c r="C85" s="20" t="s">
        <v>17</v>
      </c>
      <c r="D85" s="22" t="str">
        <f>IFERROR(__xludf.DUMMYFUNCTION("GOOGLEFINANCE($E85, ""name"")"),"S&amp;P 500 Index")</f>
        <v>S&amp;P 500 Index</v>
      </c>
      <c r="E85" s="22" t="s">
        <v>18</v>
      </c>
      <c r="F85" s="97">
        <v>30000.0</v>
      </c>
      <c r="G85" s="24">
        <f>F85</f>
        <v>30000</v>
      </c>
      <c r="H85" s="27">
        <f>round((G85)/J86,2)</f>
        <v>10.15</v>
      </c>
      <c r="I85" s="29" t="str">
        <f>IFERROR(__xludf.DUMMYFUNCTION("GOOGLEFINANCE($E85,""price"",""05/22/2020"")"),"Date")</f>
        <v>Date</v>
      </c>
      <c r="J85" s="29" t="str">
        <f>IFERROR(__xludf.DUMMYFUNCTION("""COMPUTED_VALUE"""),"Close")</f>
        <v>Close</v>
      </c>
      <c r="K85" s="29" t="str">
        <f>IFERROR(__xludf.DUMMYFUNCTION("GOOGLEFINANCE($E85,""price"",""05/29/2020"")"),"Date")</f>
        <v>Date</v>
      </c>
      <c r="L85" s="29" t="str">
        <f>IFERROR(__xludf.DUMMYFUNCTION("""COMPUTED_VALUE"""),"Close")</f>
        <v>Close</v>
      </c>
      <c r="M85" s="31">
        <f>round(L86*H85,2)</f>
        <v>30899.75</v>
      </c>
      <c r="N85" s="33">
        <f>M85-G85</f>
        <v>899.75</v>
      </c>
      <c r="O85" s="33">
        <f>M85-G85</f>
        <v>899.75</v>
      </c>
      <c r="P85" s="36">
        <f> round(N85*100/F85,2)</f>
        <v>3</v>
      </c>
    </row>
    <row r="86">
      <c r="A86" s="38">
        <f>IFERROR(__xludf.DUMMYFUNCTION("""COMPUTED_VALUE"""),43955.99861111111)</f>
        <v>43955.99861</v>
      </c>
      <c r="B86" s="40">
        <f>IFERROR(__xludf.DUMMYFUNCTION("""COMPUTED_VALUE"""),1.09041)</f>
        <v>1.09041</v>
      </c>
      <c r="I86" s="42">
        <f>IFERROR(__xludf.DUMMYFUNCTION("""COMPUTED_VALUE"""),43973.66666666667)</f>
        <v>43973.66667</v>
      </c>
      <c r="J86" s="44">
        <f>IFERROR(__xludf.DUMMYFUNCTION("""COMPUTED_VALUE"""),2955.45)</f>
        <v>2955.45</v>
      </c>
      <c r="K86" s="42">
        <f>IFERROR(__xludf.DUMMYFUNCTION("""COMPUTED_VALUE"""),43980.66666666667)</f>
        <v>43980.66667</v>
      </c>
      <c r="L86" s="44">
        <f>IFERROR(__xludf.DUMMYFUNCTION("""COMPUTED_VALUE"""),3044.31)</f>
        <v>3044.31</v>
      </c>
    </row>
    <row r="87">
      <c r="A87" s="19" t="str">
        <f>IFERROR(__xludf.DUMMYFUNCTION("GOOGLEFINANCE(""currency:EURUSD"", ""price"",DATE(2020,5,23))"),"Date")</f>
        <v>Date</v>
      </c>
      <c r="B87" s="19" t="str">
        <f>IFERROR(__xludf.DUMMYFUNCTION("""COMPUTED_VALUE"""),"Close")</f>
        <v>Close</v>
      </c>
      <c r="C87" s="20" t="s">
        <v>17</v>
      </c>
      <c r="D87" s="22" t="str">
        <f>IFERROR(__xludf.DUMMYFUNCTION("GOOGLEFINANCE($E87, ""name"")"),"NASDAQ-100")</f>
        <v>NASDAQ-100</v>
      </c>
      <c r="E87" s="22" t="s">
        <v>19</v>
      </c>
      <c r="F87" s="97">
        <v>75000.0</v>
      </c>
      <c r="G87" s="24">
        <f>F87</f>
        <v>75000</v>
      </c>
      <c r="H87" s="27">
        <f>round((G87)/J88,2)</f>
        <v>7.97</v>
      </c>
      <c r="I87" s="29" t="str">
        <f>IFERROR(__xludf.DUMMYFUNCTION("GOOGLEFINANCE($E87,""price"",""05/22/2020"")"),"Date")</f>
        <v>Date</v>
      </c>
      <c r="J87" s="29" t="str">
        <f>IFERROR(__xludf.DUMMYFUNCTION("""COMPUTED_VALUE"""),"Close")</f>
        <v>Close</v>
      </c>
      <c r="K87" s="29" t="str">
        <f>IFERROR(__xludf.DUMMYFUNCTION("GOOGLEFINANCE($E87,""price"",""05/29/2020"")"),"Date")</f>
        <v>Date</v>
      </c>
      <c r="L87" s="29" t="str">
        <f>IFERROR(__xludf.DUMMYFUNCTION("""COMPUTED_VALUE"""),"Close")</f>
        <v>Close</v>
      </c>
      <c r="M87" s="31">
        <f>round(L88*H87,2)</f>
        <v>76157.57</v>
      </c>
      <c r="N87" s="33">
        <f>M87-G87</f>
        <v>1157.57</v>
      </c>
      <c r="O87" s="33">
        <f>M87-G87</f>
        <v>1157.57</v>
      </c>
      <c r="P87" s="36">
        <f> round(N87*100/F87,2)</f>
        <v>1.54</v>
      </c>
    </row>
    <row r="88">
      <c r="A88" s="38">
        <f>IFERROR(__xludf.DUMMYFUNCTION("""COMPUTED_VALUE"""),43974.99861111111)</f>
        <v>43974.99861</v>
      </c>
      <c r="B88" s="40">
        <f>IFERROR(__xludf.DUMMYFUNCTION("""COMPUTED_VALUE"""),1.0897)</f>
        <v>1.0897</v>
      </c>
      <c r="I88" s="42">
        <f>IFERROR(__xludf.DUMMYFUNCTION("""COMPUTED_VALUE"""),43973.66666666667)</f>
        <v>43973.66667</v>
      </c>
      <c r="J88" s="44">
        <f>IFERROR(__xludf.DUMMYFUNCTION("""COMPUTED_VALUE"""),9413.99)</f>
        <v>9413.99</v>
      </c>
      <c r="K88" s="42">
        <f>IFERROR(__xludf.DUMMYFUNCTION("""COMPUTED_VALUE"""),43980.66666666667)</f>
        <v>43980.66667</v>
      </c>
      <c r="L88" s="44">
        <f>IFERROR(__xludf.DUMMYFUNCTION("""COMPUTED_VALUE"""),9555.53)</f>
        <v>9555.53</v>
      </c>
    </row>
    <row r="89">
      <c r="A89" s="11" t="s">
        <v>20</v>
      </c>
      <c r="C89" s="20" t="s">
        <v>21</v>
      </c>
      <c r="D89" s="22" t="str">
        <f>IFERROR(__xludf.DUMMYFUNCTION("GOOGLEFINANCE(""indexdb:DAX"", ""name"")"),"DAX PERFORMANCE-INDEX")</f>
        <v>DAX PERFORMANCE-INDEX</v>
      </c>
      <c r="E89" s="22" t="s">
        <v>22</v>
      </c>
      <c r="F89" s="97">
        <v>40000.0</v>
      </c>
      <c r="G89" s="24">
        <f>F89/B86</f>
        <v>36683.44934</v>
      </c>
      <c r="H89" s="27">
        <f>round((G89)/J90,2)</f>
        <v>3.31</v>
      </c>
      <c r="I89" s="29" t="str">
        <f>IFERROR(__xludf.DUMMYFUNCTION("GOOGLEFINANCE(""indexdb:DAX"", ""price"",""05/22/2020"")"),"Date")</f>
        <v>Date</v>
      </c>
      <c r="J89" s="29" t="str">
        <f>IFERROR(__xludf.DUMMYFUNCTION("""COMPUTED_VALUE"""),"Close")</f>
        <v>Close</v>
      </c>
      <c r="K89" s="29" t="str">
        <f>IFERROR(__xludf.DUMMYFUNCTION("GOOGLEFINANCE(""indexdb:DAX"", ""price"",""05/29/2020"")"),"Date")</f>
        <v>Date</v>
      </c>
      <c r="L89" s="29" t="str">
        <f>IFERROR(__xludf.DUMMYFUNCTION("""COMPUTED_VALUE"""),"Close")</f>
        <v>Close</v>
      </c>
      <c r="M89" s="31">
        <f>round(L90*H89,2)</f>
        <v>38352.47</v>
      </c>
      <c r="N89" s="33">
        <f>O89*B88</f>
        <v>1818.731808</v>
      </c>
      <c r="O89" s="33">
        <f>M89-G89</f>
        <v>1669.020655</v>
      </c>
      <c r="P89" s="36">
        <f> round(N89*100/F89,2)</f>
        <v>4.55</v>
      </c>
    </row>
    <row r="90">
      <c r="A90" s="19" t="str">
        <f>IFERROR(__xludf.DUMMYFUNCTION("GOOGLEFINANCE(""currency:JPYUSD"", ""price"",DATE(2020,5,4))"),"Date")</f>
        <v>Date</v>
      </c>
      <c r="B90" s="19" t="str">
        <f>IFERROR(__xludf.DUMMYFUNCTION("""COMPUTED_VALUE"""),"Close")</f>
        <v>Close</v>
      </c>
      <c r="I90" s="49">
        <f>IFERROR(__xludf.DUMMYFUNCTION("""COMPUTED_VALUE"""),43973.83333333333)</f>
        <v>43973.83333</v>
      </c>
      <c r="J90" s="44">
        <f>IFERROR(__xludf.DUMMYFUNCTION("""COMPUTED_VALUE"""),11073.87)</f>
        <v>11073.87</v>
      </c>
      <c r="K90" s="49">
        <f>IFERROR(__xludf.DUMMYFUNCTION("""COMPUTED_VALUE"""),43980.83333333333)</f>
        <v>43980.83333</v>
      </c>
      <c r="L90" s="44">
        <f>IFERROR(__xludf.DUMMYFUNCTION("""COMPUTED_VALUE"""),11586.85)</f>
        <v>11586.85</v>
      </c>
    </row>
    <row r="91">
      <c r="A91" s="38">
        <f>IFERROR(__xludf.DUMMYFUNCTION("""COMPUTED_VALUE"""),43955.99861111111)</f>
        <v>43955.99861</v>
      </c>
      <c r="B91" s="40">
        <f>IFERROR(__xludf.DUMMYFUNCTION("""COMPUTED_VALUE"""),0.009372)</f>
        <v>0.009372</v>
      </c>
      <c r="C91" s="20" t="s">
        <v>23</v>
      </c>
      <c r="D91" s="22" t="str">
        <f>IFERROR(__xludf.DUMMYFUNCTION("GOOGLEFINANCE($E91, ""name"")"),"Nikkei 225")</f>
        <v>Nikkei 225</v>
      </c>
      <c r="E91" s="22" t="s">
        <v>24</v>
      </c>
      <c r="F91" s="97">
        <v>30000.0</v>
      </c>
      <c r="G91" s="24">
        <f>30000/B91</f>
        <v>3201024.328</v>
      </c>
      <c r="H91" s="27">
        <f>round((G91)/J92,2)</f>
        <v>157</v>
      </c>
      <c r="I91" s="29" t="str">
        <f>IFERROR(__xludf.DUMMYFUNCTION("GOOGLEFINANCE($E91,""price"",""05/21/2020"")"),"Date")</f>
        <v>Date</v>
      </c>
      <c r="J91" s="29" t="str">
        <f>IFERROR(__xludf.DUMMYFUNCTION("""COMPUTED_VALUE"""),"Close")</f>
        <v>Close</v>
      </c>
      <c r="K91" s="29" t="str">
        <f>IFERROR(__xludf.DUMMYFUNCTION("GOOGLEFINANCE($E91,""price"",""05/28/2020"")"),"Date")</f>
        <v>Date</v>
      </c>
      <c r="L91" s="29" t="str">
        <f>IFERROR(__xludf.DUMMYFUNCTION("""COMPUTED_VALUE"""),"Close")</f>
        <v>Close</v>
      </c>
      <c r="M91" s="31">
        <f>round(L92*H91,2)</f>
        <v>3434828.73</v>
      </c>
      <c r="N91" s="39">
        <f>O91*B93</f>
        <v>2172.398747</v>
      </c>
      <c r="O91" s="39">
        <f>M91-G91</f>
        <v>233804.4022</v>
      </c>
      <c r="P91" s="43">
        <f> round(N91*100/F91,2)</f>
        <v>7.24</v>
      </c>
    </row>
    <row r="92">
      <c r="A92" s="19" t="str">
        <f>IFERROR(__xludf.DUMMYFUNCTION("GOOGLEFINANCE(""currency:JPYUSD"", ""price"",DATE(2020,5,23))"),"Date")</f>
        <v>Date</v>
      </c>
      <c r="B92" s="19" t="str">
        <f>IFERROR(__xludf.DUMMYFUNCTION("""COMPUTED_VALUE"""),"Close")</f>
        <v>Close</v>
      </c>
      <c r="I92" s="49">
        <f>IFERROR(__xludf.DUMMYFUNCTION("""COMPUTED_VALUE"""),43973.625)</f>
        <v>43973.625</v>
      </c>
      <c r="J92" s="44">
        <f>IFERROR(__xludf.DUMMYFUNCTION("""COMPUTED_VALUE"""),20388.16)</f>
        <v>20388.16</v>
      </c>
      <c r="K92" s="49">
        <f>IFERROR(__xludf.DUMMYFUNCTION("""COMPUTED_VALUE"""),43980.625)</f>
        <v>43980.625</v>
      </c>
      <c r="L92" s="44">
        <f>IFERROR(__xludf.DUMMYFUNCTION("""COMPUTED_VALUE"""),21877.89)</f>
        <v>21877.89</v>
      </c>
    </row>
    <row r="93">
      <c r="A93" s="38">
        <f>IFERROR(__xludf.DUMMYFUNCTION("""COMPUTED_VALUE"""),43974.99861111111)</f>
        <v>43974.99861</v>
      </c>
      <c r="B93" s="40">
        <f>IFERROR(__xludf.DUMMYFUNCTION("""COMPUTED_VALUE"""),0.009291522)</f>
        <v>0.009291522</v>
      </c>
      <c r="C93" s="20" t="s">
        <v>25</v>
      </c>
      <c r="D93" s="22" t="s">
        <v>26</v>
      </c>
      <c r="E93" s="52" t="s">
        <v>27</v>
      </c>
      <c r="F93" s="97">
        <v>5000.0</v>
      </c>
      <c r="G93" s="24">
        <f>5000/B96</f>
        <v>35312.50508</v>
      </c>
      <c r="H93" s="27">
        <f>round((G93)/J94,2)</f>
        <v>12.54</v>
      </c>
      <c r="I93" s="29" t="s">
        <v>28</v>
      </c>
      <c r="J93" s="29" t="s">
        <v>29</v>
      </c>
      <c r="K93" s="29" t="s">
        <v>28</v>
      </c>
      <c r="L93" s="29" t="s">
        <v>29</v>
      </c>
      <c r="M93" s="31">
        <f>round(L94*H93,2)</f>
        <v>35768.47</v>
      </c>
      <c r="N93" s="39">
        <f>O93*B98</f>
        <v>63.94570643</v>
      </c>
      <c r="O93" s="39">
        <f>M93-G93</f>
        <v>455.9649238</v>
      </c>
      <c r="P93" s="43">
        <f> round(N93*100/F93,2)</f>
        <v>1.28</v>
      </c>
    </row>
    <row r="94">
      <c r="A94" s="11" t="s">
        <v>30</v>
      </c>
      <c r="I94" s="88">
        <v>43976.625</v>
      </c>
      <c r="J94" s="44">
        <v>2816.02</v>
      </c>
      <c r="K94" s="49">
        <v>43980.625</v>
      </c>
      <c r="L94" s="60">
        <v>2852.35</v>
      </c>
    </row>
    <row r="95">
      <c r="A95" s="61" t="str">
        <f>IFERROR(__xludf.DUMMYFUNCTION("GOOGLEFINANCE(""currency:CNYUSD"", ""price"",DATE(2020,5,4))"),"Date")</f>
        <v>Date</v>
      </c>
      <c r="B95" s="19" t="str">
        <f>IFERROR(__xludf.DUMMYFUNCTION("""COMPUTED_VALUE"""),"Close")</f>
        <v>Close</v>
      </c>
      <c r="C95" s="20" t="s">
        <v>31</v>
      </c>
      <c r="D95" s="62" t="str">
        <f>IFERROR(__xludf.DUMMYFUNCTION("GOOGLEFINANCE($E95, ""name"")"),"S&amp;P GSCI Crude Oil ER")</f>
        <v>S&amp;P GSCI Crude Oil ER</v>
      </c>
      <c r="E95" s="22" t="s">
        <v>32</v>
      </c>
      <c r="F95" s="97">
        <v>30000.0</v>
      </c>
      <c r="G95" s="24">
        <f>F95</f>
        <v>30000</v>
      </c>
      <c r="H95" s="27">
        <f>round((G95)/J96,2)</f>
        <v>577.81</v>
      </c>
      <c r="I95" s="29" t="s">
        <v>28</v>
      </c>
      <c r="J95" s="29" t="s">
        <v>29</v>
      </c>
      <c r="K95" s="29" t="s">
        <v>28</v>
      </c>
      <c r="L95" s="29" t="s">
        <v>29</v>
      </c>
      <c r="M95" s="31">
        <f>round(L96*H95,2)</f>
        <v>31952.89</v>
      </c>
      <c r="N95" s="39">
        <f>O95</f>
        <v>1952.89</v>
      </c>
      <c r="O95" s="39">
        <f>M95-G95</f>
        <v>1952.89</v>
      </c>
      <c r="P95" s="43">
        <f> round(N95*100/F95,2)</f>
        <v>6.51</v>
      </c>
    </row>
    <row r="96">
      <c r="A96" s="38">
        <f>IFERROR(__xludf.DUMMYFUNCTION("""COMPUTED_VALUE"""),43955.99861111111)</f>
        <v>43955.99861</v>
      </c>
      <c r="B96" s="40">
        <f>IFERROR(__xludf.DUMMYFUNCTION("""COMPUTED_VALUE"""),0.1415929)</f>
        <v>0.1415929</v>
      </c>
      <c r="I96" s="49">
        <v>43973.625</v>
      </c>
      <c r="J96" s="60">
        <v>51.92</v>
      </c>
      <c r="K96" s="49">
        <v>43980.625</v>
      </c>
      <c r="L96" s="44">
        <f>IFERROR(__xludf.DUMMYFUNCTION("GOOGLEFINANCE($E95,""price"")"),55.3)</f>
        <v>55.3</v>
      </c>
    </row>
    <row r="97">
      <c r="A97" s="19" t="str">
        <f>IFERROR(__xludf.DUMMYFUNCTION("GOOGLEFINANCE(""currency:CNYUSD"", ""price"",DATE(2020,5,23))"),"Date")</f>
        <v>Date</v>
      </c>
      <c r="B97" s="19" t="str">
        <f>IFERROR(__xludf.DUMMYFUNCTION("""COMPUTED_VALUE"""),"Close")</f>
        <v>Close</v>
      </c>
      <c r="C97" s="20" t="s">
        <v>31</v>
      </c>
      <c r="D97" s="62" t="str">
        <f>IFERROR(__xludf.DUMMYFUNCTION("GOOGLEFINANCE($E97, ""name"")"),"S&amp;P GSCI Gold ER")</f>
        <v>S&amp;P GSCI Gold ER</v>
      </c>
      <c r="E97" s="22" t="s">
        <v>34</v>
      </c>
      <c r="F97" s="97">
        <v>10000.0</v>
      </c>
      <c r="G97" s="24">
        <f>F97</f>
        <v>10000</v>
      </c>
      <c r="H97" s="27">
        <f>round((G97)/J98,2)</f>
        <v>75.18</v>
      </c>
      <c r="I97" s="29" t="s">
        <v>28</v>
      </c>
      <c r="J97" s="29" t="s">
        <v>29</v>
      </c>
      <c r="K97" s="29" t="s">
        <v>28</v>
      </c>
      <c r="L97" s="29" t="s">
        <v>29</v>
      </c>
      <c r="M97" s="31">
        <f>round(L98*H97,2)</f>
        <v>9989.92</v>
      </c>
      <c r="N97" s="55">
        <f>O97</f>
        <v>-10.08</v>
      </c>
      <c r="O97" s="55">
        <f>M97-G97</f>
        <v>-10.08</v>
      </c>
      <c r="P97" s="57">
        <v>0.0</v>
      </c>
    </row>
    <row r="98">
      <c r="A98" s="38">
        <f>IFERROR(__xludf.DUMMYFUNCTION("""COMPUTED_VALUE"""),43974.99861111111)</f>
        <v>43974.99861</v>
      </c>
      <c r="B98" s="40">
        <f>IFERROR(__xludf.DUMMYFUNCTION("""COMPUTED_VALUE"""),0.1402426)</f>
        <v>0.1402426</v>
      </c>
      <c r="I98" s="49">
        <v>43973.625</v>
      </c>
      <c r="J98" s="60">
        <v>133.02</v>
      </c>
      <c r="K98" s="49">
        <v>43980.625</v>
      </c>
      <c r="L98" s="44">
        <f>IFERROR(__xludf.DUMMYFUNCTION("GOOGLEFINANCE($E97,""price"")"),132.88)</f>
        <v>132.88</v>
      </c>
    </row>
    <row r="99">
      <c r="A99" s="19"/>
      <c r="B99" s="19"/>
      <c r="C99" s="20" t="s">
        <v>35</v>
      </c>
      <c r="D99" s="62" t="str">
        <f>IFERROR(__xludf.DUMMYFUNCTION("GOOGLEFINANCE($E99, ""name"")"),"iShares Barclays 20+ Yr Treas.Bond")</f>
        <v>iShares Barclays 20+ Yr Treas.Bond</v>
      </c>
      <c r="E99" s="22" t="s">
        <v>36</v>
      </c>
      <c r="F99" s="97">
        <v>0.0</v>
      </c>
      <c r="G99" s="24">
        <f>F99</f>
        <v>0</v>
      </c>
      <c r="H99" s="27">
        <f>round((G99)/J100,2)</f>
        <v>0</v>
      </c>
      <c r="I99" s="29" t="str">
        <f>IFERROR(__xludf.DUMMYFUNCTION("GOOGLEFINANCE($E99,""price"",""05/22/2020"")"),"Date")</f>
        <v>Date</v>
      </c>
      <c r="J99" s="29" t="str">
        <f>IFERROR(__xludf.DUMMYFUNCTION("""COMPUTED_VALUE"""),"Close")</f>
        <v>Close</v>
      </c>
      <c r="K99" s="29" t="str">
        <f>IFERROR(__xludf.DUMMYFUNCTION("GOOGLEFINANCE($E99,""price"",""05/29/2020"")"),"Date")</f>
        <v>Date</v>
      </c>
      <c r="L99" s="29" t="str">
        <f>IFERROR(__xludf.DUMMYFUNCTION("""COMPUTED_VALUE"""),"Close")</f>
        <v>Close</v>
      </c>
      <c r="M99" s="31">
        <f>round(L100*H99,2)</f>
        <v>0</v>
      </c>
      <c r="N99" s="98">
        <f>O99</f>
        <v>0</v>
      </c>
      <c r="O99" s="98">
        <f>M99-G99</f>
        <v>0</v>
      </c>
      <c r="P99" s="95">
        <v>0.0</v>
      </c>
    </row>
    <row r="100">
      <c r="A100" s="19"/>
      <c r="B100" s="19"/>
      <c r="I100" s="42">
        <f>IFERROR(__xludf.DUMMYFUNCTION("""COMPUTED_VALUE"""),43973.66666666667)</f>
        <v>43973.66667</v>
      </c>
      <c r="J100" s="44">
        <f>IFERROR(__xludf.DUMMYFUNCTION("""COMPUTED_VALUE"""),165.55)</f>
        <v>165.55</v>
      </c>
      <c r="K100" s="42">
        <f>IFERROR(__xludf.DUMMYFUNCTION("""COMPUTED_VALUE"""),43980.66666666667)</f>
        <v>43980.66667</v>
      </c>
      <c r="L100" s="44">
        <f>IFERROR(__xludf.DUMMYFUNCTION("""COMPUTED_VALUE"""),163.59)</f>
        <v>163.59</v>
      </c>
    </row>
    <row r="101">
      <c r="A101" s="19"/>
      <c r="B101" s="19"/>
      <c r="C101" s="20" t="s">
        <v>35</v>
      </c>
      <c r="D101" s="62" t="str">
        <f>IFERROR(__xludf.DUMMYFUNCTION("GOOGLEFINANCE($E101, ""name"")"),"iShares iBoxx $ High Yid Corp Bond")</f>
        <v>iShares iBoxx $ High Yid Corp Bond</v>
      </c>
      <c r="E101" s="22" t="s">
        <v>37</v>
      </c>
      <c r="F101" s="97">
        <v>0.0</v>
      </c>
      <c r="G101" s="24">
        <f>F101</f>
        <v>0</v>
      </c>
      <c r="H101" s="27">
        <f>round((G101)/J102,2)</f>
        <v>0</v>
      </c>
      <c r="I101" s="29" t="str">
        <f>IFERROR(__xludf.DUMMYFUNCTION("GOOGLEFINANCE($E101,""price"",""05/22/2020"")"),"Date")</f>
        <v>Date</v>
      </c>
      <c r="J101" s="29" t="str">
        <f>IFERROR(__xludf.DUMMYFUNCTION("""COMPUTED_VALUE"""),"Close")</f>
        <v>Close</v>
      </c>
      <c r="K101" s="29" t="str">
        <f>IFERROR(__xludf.DUMMYFUNCTION("GOOGLEFINANCE($E101,""price"",""05/29/2020"")"),"Date")</f>
        <v>Date</v>
      </c>
      <c r="L101" s="29" t="str">
        <f>IFERROR(__xludf.DUMMYFUNCTION("""COMPUTED_VALUE"""),"Close")</f>
        <v>Close</v>
      </c>
      <c r="M101" s="31">
        <f>round(L102*H101,2)</f>
        <v>0</v>
      </c>
      <c r="N101" s="98">
        <f>O101</f>
        <v>0</v>
      </c>
      <c r="O101" s="98">
        <f>M101-G101</f>
        <v>0</v>
      </c>
      <c r="P101" s="102" t="s">
        <v>39</v>
      </c>
    </row>
    <row r="102">
      <c r="A102" s="19"/>
      <c r="B102" s="19"/>
      <c r="I102" s="42">
        <f>IFERROR(__xludf.DUMMYFUNCTION("""COMPUTED_VALUE"""),43973.66666666667)</f>
        <v>43973.66667</v>
      </c>
      <c r="J102" s="44">
        <f>IFERROR(__xludf.DUMMYFUNCTION("""COMPUTED_VALUE"""),81.23)</f>
        <v>81.23</v>
      </c>
      <c r="K102" s="42">
        <f>IFERROR(__xludf.DUMMYFUNCTION("""COMPUTED_VALUE"""),43980.66666666667)</f>
        <v>43980.66667</v>
      </c>
      <c r="L102" s="44">
        <f>IFERROR(__xludf.DUMMYFUNCTION("""COMPUTED_VALUE"""),82.42)</f>
        <v>82.42</v>
      </c>
    </row>
    <row r="103">
      <c r="A103" s="19"/>
      <c r="B103" s="19"/>
      <c r="C103" s="20" t="s">
        <v>38</v>
      </c>
      <c r="D103" s="75" t="s">
        <v>38</v>
      </c>
      <c r="E103" s="22" t="s">
        <v>39</v>
      </c>
      <c r="F103" s="97">
        <v>210219.0</v>
      </c>
      <c r="G103" s="24">
        <f>F103</f>
        <v>210219</v>
      </c>
      <c r="H103" s="77" t="s">
        <v>39</v>
      </c>
      <c r="I103" s="29" t="s">
        <v>39</v>
      </c>
      <c r="K103" s="29" t="s">
        <v>39</v>
      </c>
      <c r="M103" s="31">
        <f>round(G103*(1+ 7/36500),2)</f>
        <v>210259.32</v>
      </c>
      <c r="N103" s="33">
        <f>O103</f>
        <v>40.32</v>
      </c>
      <c r="O103" s="33">
        <f>M103-G103</f>
        <v>40.32</v>
      </c>
      <c r="P103" s="72">
        <f> round(N103*100/F103,2)</f>
        <v>0.02</v>
      </c>
    </row>
    <row r="104">
      <c r="A104" s="19"/>
      <c r="B104" s="19"/>
    </row>
    <row r="105">
      <c r="A105" s="19"/>
      <c r="B105" s="19"/>
      <c r="C105" s="79" t="s">
        <v>40</v>
      </c>
      <c r="D105" s="80"/>
      <c r="E105" s="80"/>
      <c r="F105" s="77"/>
      <c r="G105" s="80"/>
      <c r="H105" s="80"/>
      <c r="I105" s="80"/>
      <c r="J105" s="80"/>
      <c r="K105" s="80"/>
      <c r="L105" s="80"/>
      <c r="M105" s="80"/>
      <c r="N105" s="83">
        <f>SUM(N85:N104)</f>
        <v>8095.526261</v>
      </c>
      <c r="O105" s="84"/>
      <c r="P105" s="84"/>
    </row>
    <row r="108">
      <c r="H108" s="89" t="s">
        <v>43</v>
      </c>
      <c r="J108" s="90">
        <f> N24 + N51 + N78 + N105 - 'EOW 1'!M26 - 'EOW 2'!K53 - 'EOW3'!J81</f>
        <v>24551.60688</v>
      </c>
    </row>
    <row r="109">
      <c r="H109" s="91" t="s">
        <v>44</v>
      </c>
      <c r="J109" s="92">
        <f>-225000*0.05*0.01</f>
        <v>-112.5</v>
      </c>
    </row>
    <row r="110">
      <c r="H110" s="93" t="s">
        <v>45</v>
      </c>
      <c r="J110" s="33">
        <f> 'EOW3'!J83 + J108 + J109</f>
        <v>1049657.849</v>
      </c>
    </row>
  </sheetData>
  <mergeCells count="450">
    <mergeCell ref="F1:H1"/>
    <mergeCell ref="A2:B2"/>
    <mergeCell ref="F2:G2"/>
    <mergeCell ref="N2:O2"/>
    <mergeCell ref="A3:B3"/>
    <mergeCell ref="I3:J3"/>
    <mergeCell ref="K3:L3"/>
    <mergeCell ref="N4:N5"/>
    <mergeCell ref="O4:O5"/>
    <mergeCell ref="P4:P5"/>
    <mergeCell ref="C4:C5"/>
    <mergeCell ref="D4:D5"/>
    <mergeCell ref="E4:E5"/>
    <mergeCell ref="F4:F5"/>
    <mergeCell ref="G4:G5"/>
    <mergeCell ref="H4:H5"/>
    <mergeCell ref="M4:M5"/>
    <mergeCell ref="D6:D7"/>
    <mergeCell ref="E6:E7"/>
    <mergeCell ref="F6:F7"/>
    <mergeCell ref="G6:G7"/>
    <mergeCell ref="H6:H7"/>
    <mergeCell ref="M6:M7"/>
    <mergeCell ref="A8:B8"/>
    <mergeCell ref="C6:C7"/>
    <mergeCell ref="C8:C9"/>
    <mergeCell ref="D8:D9"/>
    <mergeCell ref="E8:E9"/>
    <mergeCell ref="F8:F9"/>
    <mergeCell ref="G8:G9"/>
    <mergeCell ref="H8:H9"/>
    <mergeCell ref="M10:M11"/>
    <mergeCell ref="N10:N11"/>
    <mergeCell ref="O10:O11"/>
    <mergeCell ref="P10:P11"/>
    <mergeCell ref="N6:N7"/>
    <mergeCell ref="O6:O7"/>
    <mergeCell ref="P6:P7"/>
    <mergeCell ref="M8:M9"/>
    <mergeCell ref="N8:N9"/>
    <mergeCell ref="O8:O9"/>
    <mergeCell ref="P8:P9"/>
    <mergeCell ref="N18:N19"/>
    <mergeCell ref="O18:O19"/>
    <mergeCell ref="P18:P19"/>
    <mergeCell ref="C18:C19"/>
    <mergeCell ref="D18:D19"/>
    <mergeCell ref="E18:E19"/>
    <mergeCell ref="F18:F19"/>
    <mergeCell ref="G18:G19"/>
    <mergeCell ref="H18:H19"/>
    <mergeCell ref="M18:M19"/>
    <mergeCell ref="N20:N21"/>
    <mergeCell ref="O20:O21"/>
    <mergeCell ref="P20:P21"/>
    <mergeCell ref="C20:C21"/>
    <mergeCell ref="D20:D21"/>
    <mergeCell ref="E20:E21"/>
    <mergeCell ref="F20:F21"/>
    <mergeCell ref="G20:G21"/>
    <mergeCell ref="H20:H21"/>
    <mergeCell ref="M20:M21"/>
    <mergeCell ref="K22:L23"/>
    <mergeCell ref="M22:M23"/>
    <mergeCell ref="N22:N23"/>
    <mergeCell ref="O22:O23"/>
    <mergeCell ref="P22:P23"/>
    <mergeCell ref="C22:C23"/>
    <mergeCell ref="D22:D23"/>
    <mergeCell ref="E22:E23"/>
    <mergeCell ref="F22:F23"/>
    <mergeCell ref="G22:G23"/>
    <mergeCell ref="H22:H23"/>
    <mergeCell ref="I22:J23"/>
    <mergeCell ref="F12:F13"/>
    <mergeCell ref="G12:G13"/>
    <mergeCell ref="M12:M13"/>
    <mergeCell ref="N12:N13"/>
    <mergeCell ref="O12:O13"/>
    <mergeCell ref="P12:P13"/>
    <mergeCell ref="C10:C11"/>
    <mergeCell ref="D10:D11"/>
    <mergeCell ref="E10:E11"/>
    <mergeCell ref="F10:F11"/>
    <mergeCell ref="G10:G11"/>
    <mergeCell ref="H10:H11"/>
    <mergeCell ref="C12:C13"/>
    <mergeCell ref="H12:H13"/>
    <mergeCell ref="G14:G15"/>
    <mergeCell ref="H14:H15"/>
    <mergeCell ref="M14:M15"/>
    <mergeCell ref="N14:N15"/>
    <mergeCell ref="O14:O15"/>
    <mergeCell ref="P14:P15"/>
    <mergeCell ref="D12:D13"/>
    <mergeCell ref="E12:E13"/>
    <mergeCell ref="A13:B13"/>
    <mergeCell ref="C14:C15"/>
    <mergeCell ref="D14:D15"/>
    <mergeCell ref="E14:E15"/>
    <mergeCell ref="F14:F15"/>
    <mergeCell ref="N16:N17"/>
    <mergeCell ref="O16:O17"/>
    <mergeCell ref="P16:P17"/>
    <mergeCell ref="C16:C17"/>
    <mergeCell ref="D16:D17"/>
    <mergeCell ref="E16:E17"/>
    <mergeCell ref="F16:F17"/>
    <mergeCell ref="G16:G17"/>
    <mergeCell ref="H16:H17"/>
    <mergeCell ref="M16:M17"/>
    <mergeCell ref="F28:H28"/>
    <mergeCell ref="A29:B29"/>
    <mergeCell ref="F29:G29"/>
    <mergeCell ref="N29:O29"/>
    <mergeCell ref="A30:B30"/>
    <mergeCell ref="I30:J30"/>
    <mergeCell ref="K30:L30"/>
    <mergeCell ref="N31:N32"/>
    <mergeCell ref="O31:O32"/>
    <mergeCell ref="P31:P32"/>
    <mergeCell ref="C31:C32"/>
    <mergeCell ref="D31:D32"/>
    <mergeCell ref="E31:E32"/>
    <mergeCell ref="F31:F32"/>
    <mergeCell ref="G31:G32"/>
    <mergeCell ref="H31:H32"/>
    <mergeCell ref="M31:M32"/>
    <mergeCell ref="D33:D34"/>
    <mergeCell ref="E33:E34"/>
    <mergeCell ref="F33:F34"/>
    <mergeCell ref="G33:G34"/>
    <mergeCell ref="H33:H34"/>
    <mergeCell ref="M33:M34"/>
    <mergeCell ref="A35:B35"/>
    <mergeCell ref="C33:C34"/>
    <mergeCell ref="C35:C36"/>
    <mergeCell ref="D35:D36"/>
    <mergeCell ref="E35:E36"/>
    <mergeCell ref="F35:F36"/>
    <mergeCell ref="G35:G36"/>
    <mergeCell ref="H35:H36"/>
    <mergeCell ref="M37:M38"/>
    <mergeCell ref="N37:N38"/>
    <mergeCell ref="O37:O38"/>
    <mergeCell ref="P37:P38"/>
    <mergeCell ref="M39:M40"/>
    <mergeCell ref="N39:N40"/>
    <mergeCell ref="O39:O40"/>
    <mergeCell ref="P39:P40"/>
    <mergeCell ref="N33:N34"/>
    <mergeCell ref="O33:O34"/>
    <mergeCell ref="P33:P34"/>
    <mergeCell ref="M35:M36"/>
    <mergeCell ref="N35:N36"/>
    <mergeCell ref="O35:O36"/>
    <mergeCell ref="P35:P36"/>
    <mergeCell ref="D39:D40"/>
    <mergeCell ref="E39:E40"/>
    <mergeCell ref="A40:B40"/>
    <mergeCell ref="M41:M42"/>
    <mergeCell ref="N41:N42"/>
    <mergeCell ref="O41:O42"/>
    <mergeCell ref="P41:P42"/>
    <mergeCell ref="N43:N44"/>
    <mergeCell ref="O43:O44"/>
    <mergeCell ref="P43:P44"/>
    <mergeCell ref="M43:M44"/>
    <mergeCell ref="M45:M46"/>
    <mergeCell ref="N45:N46"/>
    <mergeCell ref="O45:O46"/>
    <mergeCell ref="P45:P46"/>
    <mergeCell ref="M47:M48"/>
    <mergeCell ref="N47:N48"/>
    <mergeCell ref="H81:I81"/>
    <mergeCell ref="F82:H82"/>
    <mergeCell ref="A83:B83"/>
    <mergeCell ref="F83:G83"/>
    <mergeCell ref="N83:O83"/>
    <mergeCell ref="I84:J84"/>
    <mergeCell ref="K84:L84"/>
    <mergeCell ref="A84:B84"/>
    <mergeCell ref="C85:C86"/>
    <mergeCell ref="D85:D86"/>
    <mergeCell ref="E85:E86"/>
    <mergeCell ref="F85:F86"/>
    <mergeCell ref="G85:G86"/>
    <mergeCell ref="H85:H86"/>
    <mergeCell ref="O85:O86"/>
    <mergeCell ref="M85:M86"/>
    <mergeCell ref="N85:N86"/>
    <mergeCell ref="P85:P86"/>
    <mergeCell ref="D87:D88"/>
    <mergeCell ref="E87:E88"/>
    <mergeCell ref="F87:F88"/>
    <mergeCell ref="A89:B89"/>
    <mergeCell ref="C87:C88"/>
    <mergeCell ref="C89:C90"/>
    <mergeCell ref="D89:D90"/>
    <mergeCell ref="E89:E90"/>
    <mergeCell ref="F89:F90"/>
    <mergeCell ref="G89:G90"/>
    <mergeCell ref="H89:H90"/>
    <mergeCell ref="D93:D94"/>
    <mergeCell ref="E93:E94"/>
    <mergeCell ref="A94:B94"/>
    <mergeCell ref="C95:C96"/>
    <mergeCell ref="D95:D96"/>
    <mergeCell ref="E95:E96"/>
    <mergeCell ref="F93:F94"/>
    <mergeCell ref="G93:G94"/>
    <mergeCell ref="F95:F96"/>
    <mergeCell ref="G95:G96"/>
    <mergeCell ref="H95:H96"/>
    <mergeCell ref="C91:C92"/>
    <mergeCell ref="D91:D92"/>
    <mergeCell ref="E91:E92"/>
    <mergeCell ref="F91:F92"/>
    <mergeCell ref="G91:G92"/>
    <mergeCell ref="H91:H92"/>
    <mergeCell ref="C93:C94"/>
    <mergeCell ref="H93:H94"/>
    <mergeCell ref="M93:M94"/>
    <mergeCell ref="M95:M96"/>
    <mergeCell ref="P95:P96"/>
    <mergeCell ref="M87:M88"/>
    <mergeCell ref="N87:N88"/>
    <mergeCell ref="M89:M90"/>
    <mergeCell ref="N89:N90"/>
    <mergeCell ref="M91:M92"/>
    <mergeCell ref="N91:N92"/>
    <mergeCell ref="N93:N94"/>
    <mergeCell ref="N95:N96"/>
    <mergeCell ref="D45:D46"/>
    <mergeCell ref="E45:E46"/>
    <mergeCell ref="C47:C48"/>
    <mergeCell ref="D47:D48"/>
    <mergeCell ref="E47:E48"/>
    <mergeCell ref="C49:C50"/>
    <mergeCell ref="D49:D50"/>
    <mergeCell ref="E49:E50"/>
    <mergeCell ref="F45:F46"/>
    <mergeCell ref="G45:G46"/>
    <mergeCell ref="F47:F48"/>
    <mergeCell ref="G47:G48"/>
    <mergeCell ref="H47:H48"/>
    <mergeCell ref="F49:F50"/>
    <mergeCell ref="G49:G50"/>
    <mergeCell ref="F39:F40"/>
    <mergeCell ref="G39:G40"/>
    <mergeCell ref="C37:C38"/>
    <mergeCell ref="D37:D38"/>
    <mergeCell ref="E37:E38"/>
    <mergeCell ref="F37:F38"/>
    <mergeCell ref="G37:G38"/>
    <mergeCell ref="H37:H38"/>
    <mergeCell ref="H39:H40"/>
    <mergeCell ref="C39:C40"/>
    <mergeCell ref="C41:C42"/>
    <mergeCell ref="D41:D42"/>
    <mergeCell ref="E41:E42"/>
    <mergeCell ref="F41:F42"/>
    <mergeCell ref="G41:G42"/>
    <mergeCell ref="H41:H42"/>
    <mergeCell ref="C43:C44"/>
    <mergeCell ref="D43:D44"/>
    <mergeCell ref="E43:E44"/>
    <mergeCell ref="F43:F44"/>
    <mergeCell ref="G43:G44"/>
    <mergeCell ref="H43:H44"/>
    <mergeCell ref="C45:C46"/>
    <mergeCell ref="H45:H46"/>
    <mergeCell ref="O47:O48"/>
    <mergeCell ref="P47:P48"/>
    <mergeCell ref="H49:H50"/>
    <mergeCell ref="I49:J50"/>
    <mergeCell ref="K49:L50"/>
    <mergeCell ref="M49:M50"/>
    <mergeCell ref="N49:N50"/>
    <mergeCell ref="O49:O50"/>
    <mergeCell ref="P49:P50"/>
    <mergeCell ref="I53:J53"/>
    <mergeCell ref="I54:J54"/>
    <mergeCell ref="F55:H55"/>
    <mergeCell ref="A56:B56"/>
    <mergeCell ref="F56:G56"/>
    <mergeCell ref="N56:O56"/>
    <mergeCell ref="A57:B57"/>
    <mergeCell ref="K57:L57"/>
    <mergeCell ref="M58:M59"/>
    <mergeCell ref="N58:N59"/>
    <mergeCell ref="O58:O59"/>
    <mergeCell ref="P58:P59"/>
    <mergeCell ref="I57:J57"/>
    <mergeCell ref="C58:C59"/>
    <mergeCell ref="D58:D59"/>
    <mergeCell ref="E58:E59"/>
    <mergeCell ref="F58:F59"/>
    <mergeCell ref="G58:G59"/>
    <mergeCell ref="H58:H59"/>
    <mergeCell ref="D60:D61"/>
    <mergeCell ref="E60:E61"/>
    <mergeCell ref="F60:F61"/>
    <mergeCell ref="G60:G61"/>
    <mergeCell ref="H60:H61"/>
    <mergeCell ref="M60:M61"/>
    <mergeCell ref="A62:B62"/>
    <mergeCell ref="C60:C61"/>
    <mergeCell ref="C62:C63"/>
    <mergeCell ref="D62:D63"/>
    <mergeCell ref="E62:E63"/>
    <mergeCell ref="F62:F63"/>
    <mergeCell ref="G62:G63"/>
    <mergeCell ref="H62:H63"/>
    <mergeCell ref="M64:M65"/>
    <mergeCell ref="N64:N65"/>
    <mergeCell ref="O64:O65"/>
    <mergeCell ref="P64:P65"/>
    <mergeCell ref="M66:M67"/>
    <mergeCell ref="N66:N67"/>
    <mergeCell ref="O66:O67"/>
    <mergeCell ref="P66:P67"/>
    <mergeCell ref="N60:N61"/>
    <mergeCell ref="O60:O61"/>
    <mergeCell ref="P60:P61"/>
    <mergeCell ref="M62:M63"/>
    <mergeCell ref="N62:N63"/>
    <mergeCell ref="O62:O63"/>
    <mergeCell ref="P62:P63"/>
    <mergeCell ref="D66:D67"/>
    <mergeCell ref="E66:E67"/>
    <mergeCell ref="A67:B67"/>
    <mergeCell ref="M68:M69"/>
    <mergeCell ref="N68:N69"/>
    <mergeCell ref="O68:O69"/>
    <mergeCell ref="P68:P69"/>
    <mergeCell ref="N70:N71"/>
    <mergeCell ref="O70:O71"/>
    <mergeCell ref="P70:P71"/>
    <mergeCell ref="M70:M71"/>
    <mergeCell ref="M72:M73"/>
    <mergeCell ref="N72:N73"/>
    <mergeCell ref="O72:O73"/>
    <mergeCell ref="P72:P73"/>
    <mergeCell ref="M74:M75"/>
    <mergeCell ref="N74:N75"/>
    <mergeCell ref="F72:F73"/>
    <mergeCell ref="G72:G73"/>
    <mergeCell ref="F74:F75"/>
    <mergeCell ref="G74:G75"/>
    <mergeCell ref="H74:H75"/>
    <mergeCell ref="F76:F77"/>
    <mergeCell ref="G76:G77"/>
    <mergeCell ref="D72:D73"/>
    <mergeCell ref="E72:E73"/>
    <mergeCell ref="C74:C75"/>
    <mergeCell ref="D74:D75"/>
    <mergeCell ref="E74:E75"/>
    <mergeCell ref="D76:D77"/>
    <mergeCell ref="E76:E77"/>
    <mergeCell ref="C76:C77"/>
    <mergeCell ref="C97:C98"/>
    <mergeCell ref="D97:D98"/>
    <mergeCell ref="E97:E98"/>
    <mergeCell ref="F97:F98"/>
    <mergeCell ref="G97:G98"/>
    <mergeCell ref="H97:H98"/>
    <mergeCell ref="D101:D102"/>
    <mergeCell ref="E101:E102"/>
    <mergeCell ref="C103:C104"/>
    <mergeCell ref="D103:D104"/>
    <mergeCell ref="E103:E104"/>
    <mergeCell ref="C99:C100"/>
    <mergeCell ref="D99:D100"/>
    <mergeCell ref="E99:E100"/>
    <mergeCell ref="F99:F100"/>
    <mergeCell ref="G99:G100"/>
    <mergeCell ref="H99:H100"/>
    <mergeCell ref="C101:C102"/>
    <mergeCell ref="H101:H102"/>
    <mergeCell ref="H109:I109"/>
    <mergeCell ref="H110:I110"/>
    <mergeCell ref="F101:F102"/>
    <mergeCell ref="G101:G102"/>
    <mergeCell ref="F103:F104"/>
    <mergeCell ref="G103:G104"/>
    <mergeCell ref="H103:H104"/>
    <mergeCell ref="I103:J104"/>
    <mergeCell ref="H108:I108"/>
    <mergeCell ref="F66:F67"/>
    <mergeCell ref="G66:G67"/>
    <mergeCell ref="C64:C65"/>
    <mergeCell ref="D64:D65"/>
    <mergeCell ref="E64:E65"/>
    <mergeCell ref="F64:F65"/>
    <mergeCell ref="G64:G65"/>
    <mergeCell ref="H64:H65"/>
    <mergeCell ref="H66:H67"/>
    <mergeCell ref="C66:C67"/>
    <mergeCell ref="C68:C69"/>
    <mergeCell ref="D68:D69"/>
    <mergeCell ref="E68:E69"/>
    <mergeCell ref="F68:F69"/>
    <mergeCell ref="G68:G69"/>
    <mergeCell ref="H68:H69"/>
    <mergeCell ref="C70:C71"/>
    <mergeCell ref="D70:D71"/>
    <mergeCell ref="E70:E71"/>
    <mergeCell ref="F70:F71"/>
    <mergeCell ref="G70:G71"/>
    <mergeCell ref="H70:H71"/>
    <mergeCell ref="C72:C73"/>
    <mergeCell ref="H72:H73"/>
    <mergeCell ref="O74:O75"/>
    <mergeCell ref="P74:P75"/>
    <mergeCell ref="H76:H77"/>
    <mergeCell ref="I76:J77"/>
    <mergeCell ref="K76:L77"/>
    <mergeCell ref="M76:M77"/>
    <mergeCell ref="N76:N77"/>
    <mergeCell ref="O76:O77"/>
    <mergeCell ref="P76:P77"/>
    <mergeCell ref="G87:G88"/>
    <mergeCell ref="H87:H88"/>
    <mergeCell ref="O87:O88"/>
    <mergeCell ref="P87:P88"/>
    <mergeCell ref="O89:O90"/>
    <mergeCell ref="P89:P90"/>
    <mergeCell ref="O91:O92"/>
    <mergeCell ref="P91:P92"/>
    <mergeCell ref="P93:P94"/>
    <mergeCell ref="N99:N100"/>
    <mergeCell ref="O99:O100"/>
    <mergeCell ref="O93:O94"/>
    <mergeCell ref="O95:O96"/>
    <mergeCell ref="M97:M98"/>
    <mergeCell ref="N97:N98"/>
    <mergeCell ref="O97:O98"/>
    <mergeCell ref="P97:P98"/>
    <mergeCell ref="P99:P100"/>
    <mergeCell ref="N103:N104"/>
    <mergeCell ref="O103:O104"/>
    <mergeCell ref="M99:M100"/>
    <mergeCell ref="M101:M102"/>
    <mergeCell ref="N101:N102"/>
    <mergeCell ref="O101:O102"/>
    <mergeCell ref="P101:P102"/>
    <mergeCell ref="K103:L104"/>
    <mergeCell ref="M103:M104"/>
    <mergeCell ref="P103:P10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2"/>
      <c r="C1" s="2"/>
      <c r="D1" s="2"/>
      <c r="E1" s="2"/>
      <c r="F1" s="4" t="s">
        <v>0</v>
      </c>
      <c r="I1" s="2"/>
      <c r="J1" s="2"/>
      <c r="K1" s="2"/>
      <c r="L1" s="2"/>
      <c r="M1" s="2"/>
      <c r="N1" s="2"/>
      <c r="O1" s="2"/>
      <c r="P1" s="2"/>
    </row>
    <row r="2">
      <c r="A2" s="6" t="s">
        <v>1</v>
      </c>
      <c r="C2" s="7"/>
      <c r="D2" s="7"/>
      <c r="E2" s="7"/>
      <c r="F2" s="9" t="s">
        <v>2</v>
      </c>
      <c r="H2" s="7"/>
      <c r="I2" s="7"/>
      <c r="J2" s="7"/>
      <c r="K2" s="7"/>
      <c r="L2" s="7"/>
      <c r="M2" s="7"/>
      <c r="N2" s="9" t="s">
        <v>3</v>
      </c>
      <c r="P2" s="7"/>
    </row>
    <row r="3">
      <c r="A3" s="11" t="s">
        <v>4</v>
      </c>
      <c r="C3" s="13" t="s">
        <v>5</v>
      </c>
      <c r="D3" s="13" t="s">
        <v>6</v>
      </c>
      <c r="E3" s="13" t="s">
        <v>7</v>
      </c>
      <c r="F3" s="13" t="s">
        <v>8</v>
      </c>
      <c r="G3" s="13" t="s">
        <v>9</v>
      </c>
      <c r="H3" s="13" t="s">
        <v>10</v>
      </c>
      <c r="I3" s="15" t="s">
        <v>11</v>
      </c>
      <c r="K3" s="15" t="s">
        <v>12</v>
      </c>
      <c r="M3" s="13" t="s">
        <v>13</v>
      </c>
      <c r="N3" s="15" t="s">
        <v>14</v>
      </c>
      <c r="O3" s="13" t="s">
        <v>15</v>
      </c>
      <c r="P3" s="13" t="s">
        <v>16</v>
      </c>
    </row>
    <row r="4">
      <c r="A4" s="19" t="str">
        <f>IFERROR(__xludf.DUMMYFUNCTION("GOOGLEFINANCE(""currency:EURUSD"", ""price"",DATE(2020,5,4))"),"Date")</f>
        <v>Date</v>
      </c>
      <c r="B4" s="19" t="str">
        <f>IFERROR(__xludf.DUMMYFUNCTION("""COMPUTED_VALUE"""),"Close")</f>
        <v>Close</v>
      </c>
      <c r="C4" s="20" t="s">
        <v>17</v>
      </c>
      <c r="D4" s="22" t="str">
        <f>IFERROR(__xludf.DUMMYFUNCTION("GOOGLEFINANCE($E4, ""name"")"),"S&amp;P 500 Index")</f>
        <v>S&amp;P 500 Index</v>
      </c>
      <c r="E4" s="22" t="s">
        <v>18</v>
      </c>
      <c r="F4" s="24">
        <v>50000.0</v>
      </c>
      <c r="G4" s="24">
        <v>50000.0</v>
      </c>
      <c r="H4" s="27">
        <f>round(G4/J5,2)</f>
        <v>17.59</v>
      </c>
      <c r="I4" s="28" t="str">
        <f>IFERROR(__xludf.DUMMYFUNCTION("GOOGLEFINANCE($E4,""price"",""5/4/2020"")"),"Date")</f>
        <v>Date</v>
      </c>
      <c r="J4" s="29" t="str">
        <f>IFERROR(__xludf.DUMMYFUNCTION("""COMPUTED_VALUE"""),"Close")</f>
        <v>Close</v>
      </c>
      <c r="K4" s="29" t="str">
        <f>IFERROR(__xludf.DUMMYFUNCTION("GOOGLEFINANCE($E4,""price"",""05/22/2020"")"),"Date")</f>
        <v>Date</v>
      </c>
      <c r="L4" s="29" t="str">
        <f>IFERROR(__xludf.DUMMYFUNCTION("""COMPUTED_VALUE"""),"Close")</f>
        <v>Close</v>
      </c>
      <c r="M4" s="31">
        <f>round(L5*H4,2)</f>
        <v>51986.37</v>
      </c>
      <c r="N4" s="33">
        <f>M4-G4</f>
        <v>1986.37</v>
      </c>
      <c r="O4" s="33">
        <f>M4-G4</f>
        <v>1986.37</v>
      </c>
      <c r="P4" s="36">
        <f> round(N4*100/F4,2)</f>
        <v>3.97</v>
      </c>
    </row>
    <row r="5">
      <c r="A5" s="38">
        <f>IFERROR(__xludf.DUMMYFUNCTION("""COMPUTED_VALUE"""),43955.99861111111)</f>
        <v>43955.99861</v>
      </c>
      <c r="B5" s="40">
        <f>IFERROR(__xludf.DUMMYFUNCTION("""COMPUTED_VALUE"""),1.09041)</f>
        <v>1.09041</v>
      </c>
      <c r="I5" s="42">
        <f>IFERROR(__xludf.DUMMYFUNCTION("""COMPUTED_VALUE"""),43955.66666666667)</f>
        <v>43955.66667</v>
      </c>
      <c r="J5" s="44">
        <f>IFERROR(__xludf.DUMMYFUNCTION("""COMPUTED_VALUE"""),2842.74)</f>
        <v>2842.74</v>
      </c>
      <c r="K5" s="42">
        <f>IFERROR(__xludf.DUMMYFUNCTION("""COMPUTED_VALUE"""),43973.66666666667)</f>
        <v>43973.66667</v>
      </c>
      <c r="L5" s="44">
        <f>IFERROR(__xludf.DUMMYFUNCTION("""COMPUTED_VALUE"""),2955.45)</f>
        <v>2955.45</v>
      </c>
    </row>
    <row r="6">
      <c r="A6" s="19" t="str">
        <f>IFERROR(__xludf.DUMMYFUNCTION("GOOGLEFINANCE(""currency:EURUSD"", ""price"",DATE(2020,5,25))"),"Date")</f>
        <v>Date</v>
      </c>
      <c r="B6" s="19" t="str">
        <f>IFERROR(__xludf.DUMMYFUNCTION("""COMPUTED_VALUE"""),"Close")</f>
        <v>Close</v>
      </c>
      <c r="C6" s="20" t="s">
        <v>17</v>
      </c>
      <c r="D6" s="22" t="str">
        <f>IFERROR(__xludf.DUMMYFUNCTION("GOOGLEFINANCE($E6, ""name"")"),"NASDAQ-100")</f>
        <v>NASDAQ-100</v>
      </c>
      <c r="E6" s="22" t="s">
        <v>19</v>
      </c>
      <c r="F6" s="24">
        <v>50000.0</v>
      </c>
      <c r="G6" s="24">
        <v>50000.0</v>
      </c>
      <c r="H6" s="27">
        <f>round(G6/J7,2)</f>
        <v>5.66</v>
      </c>
      <c r="I6" s="29" t="str">
        <f>IFERROR(__xludf.DUMMYFUNCTION("GOOGLEFINANCE($E6,""price"",""5/4/2020"")"),"Date")</f>
        <v>Date</v>
      </c>
      <c r="J6" s="29" t="str">
        <f>IFERROR(__xludf.DUMMYFUNCTION("""COMPUTED_VALUE"""),"Close")</f>
        <v>Close</v>
      </c>
      <c r="K6" s="29" t="str">
        <f>IFERROR(__xludf.DUMMYFUNCTION("GOOGLEFINANCE($E6,""price"",""05/22/2020"")"),"Date")</f>
        <v>Date</v>
      </c>
      <c r="L6" s="29" t="str">
        <f>IFERROR(__xludf.DUMMYFUNCTION("""COMPUTED_VALUE"""),"Close")</f>
        <v>Close</v>
      </c>
      <c r="M6" s="31">
        <f>round(L7*H6,2)</f>
        <v>53283.18</v>
      </c>
      <c r="N6" s="33">
        <f>M6-G6</f>
        <v>3283.18</v>
      </c>
      <c r="O6" s="33">
        <f>M6-G6</f>
        <v>3283.18</v>
      </c>
      <c r="P6" s="36">
        <f> round(N6*100/F6,2)</f>
        <v>6.57</v>
      </c>
    </row>
    <row r="7">
      <c r="A7" s="38">
        <f>IFERROR(__xludf.DUMMYFUNCTION("""COMPUTED_VALUE"""),43976.99861111111)</f>
        <v>43976.99861</v>
      </c>
      <c r="B7" s="40">
        <f>IFERROR(__xludf.DUMMYFUNCTION("""COMPUTED_VALUE"""),1.09007)</f>
        <v>1.09007</v>
      </c>
      <c r="I7" s="42">
        <f>IFERROR(__xludf.DUMMYFUNCTION("""COMPUTED_VALUE"""),43955.66666666667)</f>
        <v>43955.66667</v>
      </c>
      <c r="J7" s="44">
        <f>IFERROR(__xludf.DUMMYFUNCTION("""COMPUTED_VALUE"""),8834.11)</f>
        <v>8834.11</v>
      </c>
      <c r="K7" s="42">
        <f>IFERROR(__xludf.DUMMYFUNCTION("""COMPUTED_VALUE"""),43973.66666666667)</f>
        <v>43973.66667</v>
      </c>
      <c r="L7" s="44">
        <f>IFERROR(__xludf.DUMMYFUNCTION("""COMPUTED_VALUE"""),9413.99)</f>
        <v>9413.99</v>
      </c>
    </row>
    <row r="8">
      <c r="A8" s="11" t="s">
        <v>20</v>
      </c>
      <c r="C8" s="20" t="s">
        <v>21</v>
      </c>
      <c r="D8" s="22" t="str">
        <f>IFERROR(__xludf.DUMMYFUNCTION("GOOGLEFINANCE(""indexdb:DAX"", ""name"")"),"DAX PERFORMANCE-INDEX")</f>
        <v>DAX PERFORMANCE-INDEX</v>
      </c>
      <c r="E8" s="22" t="s">
        <v>22</v>
      </c>
      <c r="F8" s="24">
        <v>50000.0</v>
      </c>
      <c r="G8" s="24">
        <f>50000/B5</f>
        <v>45854.31168</v>
      </c>
      <c r="H8" s="27">
        <f>round(G8/J9,2)</f>
        <v>4.38</v>
      </c>
      <c r="I8" s="28" t="str">
        <f>IFERROR(__xludf.DUMMYFUNCTION("GOOGLEFINANCE(""indexdb:DAX"",""price"",""5/4/2020"")"),"Date")</f>
        <v>Date</v>
      </c>
      <c r="J8" s="29" t="str">
        <f>IFERROR(__xludf.DUMMYFUNCTION("""COMPUTED_VALUE"""),"Close")</f>
        <v>Close</v>
      </c>
      <c r="K8" s="29" t="str">
        <f>IFERROR(__xludf.DUMMYFUNCTION("GOOGLEFINANCE(""indexdb:DAX"", ""price"",""05/25/2020"")"),"Date")</f>
        <v>Date</v>
      </c>
      <c r="L8" s="29" t="str">
        <f>IFERROR(__xludf.DUMMYFUNCTION("""COMPUTED_VALUE"""),"Close")</f>
        <v>Close</v>
      </c>
      <c r="M8" s="31">
        <f>round(L9*H8,2)</f>
        <v>49893.81</v>
      </c>
      <c r="N8" s="33">
        <f>O8*B7</f>
        <v>4403.335933</v>
      </c>
      <c r="O8" s="33">
        <f>M8-G8</f>
        <v>4039.498319</v>
      </c>
      <c r="P8" s="36">
        <f> round(N8*100/F8,2)</f>
        <v>8.81</v>
      </c>
    </row>
    <row r="9">
      <c r="A9" s="19" t="str">
        <f>IFERROR(__xludf.DUMMYFUNCTION("GOOGLEFINANCE(""currency:JPYUSD"", ""price"",DATE(2020,5,4))"),"Date")</f>
        <v>Date</v>
      </c>
      <c r="B9" s="19" t="str">
        <f>IFERROR(__xludf.DUMMYFUNCTION("""COMPUTED_VALUE"""),"Close")</f>
        <v>Close</v>
      </c>
      <c r="I9" s="42">
        <f>IFERROR(__xludf.DUMMYFUNCTION("""COMPUTED_VALUE"""),43955.83333333333)</f>
        <v>43955.83333</v>
      </c>
      <c r="J9" s="44">
        <f>IFERROR(__xludf.DUMMYFUNCTION("""COMPUTED_VALUE"""),10466.8)</f>
        <v>10466.8</v>
      </c>
      <c r="K9" s="49">
        <f>IFERROR(__xludf.DUMMYFUNCTION("""COMPUTED_VALUE"""),43976.83333333333)</f>
        <v>43976.83333</v>
      </c>
      <c r="L9" s="44">
        <f>IFERROR(__xludf.DUMMYFUNCTION("""COMPUTED_VALUE"""),11391.28)</f>
        <v>11391.28</v>
      </c>
    </row>
    <row r="10">
      <c r="A10" s="38">
        <f>IFERROR(__xludf.DUMMYFUNCTION("""COMPUTED_VALUE"""),43955.99861111111)</f>
        <v>43955.99861</v>
      </c>
      <c r="B10" s="40">
        <f>IFERROR(__xludf.DUMMYFUNCTION("""COMPUTED_VALUE"""),0.009372)</f>
        <v>0.009372</v>
      </c>
      <c r="C10" s="20" t="s">
        <v>23</v>
      </c>
      <c r="D10" s="22" t="str">
        <f>IFERROR(__xludf.DUMMYFUNCTION("GOOGLEFINANCE($E10, ""name"")"),"Nikkei 225")</f>
        <v>Nikkei 225</v>
      </c>
      <c r="E10" s="22" t="s">
        <v>24</v>
      </c>
      <c r="F10" s="24">
        <v>20000.0</v>
      </c>
      <c r="G10" s="24">
        <f>20000/B10</f>
        <v>2134016.219</v>
      </c>
      <c r="H10" s="27">
        <f>round(G10/J11,2)</f>
        <v>108.77</v>
      </c>
      <c r="I10" s="29" t="str">
        <f>IFERROR(__xludf.DUMMYFUNCTION("GOOGLEFINANCE($E10,""price"",""4/30/2020"")"),"Date")</f>
        <v>Date</v>
      </c>
      <c r="J10" s="29" t="str">
        <f>IFERROR(__xludf.DUMMYFUNCTION("""COMPUTED_VALUE"""),"Close")</f>
        <v>Close</v>
      </c>
      <c r="K10" s="29" t="str">
        <f>IFERROR(__xludf.DUMMYFUNCTION("GOOGLEFINANCE($E10,""price"",""05/24/2020"")"),"Date")</f>
        <v>Date</v>
      </c>
      <c r="L10" s="29" t="str">
        <f>IFERROR(__xludf.DUMMYFUNCTION("""COMPUTED_VALUE"""),"Close")</f>
        <v>Close</v>
      </c>
      <c r="M10" s="31">
        <f>round(L11*H10,2)</f>
        <v>2256069.27</v>
      </c>
      <c r="N10" s="33">
        <f>O10*B12</f>
        <v>1133.384636</v>
      </c>
      <c r="O10" s="33">
        <f>M10-G10</f>
        <v>122053.0515</v>
      </c>
      <c r="P10" s="36">
        <f> round(N10*100/F10,2)</f>
        <v>5.67</v>
      </c>
    </row>
    <row r="11">
      <c r="A11" s="19" t="str">
        <f>IFERROR(__xludf.DUMMYFUNCTION("GOOGLEFINANCE(""currency:JPYUSD"", ""price"",DATE(2020,5,25))"),"Date")</f>
        <v>Date</v>
      </c>
      <c r="B11" s="19" t="str">
        <f>IFERROR(__xludf.DUMMYFUNCTION("""COMPUTED_VALUE"""),"Close")</f>
        <v>Close</v>
      </c>
      <c r="I11" s="42">
        <f>IFERROR(__xludf.DUMMYFUNCTION("""COMPUTED_VALUE"""),43952.625)</f>
        <v>43952.625</v>
      </c>
      <c r="J11" s="44">
        <f>IFERROR(__xludf.DUMMYFUNCTION("""COMPUTED_VALUE"""),19619.35)</f>
        <v>19619.35</v>
      </c>
      <c r="K11" s="49">
        <f>IFERROR(__xludf.DUMMYFUNCTION("""COMPUTED_VALUE"""),43976.625)</f>
        <v>43976.625</v>
      </c>
      <c r="L11" s="44">
        <f>IFERROR(__xludf.DUMMYFUNCTION("""COMPUTED_VALUE"""),20741.65)</f>
        <v>20741.65</v>
      </c>
    </row>
    <row r="12">
      <c r="A12" s="38">
        <f>IFERROR(__xludf.DUMMYFUNCTION("""COMPUTED_VALUE"""),43976.99861111111)</f>
        <v>43976.99861</v>
      </c>
      <c r="B12" s="40">
        <f>IFERROR(__xludf.DUMMYFUNCTION("""COMPUTED_VALUE"""),0.009286)</f>
        <v>0.009286</v>
      </c>
      <c r="C12" s="20" t="s">
        <v>25</v>
      </c>
      <c r="D12" s="22" t="s">
        <v>26</v>
      </c>
      <c r="E12" s="52" t="s">
        <v>27</v>
      </c>
      <c r="F12" s="24">
        <v>20000.0</v>
      </c>
      <c r="G12" s="24">
        <f>20000/B15</f>
        <v>141250.0203</v>
      </c>
      <c r="H12" s="27">
        <f>round(G12/J13,2)</f>
        <v>49.38</v>
      </c>
      <c r="I12" s="29" t="s">
        <v>28</v>
      </c>
      <c r="J12" s="29" t="s">
        <v>29</v>
      </c>
      <c r="K12" s="29" t="s">
        <v>28</v>
      </c>
      <c r="L12" s="29" t="s">
        <v>29</v>
      </c>
      <c r="M12" s="31">
        <f>round(L13*H12,2)</f>
        <v>139115.31</v>
      </c>
      <c r="N12" s="55">
        <f>O12*B17</f>
        <v>-299.1136867</v>
      </c>
      <c r="O12" s="55">
        <f>M12-G12</f>
        <v>-2134.710305</v>
      </c>
      <c r="P12" s="57">
        <f> round(N12*100/F12,2)</f>
        <v>-1.5</v>
      </c>
    </row>
    <row r="13">
      <c r="A13" s="11" t="s">
        <v>30</v>
      </c>
      <c r="I13" s="59">
        <v>43951.666666666664</v>
      </c>
      <c r="J13" s="44">
        <v>2860.41</v>
      </c>
      <c r="K13" s="49">
        <v>43976.625</v>
      </c>
      <c r="L13" s="60">
        <v>2817.24</v>
      </c>
    </row>
    <row r="14">
      <c r="A14" s="61" t="str">
        <f>IFERROR(__xludf.DUMMYFUNCTION("GOOGLEFINANCE(""currency:CNYUSD"", ""price"",DATE(2020,5,4))"),"Date")</f>
        <v>Date</v>
      </c>
      <c r="B14" s="19" t="str">
        <f>IFERROR(__xludf.DUMMYFUNCTION("""COMPUTED_VALUE"""),"Close")</f>
        <v>Close</v>
      </c>
      <c r="C14" s="20" t="s">
        <v>31</v>
      </c>
      <c r="D14" s="62" t="str">
        <f>IFERROR(__xludf.DUMMYFUNCTION("GOOGLEFINANCE($E14, ""name"")"),"S&amp;P GSCI Crude Oil ER")</f>
        <v>S&amp;P GSCI Crude Oil ER</v>
      </c>
      <c r="E14" s="22" t="s">
        <v>32</v>
      </c>
      <c r="F14" s="24">
        <v>10000.0</v>
      </c>
      <c r="G14" s="24">
        <v>10000.0</v>
      </c>
      <c r="H14" s="27">
        <f>round(G14/J15,2)</f>
        <v>268.82</v>
      </c>
      <c r="I14" s="29" t="s">
        <v>28</v>
      </c>
      <c r="J14" s="29" t="s">
        <v>29</v>
      </c>
      <c r="K14" s="29" t="s">
        <v>28</v>
      </c>
      <c r="L14" s="29" t="s">
        <v>29</v>
      </c>
      <c r="M14" s="31">
        <f>round(L15*H14,2)</f>
        <v>13957.13</v>
      </c>
      <c r="N14" s="33">
        <f>O14</f>
        <v>3957.13</v>
      </c>
      <c r="O14" s="33">
        <f>M14-G14</f>
        <v>3957.13</v>
      </c>
      <c r="P14" s="36">
        <f> round(N14*100/F14,2)</f>
        <v>39.57</v>
      </c>
    </row>
    <row r="15">
      <c r="A15" s="38">
        <f>IFERROR(__xludf.DUMMYFUNCTION("""COMPUTED_VALUE"""),43955.99861111111)</f>
        <v>43955.99861</v>
      </c>
      <c r="B15" s="40">
        <f>IFERROR(__xludf.DUMMYFUNCTION("""COMPUTED_VALUE"""),0.1415929)</f>
        <v>0.1415929</v>
      </c>
      <c r="I15" s="29" t="s">
        <v>33</v>
      </c>
      <c r="J15" s="44">
        <v>37.2</v>
      </c>
      <c r="K15" s="42">
        <v>43973.66666666667</v>
      </c>
      <c r="L15" s="60">
        <v>51.92</v>
      </c>
    </row>
    <row r="16">
      <c r="A16" s="19" t="str">
        <f>IFERROR(__xludf.DUMMYFUNCTION("GOOGLEFINANCE(""currency:CNYUSD"", ""price"",DATE(2020,5,25))"),"Date")</f>
        <v>Date</v>
      </c>
      <c r="B16" s="19" t="str">
        <f>IFERROR(__xludf.DUMMYFUNCTION("""COMPUTED_VALUE"""),"Close")</f>
        <v>Close</v>
      </c>
      <c r="C16" s="20" t="s">
        <v>31</v>
      </c>
      <c r="D16" s="62" t="str">
        <f>IFERROR(__xludf.DUMMYFUNCTION("GOOGLEFINANCE($E16, ""name"")"),"S&amp;P GSCI Gold ER")</f>
        <v>S&amp;P GSCI Gold ER</v>
      </c>
      <c r="E16" s="22" t="s">
        <v>34</v>
      </c>
      <c r="F16" s="24">
        <v>50000.0</v>
      </c>
      <c r="G16" s="24">
        <v>50000.0</v>
      </c>
      <c r="H16" s="27">
        <f>round(G16/J17,2)</f>
        <v>382.18</v>
      </c>
      <c r="I16" s="29" t="s">
        <v>28</v>
      </c>
      <c r="J16" s="29" t="s">
        <v>29</v>
      </c>
      <c r="K16" s="29" t="s">
        <v>28</v>
      </c>
      <c r="L16" s="29" t="s">
        <v>29</v>
      </c>
      <c r="M16" s="31">
        <f>round(L17*H16,2)</f>
        <v>50837.58</v>
      </c>
      <c r="N16" s="33">
        <f>O16</f>
        <v>837.58</v>
      </c>
      <c r="O16" s="33">
        <f>M16-G16</f>
        <v>837.58</v>
      </c>
      <c r="P16" s="36">
        <f> round(N16*100/F16,2)</f>
        <v>1.68</v>
      </c>
    </row>
    <row r="17">
      <c r="A17" s="38">
        <f>IFERROR(__xludf.DUMMYFUNCTION("""COMPUTED_VALUE"""),43976.99861111111)</f>
        <v>43976.99861</v>
      </c>
      <c r="B17" s="40">
        <f>IFERROR(__xludf.DUMMYFUNCTION("""COMPUTED_VALUE"""),0.1401191)</f>
        <v>0.1401191</v>
      </c>
      <c r="I17" s="42">
        <v>43955.666666666664</v>
      </c>
      <c r="J17" s="44">
        <v>130.83</v>
      </c>
      <c r="K17" s="42">
        <v>43973.66666666667</v>
      </c>
      <c r="L17" s="60">
        <v>133.02</v>
      </c>
    </row>
    <row r="18">
      <c r="A18" s="19"/>
      <c r="B18" s="19"/>
      <c r="C18" s="20" t="s">
        <v>35</v>
      </c>
      <c r="D18" s="62" t="str">
        <f>IFERROR(__xludf.DUMMYFUNCTION("GOOGLEFINANCE($E18, ""name"")"),"iShares Barclays 20+ Yr Treas.Bond")</f>
        <v>iShares Barclays 20+ Yr Treas.Bond</v>
      </c>
      <c r="E18" s="22" t="s">
        <v>36</v>
      </c>
      <c r="F18" s="24">
        <v>30000.0</v>
      </c>
      <c r="G18" s="24">
        <v>30000.0</v>
      </c>
      <c r="H18" s="27">
        <f>round(G18/J19,2)</f>
        <v>179.47</v>
      </c>
      <c r="I18" s="29" t="str">
        <f>IFERROR(__xludf.DUMMYFUNCTION("GOOGLEFINANCE($E18,""price"",""5/4/2020"")"),"Date")</f>
        <v>Date</v>
      </c>
      <c r="J18" s="29" t="str">
        <f>IFERROR(__xludf.DUMMYFUNCTION("""COMPUTED_VALUE"""),"Close")</f>
        <v>Close</v>
      </c>
      <c r="K18" s="29" t="str">
        <f>IFERROR(__xludf.DUMMYFUNCTION("GOOGLEFINANCE($E45,""price"",""05/22/2020"")"),"Date")</f>
        <v>Date</v>
      </c>
      <c r="L18" s="29" t="str">
        <f>IFERROR(__xludf.DUMMYFUNCTION("""COMPUTED_VALUE"""),"Close")</f>
        <v>Close</v>
      </c>
      <c r="M18" s="31">
        <f>round(L19*H18,2)</f>
        <v>29711.26</v>
      </c>
      <c r="N18" s="55">
        <f>O18</f>
        <v>-288.74</v>
      </c>
      <c r="O18" s="55">
        <f>M18-G18</f>
        <v>-288.74</v>
      </c>
      <c r="P18" s="57">
        <f> round(N18*100/F18,2)</f>
        <v>-0.96</v>
      </c>
    </row>
    <row r="19">
      <c r="A19" s="19"/>
      <c r="B19" s="19"/>
      <c r="I19" s="42">
        <f>IFERROR(__xludf.DUMMYFUNCTION("""COMPUTED_VALUE"""),43955.66666666667)</f>
        <v>43955.66667</v>
      </c>
      <c r="J19" s="44">
        <f>IFERROR(__xludf.DUMMYFUNCTION("""COMPUTED_VALUE"""),167.16)</f>
        <v>167.16</v>
      </c>
      <c r="K19" s="42">
        <f>IFERROR(__xludf.DUMMYFUNCTION("""COMPUTED_VALUE"""),43973.66666666667)</f>
        <v>43973.66667</v>
      </c>
      <c r="L19" s="44">
        <f>IFERROR(__xludf.DUMMYFUNCTION("""COMPUTED_VALUE"""),165.55)</f>
        <v>165.55</v>
      </c>
    </row>
    <row r="20">
      <c r="A20" s="19"/>
      <c r="B20" s="19"/>
      <c r="C20" s="20" t="s">
        <v>35</v>
      </c>
      <c r="D20" s="62" t="str">
        <f>IFERROR(__xludf.DUMMYFUNCTION("GOOGLEFINANCE($E20, ""name"")"),"iShares iBoxx $ High Yid Corp Bond")</f>
        <v>iShares iBoxx $ High Yid Corp Bond</v>
      </c>
      <c r="E20" s="22" t="s">
        <v>37</v>
      </c>
      <c r="F20" s="24">
        <v>20000.0</v>
      </c>
      <c r="G20" s="24">
        <v>20000.0</v>
      </c>
      <c r="H20" s="27">
        <f>round(G20/J21,2)</f>
        <v>254.55</v>
      </c>
      <c r="I20" s="29" t="str">
        <f>IFERROR(__xludf.DUMMYFUNCTION("GOOGLEFINANCE($E20,""price"",""5/4/2020"")"),"Date")</f>
        <v>Date</v>
      </c>
      <c r="J20" s="29" t="str">
        <f>IFERROR(__xludf.DUMMYFUNCTION("""COMPUTED_VALUE"""),"Close")</f>
        <v>Close</v>
      </c>
      <c r="K20" s="29" t="str">
        <f>IFERROR(__xludf.DUMMYFUNCTION("GOOGLEFINANCE($E47,""price"",""05/22/2020"")"),"Date")</f>
        <v>Date</v>
      </c>
      <c r="L20" s="29" t="str">
        <f>IFERROR(__xludf.DUMMYFUNCTION("""COMPUTED_VALUE"""),"Close")</f>
        <v>Close</v>
      </c>
      <c r="M20" s="31">
        <f>round(L21*H20,2)</f>
        <v>20677.1</v>
      </c>
      <c r="N20" s="33">
        <f>O20</f>
        <v>677.1</v>
      </c>
      <c r="O20" s="33">
        <f>M20-G20</f>
        <v>677.1</v>
      </c>
      <c r="P20" s="72">
        <f> round(N20*100/F20,2)</f>
        <v>3.39</v>
      </c>
    </row>
    <row r="21">
      <c r="A21" s="19"/>
      <c r="B21" s="19"/>
      <c r="I21" s="42">
        <f>IFERROR(__xludf.DUMMYFUNCTION("""COMPUTED_VALUE"""),43955.66666666667)</f>
        <v>43955.66667</v>
      </c>
      <c r="J21" s="44">
        <f>IFERROR(__xludf.DUMMYFUNCTION("""COMPUTED_VALUE"""),78.57)</f>
        <v>78.57</v>
      </c>
      <c r="K21" s="42">
        <f>IFERROR(__xludf.DUMMYFUNCTION("""COMPUTED_VALUE"""),43973.66666666667)</f>
        <v>43973.66667</v>
      </c>
      <c r="L21" s="44">
        <f>IFERROR(__xludf.DUMMYFUNCTION("""COMPUTED_VALUE"""),81.23)</f>
        <v>81.23</v>
      </c>
    </row>
    <row r="22">
      <c r="A22" s="19"/>
      <c r="B22" s="19"/>
      <c r="C22" s="20" t="s">
        <v>38</v>
      </c>
      <c r="D22" s="75" t="s">
        <v>38</v>
      </c>
      <c r="E22" s="22" t="s">
        <v>39</v>
      </c>
      <c r="F22" s="24">
        <v>700000.0</v>
      </c>
      <c r="G22" s="24">
        <v>700000.0</v>
      </c>
      <c r="H22" s="77" t="s">
        <v>39</v>
      </c>
      <c r="I22" s="29" t="s">
        <v>39</v>
      </c>
      <c r="K22" s="29" t="s">
        <v>39</v>
      </c>
      <c r="M22" s="31">
        <f>round(G22*(1+ 7/36500),2)</f>
        <v>700134.25</v>
      </c>
      <c r="N22" s="36">
        <v>134.0</v>
      </c>
      <c r="O22" s="33">
        <f>M22-G22</f>
        <v>134.25</v>
      </c>
      <c r="P22" s="72">
        <f> round(N22*100/F22,2)</f>
        <v>0.02</v>
      </c>
    </row>
    <row r="23">
      <c r="A23" s="19"/>
      <c r="B23" s="19"/>
    </row>
    <row r="24">
      <c r="A24" s="19"/>
      <c r="B24" s="19"/>
      <c r="C24" s="79" t="s">
        <v>40</v>
      </c>
      <c r="D24" s="80"/>
      <c r="E24" s="80"/>
      <c r="F24" s="81">
        <f>SUM(F4:F23)</f>
        <v>1000000</v>
      </c>
      <c r="G24" s="80"/>
      <c r="H24" s="80"/>
      <c r="I24" s="80"/>
      <c r="J24" s="80"/>
      <c r="K24" s="80"/>
      <c r="L24" s="80"/>
      <c r="M24" s="80"/>
      <c r="N24" s="83">
        <f>SUM(N4:N23)</f>
        <v>15824.22688</v>
      </c>
      <c r="O24" s="84"/>
      <c r="P24" s="84"/>
    </row>
    <row r="25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</row>
    <row r="26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</row>
    <row r="27">
      <c r="A27" s="85"/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</row>
    <row r="28">
      <c r="A28" s="2"/>
      <c r="B28" s="2"/>
      <c r="C28" s="2"/>
      <c r="D28" s="2"/>
      <c r="E28" s="2"/>
      <c r="F28" s="4" t="s">
        <v>41</v>
      </c>
      <c r="I28" s="2"/>
      <c r="J28" s="2"/>
      <c r="K28" s="2"/>
      <c r="L28" s="2"/>
      <c r="M28" s="2"/>
      <c r="N28" s="2"/>
      <c r="O28" s="2"/>
      <c r="P28" s="2"/>
    </row>
    <row r="29">
      <c r="A29" s="6" t="s">
        <v>1</v>
      </c>
      <c r="C29" s="7"/>
      <c r="D29" s="7"/>
      <c r="E29" s="7"/>
      <c r="F29" s="9" t="s">
        <v>42</v>
      </c>
      <c r="H29" s="7"/>
      <c r="I29" s="7"/>
      <c r="J29" s="7"/>
      <c r="K29" s="7"/>
      <c r="L29" s="7"/>
      <c r="M29" s="7"/>
      <c r="N29" s="9" t="s">
        <v>3</v>
      </c>
      <c r="P29" s="7"/>
    </row>
    <row r="30">
      <c r="A30" s="11" t="s">
        <v>4</v>
      </c>
      <c r="C30" s="13" t="s">
        <v>5</v>
      </c>
      <c r="D30" s="13" t="s">
        <v>6</v>
      </c>
      <c r="E30" s="13" t="s">
        <v>7</v>
      </c>
      <c r="F30" s="13" t="s">
        <v>8</v>
      </c>
      <c r="G30" s="13" t="s">
        <v>9</v>
      </c>
      <c r="H30" s="13" t="s">
        <v>10</v>
      </c>
      <c r="I30" s="15" t="s">
        <v>11</v>
      </c>
      <c r="K30" s="15" t="s">
        <v>12</v>
      </c>
      <c r="M30" s="13" t="s">
        <v>13</v>
      </c>
      <c r="N30" s="15" t="s">
        <v>14</v>
      </c>
      <c r="O30" s="13" t="s">
        <v>15</v>
      </c>
      <c r="P30" s="13" t="s">
        <v>16</v>
      </c>
    </row>
    <row r="31">
      <c r="A31" s="19" t="str">
        <f>IFERROR(__xludf.DUMMYFUNCTION("GOOGLEFINANCE(""currency:EURUSD"", ""price"",DATE(2020,5,4))"),"Date")</f>
        <v>Date</v>
      </c>
      <c r="B31" s="19" t="str">
        <f>IFERROR(__xludf.DUMMYFUNCTION("""COMPUTED_VALUE"""),"Close")</f>
        <v>Close</v>
      </c>
      <c r="C31" s="20" t="s">
        <v>17</v>
      </c>
      <c r="D31" s="22" t="str">
        <f>IFERROR(__xludf.DUMMYFUNCTION("GOOGLEFINANCE($E31, ""name"")"),"S&amp;P 500 Index")</f>
        <v>S&amp;P 500 Index</v>
      </c>
      <c r="E31" s="22" t="s">
        <v>18</v>
      </c>
      <c r="F31" s="24">
        <v>30000.0</v>
      </c>
      <c r="G31" s="24">
        <f>F31</f>
        <v>30000</v>
      </c>
      <c r="H31" s="27">
        <f>round((G31)/J32,2)</f>
        <v>10.24</v>
      </c>
      <c r="I31" s="28" t="str">
        <f>IFERROR(__xludf.DUMMYFUNCTION("GOOGLEFINANCE($E31,""price"",""5/11/2020"")"),"Date")</f>
        <v>Date</v>
      </c>
      <c r="J31" s="29" t="str">
        <f>IFERROR(__xludf.DUMMYFUNCTION("""COMPUTED_VALUE"""),"Close")</f>
        <v>Close</v>
      </c>
      <c r="K31" s="29" t="str">
        <f>IFERROR(__xludf.DUMMYFUNCTION("GOOGLEFINANCE($E31,""price"",""05/22/2020"")"),"Date")</f>
        <v>Date</v>
      </c>
      <c r="L31" s="29" t="str">
        <f>IFERROR(__xludf.DUMMYFUNCTION("""COMPUTED_VALUE"""),"Close")</f>
        <v>Close</v>
      </c>
      <c r="M31" s="31">
        <f>round(L32*H31,2)</f>
        <v>30263.81</v>
      </c>
      <c r="N31" s="33">
        <f>M31-G31</f>
        <v>263.81</v>
      </c>
      <c r="O31" s="33">
        <f>M31-G31</f>
        <v>263.81</v>
      </c>
      <c r="P31" s="36">
        <f> round(N31*100/F31,2)</f>
        <v>0.88</v>
      </c>
    </row>
    <row r="32">
      <c r="A32" s="38">
        <f>IFERROR(__xludf.DUMMYFUNCTION("""COMPUTED_VALUE"""),43955.99861111111)</f>
        <v>43955.99861</v>
      </c>
      <c r="B32" s="40">
        <f>IFERROR(__xludf.DUMMYFUNCTION("""COMPUTED_VALUE"""),1.09041)</f>
        <v>1.09041</v>
      </c>
      <c r="I32" s="42">
        <f>IFERROR(__xludf.DUMMYFUNCTION("""COMPUTED_VALUE"""),43962.66666666667)</f>
        <v>43962.66667</v>
      </c>
      <c r="J32" s="44">
        <f>IFERROR(__xludf.DUMMYFUNCTION("""COMPUTED_VALUE"""),2930.32)</f>
        <v>2930.32</v>
      </c>
      <c r="K32" s="42">
        <f>IFERROR(__xludf.DUMMYFUNCTION("""COMPUTED_VALUE"""),43973.66666666667)</f>
        <v>43973.66667</v>
      </c>
      <c r="L32" s="44">
        <f>IFERROR(__xludf.DUMMYFUNCTION("""COMPUTED_VALUE"""),2955.45)</f>
        <v>2955.45</v>
      </c>
    </row>
    <row r="33">
      <c r="A33" s="19" t="str">
        <f>IFERROR(__xludf.DUMMYFUNCTION("GOOGLEFINANCE(""currency:EURUSD"", ""price"",DATE(2020,5,25))"),"Date")</f>
        <v>Date</v>
      </c>
      <c r="B33" s="19" t="str">
        <f>IFERROR(__xludf.DUMMYFUNCTION("""COMPUTED_VALUE"""),"Close")</f>
        <v>Close</v>
      </c>
      <c r="C33" s="20" t="s">
        <v>17</v>
      </c>
      <c r="D33" s="22" t="str">
        <f>IFERROR(__xludf.DUMMYFUNCTION("GOOGLEFINANCE($E33, ""name"")"),"NASDAQ-100")</f>
        <v>NASDAQ-100</v>
      </c>
      <c r="E33" s="22" t="s">
        <v>19</v>
      </c>
      <c r="F33" s="24">
        <v>50000.0</v>
      </c>
      <c r="G33" s="24">
        <f>F33</f>
        <v>50000</v>
      </c>
      <c r="H33" s="27">
        <f>round((G33)/J34,2)</f>
        <v>5.38</v>
      </c>
      <c r="I33" s="29" t="str">
        <f>IFERROR(__xludf.DUMMYFUNCTION("GOOGLEFINANCE($E33,""price"",""5/11/2020"")"),"Date")</f>
        <v>Date</v>
      </c>
      <c r="J33" s="29" t="str">
        <f>IFERROR(__xludf.DUMMYFUNCTION("""COMPUTED_VALUE"""),"Close")</f>
        <v>Close</v>
      </c>
      <c r="K33" s="29" t="str">
        <f>IFERROR(__xludf.DUMMYFUNCTION("GOOGLEFINANCE($E33,""price"",""05/22/2020"")"),"Date")</f>
        <v>Date</v>
      </c>
      <c r="L33" s="29" t="str">
        <f>IFERROR(__xludf.DUMMYFUNCTION("""COMPUTED_VALUE"""),"Close")</f>
        <v>Close</v>
      </c>
      <c r="M33" s="31">
        <f>round(L34*H33,2)</f>
        <v>50647.27</v>
      </c>
      <c r="N33" s="33">
        <f>M33-G33</f>
        <v>647.27</v>
      </c>
      <c r="O33" s="33">
        <f>M33-G33</f>
        <v>647.27</v>
      </c>
      <c r="P33" s="36">
        <f> round(N33*100/F33,2)</f>
        <v>1.29</v>
      </c>
    </row>
    <row r="34">
      <c r="A34" s="38">
        <f>IFERROR(__xludf.DUMMYFUNCTION("""COMPUTED_VALUE"""),43976.99861111111)</f>
        <v>43976.99861</v>
      </c>
      <c r="B34" s="40">
        <f>IFERROR(__xludf.DUMMYFUNCTION("""COMPUTED_VALUE"""),1.09007)</f>
        <v>1.09007</v>
      </c>
      <c r="I34" s="42">
        <f>IFERROR(__xludf.DUMMYFUNCTION("""COMPUTED_VALUE"""),43962.66666666667)</f>
        <v>43962.66667</v>
      </c>
      <c r="J34" s="44">
        <f>IFERROR(__xludf.DUMMYFUNCTION("""COMPUTED_VALUE"""),9298.92)</f>
        <v>9298.92</v>
      </c>
      <c r="K34" s="42">
        <f>IFERROR(__xludf.DUMMYFUNCTION("""COMPUTED_VALUE"""),43973.66666666667)</f>
        <v>43973.66667</v>
      </c>
      <c r="L34" s="44">
        <f>IFERROR(__xludf.DUMMYFUNCTION("""COMPUTED_VALUE"""),9413.99)</f>
        <v>9413.99</v>
      </c>
    </row>
    <row r="35">
      <c r="A35" s="11" t="s">
        <v>20</v>
      </c>
      <c r="C35" s="20" t="s">
        <v>21</v>
      </c>
      <c r="D35" s="22" t="str">
        <f>IFERROR(__xludf.DUMMYFUNCTION("GOOGLEFINANCE(""indexdb:DAX"", ""name"")"),"DAX PERFORMANCE-INDEX")</f>
        <v>DAX PERFORMANCE-INDEX</v>
      </c>
      <c r="E35" s="22" t="s">
        <v>22</v>
      </c>
      <c r="F35" s="24">
        <v>30000.0</v>
      </c>
      <c r="G35" s="24">
        <f>F35/B32</f>
        <v>27512.58701</v>
      </c>
      <c r="H35" s="27">
        <f>round((G35)/J36,2)</f>
        <v>2.54</v>
      </c>
      <c r="I35" s="28" t="str">
        <f>IFERROR(__xludf.DUMMYFUNCTION("GOOGLEFINANCE(""indexdb:DAX"",""price"",""5/11/2020"")"),"Date")</f>
        <v>Date</v>
      </c>
      <c r="J35" s="29" t="str">
        <f>IFERROR(__xludf.DUMMYFUNCTION("""COMPUTED_VALUE"""),"Close")</f>
        <v>Close</v>
      </c>
      <c r="K35" s="29" t="str">
        <f>IFERROR(__xludf.DUMMYFUNCTION("GOOGLEFINANCE(""indexdb:DAX"", ""price"",""05/25/2020"")"),"Date")</f>
        <v>Date</v>
      </c>
      <c r="L35" s="29" t="str">
        <f>IFERROR(__xludf.DUMMYFUNCTION("""COMPUTED_VALUE"""),"Close")</f>
        <v>Close</v>
      </c>
      <c r="M35" s="31">
        <f>round(L36*H35,2)</f>
        <v>28933.85</v>
      </c>
      <c r="N35" s="33">
        <f>O35*B34</f>
        <v>1549.276149</v>
      </c>
      <c r="O35" s="33">
        <f>M35-G35</f>
        <v>1421.262991</v>
      </c>
      <c r="P35" s="36">
        <f> round(N35*100/F35,2)</f>
        <v>5.16</v>
      </c>
    </row>
    <row r="36">
      <c r="A36" s="19" t="str">
        <f>IFERROR(__xludf.DUMMYFUNCTION("GOOGLEFINANCE(""currency:JPYUSD"", ""price"",DATE(2020,5,4))"),"Date")</f>
        <v>Date</v>
      </c>
      <c r="B36" s="19" t="str">
        <f>IFERROR(__xludf.DUMMYFUNCTION("""COMPUTED_VALUE"""),"Close")</f>
        <v>Close</v>
      </c>
      <c r="I36" s="42">
        <f>IFERROR(__xludf.DUMMYFUNCTION("""COMPUTED_VALUE"""),43962.83333333333)</f>
        <v>43962.83333</v>
      </c>
      <c r="J36" s="44">
        <f>IFERROR(__xludf.DUMMYFUNCTION("""COMPUTED_VALUE"""),10824.99)</f>
        <v>10824.99</v>
      </c>
      <c r="K36" s="49">
        <f>IFERROR(__xludf.DUMMYFUNCTION("""COMPUTED_VALUE"""),43976.83333333333)</f>
        <v>43976.83333</v>
      </c>
      <c r="L36" s="44">
        <f>IFERROR(__xludf.DUMMYFUNCTION("""COMPUTED_VALUE"""),11391.28)</f>
        <v>11391.28</v>
      </c>
    </row>
    <row r="37">
      <c r="A37" s="38">
        <f>IFERROR(__xludf.DUMMYFUNCTION("""COMPUTED_VALUE"""),43955.99861111111)</f>
        <v>43955.99861</v>
      </c>
      <c r="B37" s="40">
        <f>IFERROR(__xludf.DUMMYFUNCTION("""COMPUTED_VALUE"""),0.009372)</f>
        <v>0.009372</v>
      </c>
      <c r="C37" s="20" t="s">
        <v>23</v>
      </c>
      <c r="D37" s="22" t="str">
        <f>IFERROR(__xludf.DUMMYFUNCTION("GOOGLEFINANCE($E37, ""name"")"),"Nikkei 225")</f>
        <v>Nikkei 225</v>
      </c>
      <c r="E37" s="22" t="s">
        <v>24</v>
      </c>
      <c r="F37" s="24">
        <v>40000.0</v>
      </c>
      <c r="G37" s="24">
        <f>60000/B37</f>
        <v>6402048.656</v>
      </c>
      <c r="H37" s="27">
        <f>round((G37)/J38,2)</f>
        <v>313.97</v>
      </c>
      <c r="I37" s="29" t="str">
        <f>IFERROR(__xludf.DUMMYFUNCTION("GOOGLEFINANCE($E37,""price"",""5/10/2020"")"),"Date")</f>
        <v>Date</v>
      </c>
      <c r="J37" s="29" t="str">
        <f>IFERROR(__xludf.DUMMYFUNCTION("""COMPUTED_VALUE"""),"Close")</f>
        <v>Close</v>
      </c>
      <c r="K37" s="29" t="str">
        <f>IFERROR(__xludf.DUMMYFUNCTION("GOOGLEFINANCE($E37,""price"",""05/24/2020"")"),"Date")</f>
        <v>Date</v>
      </c>
      <c r="L37" s="29" t="str">
        <f>IFERROR(__xludf.DUMMYFUNCTION("""COMPUTED_VALUE"""),"Close")</f>
        <v>Close</v>
      </c>
      <c r="M37" s="31">
        <f>round(L38*H37,2)</f>
        <v>6512255.85</v>
      </c>
      <c r="N37" s="39">
        <f>O37*B39</f>
        <v>1023.384007</v>
      </c>
      <c r="O37" s="39">
        <f>M37-G37</f>
        <v>110207.1944</v>
      </c>
      <c r="P37" s="43">
        <f> round(N37*100/F37,2)</f>
        <v>2.56</v>
      </c>
    </row>
    <row r="38">
      <c r="A38" s="19" t="str">
        <f>IFERROR(__xludf.DUMMYFUNCTION("GOOGLEFINANCE(""currency:JPYUSD"", ""price"",DATE(2020,5,25))"),"Date")</f>
        <v>Date</v>
      </c>
      <c r="B38" s="19" t="str">
        <f>IFERROR(__xludf.DUMMYFUNCTION("""COMPUTED_VALUE"""),"Close")</f>
        <v>Close</v>
      </c>
      <c r="I38" s="42">
        <f>IFERROR(__xludf.DUMMYFUNCTION("""COMPUTED_VALUE"""),43962.625)</f>
        <v>43962.625</v>
      </c>
      <c r="J38" s="44">
        <f>IFERROR(__xludf.DUMMYFUNCTION("""COMPUTED_VALUE"""),20390.66)</f>
        <v>20390.66</v>
      </c>
      <c r="K38" s="49">
        <f>IFERROR(__xludf.DUMMYFUNCTION("""COMPUTED_VALUE"""),43976.625)</f>
        <v>43976.625</v>
      </c>
      <c r="L38" s="44">
        <f>IFERROR(__xludf.DUMMYFUNCTION("""COMPUTED_VALUE"""),20741.65)</f>
        <v>20741.65</v>
      </c>
    </row>
    <row r="39">
      <c r="A39" s="38">
        <f>IFERROR(__xludf.DUMMYFUNCTION("""COMPUTED_VALUE"""),43976.99861111111)</f>
        <v>43976.99861</v>
      </c>
      <c r="B39" s="40">
        <f>IFERROR(__xludf.DUMMYFUNCTION("""COMPUTED_VALUE"""),0.009286)</f>
        <v>0.009286</v>
      </c>
      <c r="C39" s="20" t="s">
        <v>25</v>
      </c>
      <c r="D39" s="22" t="s">
        <v>26</v>
      </c>
      <c r="E39" s="52" t="s">
        <v>27</v>
      </c>
      <c r="F39" s="24">
        <v>30000.0</v>
      </c>
      <c r="G39" s="24">
        <f>50000/B42</f>
        <v>353125.0508</v>
      </c>
      <c r="H39" s="27">
        <f>round((G39)/J40,2)</f>
        <v>121.96</v>
      </c>
      <c r="I39" s="29" t="s">
        <v>28</v>
      </c>
      <c r="J39" s="29" t="s">
        <v>29</v>
      </c>
      <c r="K39" s="29" t="s">
        <v>28</v>
      </c>
      <c r="L39" s="29" t="s">
        <v>29</v>
      </c>
      <c r="M39" s="31">
        <f>round(L40*H39,2)</f>
        <v>343590.59</v>
      </c>
      <c r="N39" s="55">
        <f>O39*B44</f>
        <v>-1335.960061</v>
      </c>
      <c r="O39" s="55">
        <f>M39-G39</f>
        <v>-9534.460762</v>
      </c>
      <c r="P39" s="57">
        <f> round(N39*100/F39,2)</f>
        <v>-4.45</v>
      </c>
    </row>
    <row r="40">
      <c r="A40" s="11" t="s">
        <v>30</v>
      </c>
      <c r="I40" s="59">
        <v>43951.666666666664</v>
      </c>
      <c r="J40" s="44">
        <v>2895.51</v>
      </c>
      <c r="K40" s="49">
        <v>43976.625</v>
      </c>
      <c r="L40" s="60">
        <v>2817.24</v>
      </c>
    </row>
    <row r="41">
      <c r="A41" s="61" t="str">
        <f>IFERROR(__xludf.DUMMYFUNCTION("GOOGLEFINANCE(""currency:CNYUSD"", ""price"",DATE(2020,5,4))"),"Date")</f>
        <v>Date</v>
      </c>
      <c r="B41" s="19" t="str">
        <f>IFERROR(__xludf.DUMMYFUNCTION("""COMPUTED_VALUE"""),"Close")</f>
        <v>Close</v>
      </c>
      <c r="C41" s="20" t="s">
        <v>31</v>
      </c>
      <c r="D41" s="62" t="str">
        <f>IFERROR(__xludf.DUMMYFUNCTION("GOOGLEFINANCE($E41, ""name"")"),"S&amp;P GSCI Crude Oil ER")</f>
        <v>S&amp;P GSCI Crude Oil ER</v>
      </c>
      <c r="E41" s="22" t="s">
        <v>32</v>
      </c>
      <c r="F41" s="24">
        <v>20000.0</v>
      </c>
      <c r="G41" s="24">
        <f>F41</f>
        <v>20000</v>
      </c>
      <c r="H41" s="27">
        <f>round((G41)/J42,2)</f>
        <v>488.76</v>
      </c>
      <c r="I41" s="29" t="s">
        <v>28</v>
      </c>
      <c r="J41" s="29" t="s">
        <v>29</v>
      </c>
      <c r="K41" s="29" t="s">
        <v>28</v>
      </c>
      <c r="L41" s="29" t="s">
        <v>29</v>
      </c>
      <c r="M41" s="31">
        <f>round(L42*H41,2)</f>
        <v>25376.42</v>
      </c>
      <c r="N41" s="33">
        <f>O41</f>
        <v>5376.42</v>
      </c>
      <c r="O41" s="33">
        <f>M41-G41</f>
        <v>5376.42</v>
      </c>
      <c r="P41" s="36">
        <f> round(N41*100/F41,2)</f>
        <v>26.88</v>
      </c>
    </row>
    <row r="42">
      <c r="A42" s="38">
        <f>IFERROR(__xludf.DUMMYFUNCTION("""COMPUTED_VALUE"""),43955.99861111111)</f>
        <v>43955.99861</v>
      </c>
      <c r="B42" s="40">
        <f>IFERROR(__xludf.DUMMYFUNCTION("""COMPUTED_VALUE"""),0.1415929)</f>
        <v>0.1415929</v>
      </c>
      <c r="I42" s="49">
        <v>43962.666666666664</v>
      </c>
      <c r="J42" s="44">
        <v>40.92</v>
      </c>
      <c r="K42" s="42">
        <v>43973.66666666667</v>
      </c>
      <c r="L42" s="60">
        <v>51.92</v>
      </c>
    </row>
    <row r="43">
      <c r="A43" s="19" t="str">
        <f>IFERROR(__xludf.DUMMYFUNCTION("GOOGLEFINANCE(""currency:CNYUSD"", ""price"",DATE(2020,5,25))"),"Date")</f>
        <v>Date</v>
      </c>
      <c r="B43" s="19" t="str">
        <f>IFERROR(__xludf.DUMMYFUNCTION("""COMPUTED_VALUE"""),"Close")</f>
        <v>Close</v>
      </c>
      <c r="C43" s="20" t="s">
        <v>31</v>
      </c>
      <c r="D43" s="62" t="str">
        <f>IFERROR(__xludf.DUMMYFUNCTION("GOOGLEFINANCE($E43, ""name"")"),"S&amp;P GSCI Gold ER")</f>
        <v>S&amp;P GSCI Gold ER</v>
      </c>
      <c r="E43" s="22" t="s">
        <v>34</v>
      </c>
      <c r="F43" s="24">
        <v>0.0</v>
      </c>
      <c r="G43" s="24">
        <f>F43</f>
        <v>0</v>
      </c>
      <c r="H43" s="27">
        <f>round((G43)/J44,2)</f>
        <v>0</v>
      </c>
      <c r="I43" s="29" t="s">
        <v>28</v>
      </c>
      <c r="J43" s="29" t="s">
        <v>29</v>
      </c>
      <c r="K43" s="29" t="s">
        <v>28</v>
      </c>
      <c r="L43" s="29" t="s">
        <v>29</v>
      </c>
      <c r="M43" s="31">
        <f>round(L44*H43,2)</f>
        <v>0</v>
      </c>
      <c r="N43" s="33">
        <f>O43</f>
        <v>0</v>
      </c>
      <c r="O43" s="33">
        <f>M43-G43</f>
        <v>0</v>
      </c>
      <c r="P43" s="36">
        <v>0.0</v>
      </c>
    </row>
    <row r="44">
      <c r="A44" s="38">
        <f>IFERROR(__xludf.DUMMYFUNCTION("""COMPUTED_VALUE"""),43976.99861111111)</f>
        <v>43976.99861</v>
      </c>
      <c r="B44" s="40">
        <f>IFERROR(__xludf.DUMMYFUNCTION("""COMPUTED_VALUE"""),0.1401191)</f>
        <v>0.1401191</v>
      </c>
      <c r="I44" s="42">
        <v>43955.666666666664</v>
      </c>
      <c r="J44" s="44">
        <v>130.83</v>
      </c>
      <c r="K44" s="42">
        <v>43973.66666666667</v>
      </c>
      <c r="L44" s="60">
        <v>133.02</v>
      </c>
    </row>
    <row r="45">
      <c r="A45" s="19"/>
      <c r="B45" s="19"/>
      <c r="C45" s="20" t="s">
        <v>35</v>
      </c>
      <c r="D45" s="62" t="str">
        <f>IFERROR(__xludf.DUMMYFUNCTION("GOOGLEFINANCE($E45, ""name"")"),"iShares Barclays 20+ Yr Treas.Bond")</f>
        <v>iShares Barclays 20+ Yr Treas.Bond</v>
      </c>
      <c r="E45" s="22" t="s">
        <v>36</v>
      </c>
      <c r="F45" s="24">
        <v>0.0</v>
      </c>
      <c r="G45" s="24">
        <f>F45</f>
        <v>0</v>
      </c>
      <c r="H45" s="27">
        <f>round((G45)/J46,2)</f>
        <v>0</v>
      </c>
      <c r="I45" s="29" t="str">
        <f>IFERROR(__xludf.DUMMYFUNCTION("GOOGLEFINANCE($E45,""price"",""5/4/2020"")"),"Date")</f>
        <v>Date</v>
      </c>
      <c r="J45" s="29" t="str">
        <f>IFERROR(__xludf.DUMMYFUNCTION("""COMPUTED_VALUE"""),"Close")</f>
        <v>Close</v>
      </c>
      <c r="K45" s="29" t="str">
        <f>IFERROR(__xludf.DUMMYFUNCTION("GOOGLEFINANCE($E72,""price"",""05/22/2020"")"),"Date")</f>
        <v>Date</v>
      </c>
      <c r="L45" s="29" t="str">
        <f>IFERROR(__xludf.DUMMYFUNCTION("""COMPUTED_VALUE"""),"Close")</f>
        <v>Close</v>
      </c>
      <c r="M45" s="31">
        <f>round(L46*H45,2)</f>
        <v>0</v>
      </c>
      <c r="N45" s="33">
        <f>O45</f>
        <v>0</v>
      </c>
      <c r="O45" s="33">
        <f>M45-G45</f>
        <v>0</v>
      </c>
      <c r="P45" s="36">
        <v>0.0</v>
      </c>
    </row>
    <row r="46">
      <c r="A46" s="19"/>
      <c r="B46" s="19"/>
      <c r="I46" s="42">
        <f>IFERROR(__xludf.DUMMYFUNCTION("""COMPUTED_VALUE"""),43955.66666666667)</f>
        <v>43955.66667</v>
      </c>
      <c r="J46" s="44">
        <f>IFERROR(__xludf.DUMMYFUNCTION("""COMPUTED_VALUE"""),167.16)</f>
        <v>167.16</v>
      </c>
      <c r="K46" s="42">
        <f>IFERROR(__xludf.DUMMYFUNCTION("""COMPUTED_VALUE"""),43973.66666666667)</f>
        <v>43973.66667</v>
      </c>
      <c r="L46" s="44">
        <f>IFERROR(__xludf.DUMMYFUNCTION("""COMPUTED_VALUE"""),165.55)</f>
        <v>165.55</v>
      </c>
    </row>
    <row r="47">
      <c r="A47" s="19"/>
      <c r="B47" s="19"/>
      <c r="C47" s="20" t="s">
        <v>35</v>
      </c>
      <c r="D47" s="62" t="str">
        <f>IFERROR(__xludf.DUMMYFUNCTION("GOOGLEFINANCE($E47, ""name"")"),"iShares iBoxx $ High Yid Corp Bond")</f>
        <v>iShares iBoxx $ High Yid Corp Bond</v>
      </c>
      <c r="E47" s="22" t="s">
        <v>37</v>
      </c>
      <c r="F47" s="24">
        <v>10000.0</v>
      </c>
      <c r="G47" s="24">
        <f>F47</f>
        <v>10000</v>
      </c>
      <c r="H47" s="27">
        <f>round((G47)/J48,2)</f>
        <v>125.96</v>
      </c>
      <c r="I47" s="29" t="str">
        <f>IFERROR(__xludf.DUMMYFUNCTION("GOOGLEFINANCE($E47,""price"",""5/11/2020"")"),"Date")</f>
        <v>Date</v>
      </c>
      <c r="J47" s="29" t="str">
        <f>IFERROR(__xludf.DUMMYFUNCTION("""COMPUTED_VALUE"""),"Close")</f>
        <v>Close</v>
      </c>
      <c r="K47" s="29" t="str">
        <f>IFERROR(__xludf.DUMMYFUNCTION("GOOGLEFINANCE($E74,""price"",""05/22/2020"")"),"Date")</f>
        <v>Date</v>
      </c>
      <c r="L47" s="29" t="str">
        <f>IFERROR(__xludf.DUMMYFUNCTION("""COMPUTED_VALUE"""),"Close")</f>
        <v>Close</v>
      </c>
      <c r="M47" s="31">
        <f>round(L48*H47,2)</f>
        <v>10231.73</v>
      </c>
      <c r="N47" s="33">
        <f>O47</f>
        <v>231.73</v>
      </c>
      <c r="O47" s="33">
        <f>M47-G47</f>
        <v>231.73</v>
      </c>
      <c r="P47" s="72">
        <f> round(N47*100/F47,2)</f>
        <v>2.32</v>
      </c>
    </row>
    <row r="48">
      <c r="A48" s="19"/>
      <c r="B48" s="19"/>
      <c r="I48" s="42">
        <f>IFERROR(__xludf.DUMMYFUNCTION("""COMPUTED_VALUE"""),43962.66666666667)</f>
        <v>43962.66667</v>
      </c>
      <c r="J48" s="44">
        <f>IFERROR(__xludf.DUMMYFUNCTION("""COMPUTED_VALUE"""),79.39)</f>
        <v>79.39</v>
      </c>
      <c r="K48" s="42">
        <f>IFERROR(__xludf.DUMMYFUNCTION("""COMPUTED_VALUE"""),43973.66666666667)</f>
        <v>43973.66667</v>
      </c>
      <c r="L48" s="44">
        <f>IFERROR(__xludf.DUMMYFUNCTION("""COMPUTED_VALUE"""),81.23)</f>
        <v>81.23</v>
      </c>
    </row>
    <row r="49">
      <c r="A49" s="19"/>
      <c r="B49" s="19"/>
      <c r="C49" s="20" t="s">
        <v>38</v>
      </c>
      <c r="D49" s="75" t="s">
        <v>38</v>
      </c>
      <c r="E49" s="22" t="s">
        <v>39</v>
      </c>
      <c r="F49" s="24">
        <v>497008.0</v>
      </c>
      <c r="G49" s="24">
        <f>F49</f>
        <v>497008</v>
      </c>
      <c r="H49" s="77" t="s">
        <v>39</v>
      </c>
      <c r="I49" s="29" t="s">
        <v>39</v>
      </c>
      <c r="K49" s="29" t="s">
        <v>39</v>
      </c>
      <c r="M49" s="31">
        <f>round(G49*(1+ 7/36500),2)</f>
        <v>497103.32</v>
      </c>
      <c r="N49" s="33">
        <f>O49</f>
        <v>95.32</v>
      </c>
      <c r="O49" s="33">
        <f>M49-G49</f>
        <v>95.32</v>
      </c>
      <c r="P49" s="72">
        <f> round(N49*100/F49,2)</f>
        <v>0.02</v>
      </c>
    </row>
    <row r="50">
      <c r="A50" s="19"/>
      <c r="B50" s="19"/>
    </row>
    <row r="51">
      <c r="A51" s="19"/>
      <c r="B51" s="19"/>
      <c r="C51" s="79" t="s">
        <v>40</v>
      </c>
      <c r="D51" s="80"/>
      <c r="E51" s="80"/>
      <c r="F51" s="77"/>
      <c r="G51" s="80"/>
      <c r="H51" s="80"/>
      <c r="I51" s="80"/>
      <c r="J51" s="80"/>
      <c r="K51" s="80"/>
      <c r="L51" s="80"/>
      <c r="M51" s="80"/>
      <c r="N51" s="83">
        <f>SUM(N31:N50)</f>
        <v>7851.250096</v>
      </c>
      <c r="O51" s="84"/>
      <c r="P51" s="84"/>
    </row>
    <row r="52">
      <c r="A52" s="85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</row>
    <row r="53">
      <c r="A53" s="85"/>
      <c r="B53" s="85"/>
      <c r="C53" s="85"/>
      <c r="D53" s="85"/>
      <c r="E53" s="85"/>
      <c r="F53" s="85"/>
      <c r="G53" s="85"/>
      <c r="H53" s="85"/>
      <c r="I53" s="85"/>
      <c r="K53" s="94"/>
      <c r="L53" s="85"/>
      <c r="M53" s="85"/>
      <c r="N53" s="85"/>
      <c r="O53" s="85"/>
      <c r="P53" s="85"/>
    </row>
    <row r="54">
      <c r="A54" s="85"/>
      <c r="B54" s="85"/>
      <c r="C54" s="85"/>
      <c r="D54" s="85"/>
      <c r="E54" s="85"/>
      <c r="F54" s="85"/>
      <c r="G54" s="85"/>
      <c r="H54" s="85"/>
      <c r="I54" s="85"/>
      <c r="K54" s="95"/>
      <c r="L54" s="85"/>
      <c r="M54" s="85"/>
      <c r="N54" s="85"/>
      <c r="O54" s="85"/>
      <c r="P54" s="85"/>
    </row>
    <row r="55">
      <c r="A55" s="2"/>
      <c r="B55" s="2"/>
      <c r="C55" s="2"/>
      <c r="D55" s="2"/>
      <c r="E55" s="2"/>
      <c r="F55" s="96" t="s">
        <v>46</v>
      </c>
      <c r="I55" s="2"/>
      <c r="J55" s="2"/>
      <c r="K55" s="2"/>
      <c r="L55" s="2"/>
      <c r="M55" s="2"/>
      <c r="N55" s="2"/>
      <c r="O55" s="2"/>
      <c r="P55" s="2"/>
    </row>
    <row r="56">
      <c r="A56" s="6" t="s">
        <v>1</v>
      </c>
      <c r="C56" s="7"/>
      <c r="D56" s="7"/>
      <c r="E56" s="7"/>
      <c r="F56" s="9" t="s">
        <v>42</v>
      </c>
      <c r="H56" s="7"/>
      <c r="I56" s="7"/>
      <c r="J56" s="7"/>
      <c r="K56" s="7"/>
      <c r="L56" s="7"/>
      <c r="M56" s="7"/>
      <c r="N56" s="9" t="s">
        <v>3</v>
      </c>
      <c r="P56" s="7"/>
    </row>
    <row r="57">
      <c r="A57" s="11" t="s">
        <v>4</v>
      </c>
      <c r="C57" s="13" t="s">
        <v>5</v>
      </c>
      <c r="D57" s="13" t="s">
        <v>6</v>
      </c>
      <c r="E57" s="13" t="s">
        <v>7</v>
      </c>
      <c r="F57" s="13" t="s">
        <v>8</v>
      </c>
      <c r="G57" s="13" t="s">
        <v>9</v>
      </c>
      <c r="H57" s="13" t="s">
        <v>10</v>
      </c>
      <c r="I57" s="15" t="s">
        <v>11</v>
      </c>
      <c r="K57" s="15" t="s">
        <v>12</v>
      </c>
      <c r="M57" s="13" t="s">
        <v>13</v>
      </c>
      <c r="N57" s="15" t="s">
        <v>14</v>
      </c>
      <c r="O57" s="13" t="s">
        <v>15</v>
      </c>
      <c r="P57" s="13" t="s">
        <v>16</v>
      </c>
    </row>
    <row r="58">
      <c r="A58" s="19" t="str">
        <f>IFERROR(__xludf.DUMMYFUNCTION("GOOGLEFINANCE(""currency:EURUSD"", ""price"",DATE(2020,5,4))"),"Date")</f>
        <v>Date</v>
      </c>
      <c r="B58" s="19" t="str">
        <f>IFERROR(__xludf.DUMMYFUNCTION("""COMPUTED_VALUE"""),"Close")</f>
        <v>Close</v>
      </c>
      <c r="C58" s="20" t="s">
        <v>17</v>
      </c>
      <c r="D58" s="22" t="str">
        <f>IFERROR(__xludf.DUMMYFUNCTION("GOOGLEFINANCE($E58, ""name"")"),"S&amp;P 500 Index")</f>
        <v>S&amp;P 500 Index</v>
      </c>
      <c r="E58" s="22" t="s">
        <v>18</v>
      </c>
      <c r="F58" s="97">
        <v>15000.0</v>
      </c>
      <c r="G58" s="24">
        <f>F58</f>
        <v>15000</v>
      </c>
      <c r="H58" s="27">
        <f>round((G58)/J59,2)</f>
        <v>5.08</v>
      </c>
      <c r="I58" s="28" t="str">
        <f>IFERROR(__xludf.DUMMYFUNCTION("GOOGLEFINANCE($E58,""price"",""5/18/2020"")"),"Date")</f>
        <v>Date</v>
      </c>
      <c r="J58" s="29" t="str">
        <f>IFERROR(__xludf.DUMMYFUNCTION("""COMPUTED_VALUE"""),"Close")</f>
        <v>Close</v>
      </c>
      <c r="K58" s="29" t="str">
        <f>IFERROR(__xludf.DUMMYFUNCTION("GOOGLEFINANCE($E58,""price"",""05/22/2020"")"),"Date")</f>
        <v>Date</v>
      </c>
      <c r="L58" s="29" t="str">
        <f>IFERROR(__xludf.DUMMYFUNCTION("""COMPUTED_VALUE"""),"Close")</f>
        <v>Close</v>
      </c>
      <c r="M58" s="31">
        <f>round(L59*H58,2)</f>
        <v>15013.69</v>
      </c>
      <c r="N58" s="33">
        <f>M58-G58</f>
        <v>13.69</v>
      </c>
      <c r="O58" s="33">
        <f>M58-G58</f>
        <v>13.69</v>
      </c>
      <c r="P58" s="36">
        <f> round(N58*100/F58,2)</f>
        <v>0.09</v>
      </c>
    </row>
    <row r="59">
      <c r="A59" s="38">
        <f>IFERROR(__xludf.DUMMYFUNCTION("""COMPUTED_VALUE"""),43955.99861111111)</f>
        <v>43955.99861</v>
      </c>
      <c r="B59" s="40">
        <f>IFERROR(__xludf.DUMMYFUNCTION("""COMPUTED_VALUE"""),1.09041)</f>
        <v>1.09041</v>
      </c>
      <c r="I59" s="42">
        <f>IFERROR(__xludf.DUMMYFUNCTION("""COMPUTED_VALUE"""),43969.66666666667)</f>
        <v>43969.66667</v>
      </c>
      <c r="J59" s="44">
        <f>IFERROR(__xludf.DUMMYFUNCTION("""COMPUTED_VALUE"""),2953.91)</f>
        <v>2953.91</v>
      </c>
      <c r="K59" s="42">
        <f>IFERROR(__xludf.DUMMYFUNCTION("""COMPUTED_VALUE"""),43973.66666666667)</f>
        <v>43973.66667</v>
      </c>
      <c r="L59" s="44">
        <f>IFERROR(__xludf.DUMMYFUNCTION("""COMPUTED_VALUE"""),2955.45)</f>
        <v>2955.45</v>
      </c>
    </row>
    <row r="60">
      <c r="A60" s="19" t="str">
        <f>IFERROR(__xludf.DUMMYFUNCTION("GOOGLEFINANCE(""currency:EURUSD"", ""price"",DATE(2020,5,25))"),"Date")</f>
        <v>Date</v>
      </c>
      <c r="B60" s="19" t="str">
        <f>IFERROR(__xludf.DUMMYFUNCTION("""COMPUTED_VALUE"""),"Close")</f>
        <v>Close</v>
      </c>
      <c r="C60" s="20" t="s">
        <v>17</v>
      </c>
      <c r="D60" s="22" t="str">
        <f>IFERROR(__xludf.DUMMYFUNCTION("GOOGLEFINANCE($E60, ""name"")"),"NASDAQ-100")</f>
        <v>NASDAQ-100</v>
      </c>
      <c r="E60" s="22" t="s">
        <v>19</v>
      </c>
      <c r="F60" s="97">
        <v>25000.0</v>
      </c>
      <c r="G60" s="24">
        <f>F60</f>
        <v>25000</v>
      </c>
      <c r="H60" s="27">
        <f>round((G60)/J61,2)</f>
        <v>2.68</v>
      </c>
      <c r="I60" s="29" t="str">
        <f>IFERROR(__xludf.DUMMYFUNCTION("GOOGLEFINANCE($E60,""price"",""5/18/2020"")"),"Date")</f>
        <v>Date</v>
      </c>
      <c r="J60" s="29" t="str">
        <f>IFERROR(__xludf.DUMMYFUNCTION("""COMPUTED_VALUE"""),"Close")</f>
        <v>Close</v>
      </c>
      <c r="K60" s="29" t="str">
        <f>IFERROR(__xludf.DUMMYFUNCTION("GOOGLEFINANCE($E60,""price"",""05/22/2020"")"),"Date")</f>
        <v>Date</v>
      </c>
      <c r="L60" s="29" t="str">
        <f>IFERROR(__xludf.DUMMYFUNCTION("""COMPUTED_VALUE"""),"Close")</f>
        <v>Close</v>
      </c>
      <c r="M60" s="31">
        <f>round(L61*H60,2)</f>
        <v>25229.49</v>
      </c>
      <c r="N60" s="33">
        <f>M60-G60</f>
        <v>229.49</v>
      </c>
      <c r="O60" s="33">
        <f>M60-G60</f>
        <v>229.49</v>
      </c>
      <c r="P60" s="36">
        <f> round(N60*100/F60,2)</f>
        <v>0.92</v>
      </c>
    </row>
    <row r="61">
      <c r="A61" s="38">
        <f>IFERROR(__xludf.DUMMYFUNCTION("""COMPUTED_VALUE"""),43976.99861111111)</f>
        <v>43976.99861</v>
      </c>
      <c r="B61" s="40">
        <f>IFERROR(__xludf.DUMMYFUNCTION("""COMPUTED_VALUE"""),1.09007)</f>
        <v>1.09007</v>
      </c>
      <c r="I61" s="42">
        <f>IFERROR(__xludf.DUMMYFUNCTION("""COMPUTED_VALUE"""),43969.66666666667)</f>
        <v>43969.66667</v>
      </c>
      <c r="J61" s="44">
        <f>IFERROR(__xludf.DUMMYFUNCTION("""COMPUTED_VALUE"""),9331.93)</f>
        <v>9331.93</v>
      </c>
      <c r="K61" s="42">
        <f>IFERROR(__xludf.DUMMYFUNCTION("""COMPUTED_VALUE"""),43973.66666666667)</f>
        <v>43973.66667</v>
      </c>
      <c r="L61" s="44">
        <f>IFERROR(__xludf.DUMMYFUNCTION("""COMPUTED_VALUE"""),9413.99)</f>
        <v>9413.99</v>
      </c>
    </row>
    <row r="62">
      <c r="A62" s="11" t="s">
        <v>20</v>
      </c>
      <c r="C62" s="20" t="s">
        <v>21</v>
      </c>
      <c r="D62" s="22" t="str">
        <f>IFERROR(__xludf.DUMMYFUNCTION("GOOGLEFINANCE(""indexdb:DAX"", ""name"")"),"DAX PERFORMANCE-INDEX")</f>
        <v>DAX PERFORMANCE-INDEX</v>
      </c>
      <c r="E62" s="22" t="s">
        <v>22</v>
      </c>
      <c r="F62" s="97">
        <v>20000.0</v>
      </c>
      <c r="G62" s="24">
        <f>F62/B59</f>
        <v>18341.72467</v>
      </c>
      <c r="H62" s="27">
        <f>round((G62)/J63,2)</f>
        <v>1.66</v>
      </c>
      <c r="I62" s="28" t="str">
        <f>IFERROR(__xludf.DUMMYFUNCTION("GOOGLEFINANCE(""indexdb:DAX"",""price"",""5/18/2020"")"),"Date")</f>
        <v>Date</v>
      </c>
      <c r="J62" s="29" t="str">
        <f>IFERROR(__xludf.DUMMYFUNCTION("""COMPUTED_VALUE"""),"Close")</f>
        <v>Close</v>
      </c>
      <c r="K62" s="29" t="str">
        <f>IFERROR(__xludf.DUMMYFUNCTION("GOOGLEFINANCE(""indexdb:DAX"", ""price"",""05/25/2020"")"),"Date")</f>
        <v>Date</v>
      </c>
      <c r="L62" s="29" t="str">
        <f>IFERROR(__xludf.DUMMYFUNCTION("""COMPUTED_VALUE"""),"Close")</f>
        <v>Close</v>
      </c>
      <c r="M62" s="31">
        <f>round(L63*H62,2)</f>
        <v>18909.52</v>
      </c>
      <c r="N62" s="33">
        <f>O62*B61</f>
        <v>618.9366528</v>
      </c>
      <c r="O62" s="33">
        <f>M62-G62</f>
        <v>567.7953276</v>
      </c>
      <c r="P62" s="36">
        <f> round(N62*100/F62,2)</f>
        <v>3.09</v>
      </c>
    </row>
    <row r="63">
      <c r="A63" s="19" t="str">
        <f>IFERROR(__xludf.DUMMYFUNCTION("GOOGLEFINANCE(""currency:JPYUSD"", ""price"",DATE(2020,5,4))"),"Date")</f>
        <v>Date</v>
      </c>
      <c r="B63" s="19" t="str">
        <f>IFERROR(__xludf.DUMMYFUNCTION("""COMPUTED_VALUE"""),"Close")</f>
        <v>Close</v>
      </c>
      <c r="I63" s="42">
        <f>IFERROR(__xludf.DUMMYFUNCTION("""COMPUTED_VALUE"""),43969.83333333333)</f>
        <v>43969.83333</v>
      </c>
      <c r="J63" s="44">
        <f>IFERROR(__xludf.DUMMYFUNCTION("""COMPUTED_VALUE"""),11058.87)</f>
        <v>11058.87</v>
      </c>
      <c r="K63" s="49">
        <f>IFERROR(__xludf.DUMMYFUNCTION("""COMPUTED_VALUE"""),43976.83333333333)</f>
        <v>43976.83333</v>
      </c>
      <c r="L63" s="44">
        <f>IFERROR(__xludf.DUMMYFUNCTION("""COMPUTED_VALUE"""),11391.28)</f>
        <v>11391.28</v>
      </c>
    </row>
    <row r="64">
      <c r="A64" s="38">
        <f>IFERROR(__xludf.DUMMYFUNCTION("""COMPUTED_VALUE"""),43955.99861111111)</f>
        <v>43955.99861</v>
      </c>
      <c r="B64" s="40">
        <f>IFERROR(__xludf.DUMMYFUNCTION("""COMPUTED_VALUE"""),0.009372)</f>
        <v>0.009372</v>
      </c>
      <c r="C64" s="20" t="s">
        <v>23</v>
      </c>
      <c r="D64" s="22" t="str">
        <f>IFERROR(__xludf.DUMMYFUNCTION("GOOGLEFINANCE($E64, ""name"")"),"Nikkei 225")</f>
        <v>Nikkei 225</v>
      </c>
      <c r="E64" s="22" t="s">
        <v>24</v>
      </c>
      <c r="F64" s="97">
        <v>30000.0</v>
      </c>
      <c r="G64" s="24">
        <f>30000/B64</f>
        <v>3201024.328</v>
      </c>
      <c r="H64" s="27">
        <f>round((G64)/J65,2)</f>
        <v>158.99</v>
      </c>
      <c r="I64" s="29" t="str">
        <f>IFERROR(__xludf.DUMMYFUNCTION("GOOGLEFINANCE($E64,""price"",""5/17/2020"")"),"Date")</f>
        <v>Date</v>
      </c>
      <c r="J64" s="29" t="str">
        <f>IFERROR(__xludf.DUMMYFUNCTION("""COMPUTED_VALUE"""),"Close")</f>
        <v>Close</v>
      </c>
      <c r="K64" s="29" t="str">
        <f>IFERROR(__xludf.DUMMYFUNCTION("GOOGLEFINANCE($E64,""price"",""05/24/2020"")"),"Date")</f>
        <v>Date</v>
      </c>
      <c r="L64" s="29" t="str">
        <f>IFERROR(__xludf.DUMMYFUNCTION("""COMPUTED_VALUE"""),"Close")</f>
        <v>Close</v>
      </c>
      <c r="M64" s="31">
        <f>round(L65*H64,2)</f>
        <v>3297714.93</v>
      </c>
      <c r="N64" s="39">
        <f>O64*B66</f>
        <v>897.8689322</v>
      </c>
      <c r="O64" s="39">
        <f>M64-G64</f>
        <v>96690.60222</v>
      </c>
      <c r="P64" s="43">
        <f> round(N64*100/F64,2)</f>
        <v>2.99</v>
      </c>
    </row>
    <row r="65">
      <c r="A65" s="19" t="str">
        <f>IFERROR(__xludf.DUMMYFUNCTION("GOOGLEFINANCE(""currency:JPYUSD"", ""price"",DATE(2020,5,25))"),"Date")</f>
        <v>Date</v>
      </c>
      <c r="B65" s="19" t="str">
        <f>IFERROR(__xludf.DUMMYFUNCTION("""COMPUTED_VALUE"""),"Close")</f>
        <v>Close</v>
      </c>
      <c r="I65" s="42">
        <f>IFERROR(__xludf.DUMMYFUNCTION("""COMPUTED_VALUE"""),43969.625)</f>
        <v>43969.625</v>
      </c>
      <c r="J65" s="44">
        <f>IFERROR(__xludf.DUMMYFUNCTION("""COMPUTED_VALUE"""),20133.73)</f>
        <v>20133.73</v>
      </c>
      <c r="K65" s="49">
        <f>IFERROR(__xludf.DUMMYFUNCTION("""COMPUTED_VALUE"""),43976.625)</f>
        <v>43976.625</v>
      </c>
      <c r="L65" s="44">
        <f>IFERROR(__xludf.DUMMYFUNCTION("""COMPUTED_VALUE"""),20741.65)</f>
        <v>20741.65</v>
      </c>
    </row>
    <row r="66">
      <c r="A66" s="38">
        <f>IFERROR(__xludf.DUMMYFUNCTION("""COMPUTED_VALUE"""),43976.99861111111)</f>
        <v>43976.99861</v>
      </c>
      <c r="B66" s="40">
        <f>IFERROR(__xludf.DUMMYFUNCTION("""COMPUTED_VALUE"""),0.009286)</f>
        <v>0.009286</v>
      </c>
      <c r="C66" s="20" t="s">
        <v>25</v>
      </c>
      <c r="D66" s="22" t="s">
        <v>26</v>
      </c>
      <c r="E66" s="52" t="s">
        <v>27</v>
      </c>
      <c r="F66" s="97">
        <v>0.0</v>
      </c>
      <c r="G66" s="24">
        <f>0/B69</f>
        <v>0</v>
      </c>
      <c r="H66" s="27">
        <f>round((G66)/J67,2)</f>
        <v>0</v>
      </c>
      <c r="I66" s="29" t="s">
        <v>28</v>
      </c>
      <c r="J66" s="29" t="s">
        <v>29</v>
      </c>
      <c r="K66" s="29" t="s">
        <v>28</v>
      </c>
      <c r="L66" s="29" t="s">
        <v>29</v>
      </c>
      <c r="M66" s="31">
        <f>round(L67*H66,2)</f>
        <v>0</v>
      </c>
      <c r="N66" s="98">
        <f>O66*B71</f>
        <v>0</v>
      </c>
      <c r="O66" s="98">
        <f>M66-G66</f>
        <v>0</v>
      </c>
      <c r="P66" s="99" t="s">
        <v>39</v>
      </c>
    </row>
    <row r="67">
      <c r="A67" s="11" t="s">
        <v>30</v>
      </c>
      <c r="I67" s="59">
        <v>43951.666666666664</v>
      </c>
      <c r="J67" s="44">
        <v>2895.51</v>
      </c>
      <c r="K67" s="49">
        <v>43976.625</v>
      </c>
      <c r="L67" s="60">
        <v>2817.24</v>
      </c>
    </row>
    <row r="68">
      <c r="A68" s="61" t="str">
        <f>IFERROR(__xludf.DUMMYFUNCTION("GOOGLEFINANCE(""currency:CNYUSD"", ""price"",DATE(2020,5,4))"),"Date")</f>
        <v>Date</v>
      </c>
      <c r="B68" s="19" t="str">
        <f>IFERROR(__xludf.DUMMYFUNCTION("""COMPUTED_VALUE"""),"Close")</f>
        <v>Close</v>
      </c>
      <c r="C68" s="20" t="s">
        <v>31</v>
      </c>
      <c r="D68" s="62" t="str">
        <f>IFERROR(__xludf.DUMMYFUNCTION("GOOGLEFINANCE($E68, ""name"")"),"S&amp;P GSCI Crude Oil ER")</f>
        <v>S&amp;P GSCI Crude Oil ER</v>
      </c>
      <c r="E68" s="22" t="s">
        <v>32</v>
      </c>
      <c r="F68" s="97">
        <v>0.0</v>
      </c>
      <c r="G68" s="24">
        <f>F68</f>
        <v>0</v>
      </c>
      <c r="H68" s="27">
        <f>round((G68)/J69,2)</f>
        <v>0</v>
      </c>
      <c r="I68" s="29" t="s">
        <v>28</v>
      </c>
      <c r="J68" s="29" t="s">
        <v>29</v>
      </c>
      <c r="K68" s="29" t="s">
        <v>28</v>
      </c>
      <c r="L68" s="29" t="s">
        <v>29</v>
      </c>
      <c r="M68" s="31">
        <f>round(L69*H68,2)</f>
        <v>0</v>
      </c>
      <c r="N68" s="98">
        <f>O68</f>
        <v>0</v>
      </c>
      <c r="O68" s="98">
        <f>M68-G68</f>
        <v>0</v>
      </c>
      <c r="P68" s="99" t="s">
        <v>39</v>
      </c>
    </row>
    <row r="69">
      <c r="A69" s="38">
        <f>IFERROR(__xludf.DUMMYFUNCTION("""COMPUTED_VALUE"""),43955.99861111111)</f>
        <v>43955.99861</v>
      </c>
      <c r="B69" s="40">
        <f>IFERROR(__xludf.DUMMYFUNCTION("""COMPUTED_VALUE"""),0.1415929)</f>
        <v>0.1415929</v>
      </c>
      <c r="I69" s="49">
        <v>43962.666666666664</v>
      </c>
      <c r="J69" s="44">
        <v>40.92</v>
      </c>
      <c r="K69" s="42">
        <v>43973.66666666667</v>
      </c>
      <c r="L69" s="60">
        <v>51.92</v>
      </c>
    </row>
    <row r="70">
      <c r="A70" s="19" t="str">
        <f>IFERROR(__xludf.DUMMYFUNCTION("GOOGLEFINANCE(""currency:CNYUSD"", ""price"",DATE(2020,5,25))"),"Date")</f>
        <v>Date</v>
      </c>
      <c r="B70" s="19" t="str">
        <f>IFERROR(__xludf.DUMMYFUNCTION("""COMPUTED_VALUE"""),"Close")</f>
        <v>Close</v>
      </c>
      <c r="C70" s="20" t="s">
        <v>31</v>
      </c>
      <c r="D70" s="62" t="str">
        <f>IFERROR(__xludf.DUMMYFUNCTION("GOOGLEFINANCE($E70, ""name"")"),"S&amp;P GSCI Gold ER")</f>
        <v>S&amp;P GSCI Gold ER</v>
      </c>
      <c r="E70" s="22" t="s">
        <v>34</v>
      </c>
      <c r="F70" s="97">
        <v>10000.0</v>
      </c>
      <c r="G70" s="24">
        <f>F70</f>
        <v>10000</v>
      </c>
      <c r="H70" s="27">
        <f>round((G70)/J71,2)</f>
        <v>75.47</v>
      </c>
      <c r="I70" s="29" t="s">
        <v>28</v>
      </c>
      <c r="J70" s="29" t="s">
        <v>29</v>
      </c>
      <c r="K70" s="29" t="s">
        <v>28</v>
      </c>
      <c r="L70" s="29" t="s">
        <v>29</v>
      </c>
      <c r="M70" s="31">
        <f>round(L71*H70,2)</f>
        <v>10039.02</v>
      </c>
      <c r="N70" s="33">
        <f>O70</f>
        <v>39.02</v>
      </c>
      <c r="O70" s="33">
        <f>M70-G70</f>
        <v>39.02</v>
      </c>
      <c r="P70" s="36">
        <v>0.0</v>
      </c>
    </row>
    <row r="71">
      <c r="A71" s="38">
        <f>IFERROR(__xludf.DUMMYFUNCTION("""COMPUTED_VALUE"""),43976.99861111111)</f>
        <v>43976.99861</v>
      </c>
      <c r="B71" s="40">
        <f>IFERROR(__xludf.DUMMYFUNCTION("""COMPUTED_VALUE"""),0.1401191)</f>
        <v>0.1401191</v>
      </c>
      <c r="I71" s="101">
        <v>43969.666666666664</v>
      </c>
      <c r="J71" s="60">
        <v>132.5</v>
      </c>
      <c r="K71" s="42">
        <v>43973.66666666667</v>
      </c>
      <c r="L71" s="60">
        <v>133.02</v>
      </c>
    </row>
    <row r="72">
      <c r="A72" s="19"/>
      <c r="B72" s="19"/>
      <c r="C72" s="20" t="s">
        <v>35</v>
      </c>
      <c r="D72" s="62" t="str">
        <f>IFERROR(__xludf.DUMMYFUNCTION("GOOGLEFINANCE($E72, ""name"")"),"iShares Barclays 20+ Yr Treas.Bond")</f>
        <v>iShares Barclays 20+ Yr Treas.Bond</v>
      </c>
      <c r="E72" s="22" t="s">
        <v>36</v>
      </c>
      <c r="F72" s="97">
        <v>-15000.0</v>
      </c>
      <c r="G72" s="24">
        <f>F72</f>
        <v>-15000</v>
      </c>
      <c r="H72" s="27">
        <f>round((G72)/J73,2)</f>
        <v>-92</v>
      </c>
      <c r="I72" s="29" t="str">
        <f>IFERROR(__xludf.DUMMYFUNCTION("GOOGLEFINANCE($E72,""price"",""5/18/2020"")"),"Date")</f>
        <v>Date</v>
      </c>
      <c r="J72" s="29" t="str">
        <f>IFERROR(__xludf.DUMMYFUNCTION("""COMPUTED_VALUE"""),"Close")</f>
        <v>Close</v>
      </c>
      <c r="K72" s="29" t="str">
        <f>IFERROR(__xludf.DUMMYFUNCTION("GOOGLEFINANCE($E72,""price"",""05/22/2020"")"),"Date")</f>
        <v>Date</v>
      </c>
      <c r="L72" s="29" t="str">
        <f>IFERROR(__xludf.DUMMYFUNCTION("""COMPUTED_VALUE"""),"Close")</f>
        <v>Close</v>
      </c>
      <c r="M72" s="31">
        <f>round(L73*H72,2)</f>
        <v>-15230.6</v>
      </c>
      <c r="N72" s="55">
        <f>O72</f>
        <v>-230.6</v>
      </c>
      <c r="O72" s="55">
        <f>M72-G72</f>
        <v>-230.6</v>
      </c>
      <c r="P72" s="57">
        <v>0.0</v>
      </c>
    </row>
    <row r="73">
      <c r="A73" s="19"/>
      <c r="B73" s="19"/>
      <c r="I73" s="42">
        <f>IFERROR(__xludf.DUMMYFUNCTION("""COMPUTED_VALUE"""),43969.66666666667)</f>
        <v>43969.66667</v>
      </c>
      <c r="J73" s="44">
        <f>IFERROR(__xludf.DUMMYFUNCTION("""COMPUTED_VALUE"""),163.05)</f>
        <v>163.05</v>
      </c>
      <c r="K73" s="42">
        <f>IFERROR(__xludf.DUMMYFUNCTION("""COMPUTED_VALUE"""),43973.66666666667)</f>
        <v>43973.66667</v>
      </c>
      <c r="L73" s="44">
        <f>IFERROR(__xludf.DUMMYFUNCTION("""COMPUTED_VALUE"""),165.55)</f>
        <v>165.55</v>
      </c>
    </row>
    <row r="74">
      <c r="A74" s="19"/>
      <c r="B74" s="19"/>
      <c r="C74" s="20" t="s">
        <v>35</v>
      </c>
      <c r="D74" s="62" t="str">
        <f>IFERROR(__xludf.DUMMYFUNCTION("GOOGLEFINANCE($E74, ""name"")"),"iShares iBoxx $ High Yid Corp Bond")</f>
        <v>iShares iBoxx $ High Yid Corp Bond</v>
      </c>
      <c r="E74" s="22" t="s">
        <v>37</v>
      </c>
      <c r="F74" s="97">
        <v>0.0</v>
      </c>
      <c r="G74" s="24">
        <f>F74</f>
        <v>0</v>
      </c>
      <c r="H74" s="27">
        <f>round((G74)/J75,2)</f>
        <v>0</v>
      </c>
      <c r="I74" s="29" t="str">
        <f>IFERROR(__xludf.DUMMYFUNCTION("GOOGLEFINANCE($E74,""price"",""5/11/2020"")"),"Date")</f>
        <v>Date</v>
      </c>
      <c r="J74" s="29" t="str">
        <f>IFERROR(__xludf.DUMMYFUNCTION("""COMPUTED_VALUE"""),"Close")</f>
        <v>Close</v>
      </c>
      <c r="K74" s="29" t="str">
        <f>IFERROR(__xludf.DUMMYFUNCTION("GOOGLEFINANCE($E74,""price"",""05/22/2020"")"),"Date")</f>
        <v>Date</v>
      </c>
      <c r="L74" s="29" t="str">
        <f>IFERROR(__xludf.DUMMYFUNCTION("""COMPUTED_VALUE"""),"Close")</f>
        <v>Close</v>
      </c>
      <c r="M74" s="31">
        <f>round(L75*H74,2)</f>
        <v>0</v>
      </c>
      <c r="N74" s="98">
        <f>O74</f>
        <v>0</v>
      </c>
      <c r="O74" s="98">
        <f>M74-G74</f>
        <v>0</v>
      </c>
      <c r="P74" s="102" t="s">
        <v>39</v>
      </c>
    </row>
    <row r="75">
      <c r="A75" s="19"/>
      <c r="B75" s="19"/>
      <c r="I75" s="42">
        <f>IFERROR(__xludf.DUMMYFUNCTION("""COMPUTED_VALUE"""),43962.66666666667)</f>
        <v>43962.66667</v>
      </c>
      <c r="J75" s="44">
        <f>IFERROR(__xludf.DUMMYFUNCTION("""COMPUTED_VALUE"""),79.39)</f>
        <v>79.39</v>
      </c>
      <c r="K75" s="42">
        <f>IFERROR(__xludf.DUMMYFUNCTION("""COMPUTED_VALUE"""),43973.66666666667)</f>
        <v>43973.66667</v>
      </c>
      <c r="L75" s="44">
        <f>IFERROR(__xludf.DUMMYFUNCTION("""COMPUTED_VALUE"""),81.23)</f>
        <v>81.23</v>
      </c>
    </row>
    <row r="76">
      <c r="A76" s="19"/>
      <c r="B76" s="19"/>
      <c r="C76" s="20" t="s">
        <v>38</v>
      </c>
      <c r="D76" s="75" t="s">
        <v>38</v>
      </c>
      <c r="E76" s="22" t="s">
        <v>39</v>
      </c>
      <c r="F76" s="97">
        <v>416432.0</v>
      </c>
      <c r="G76" s="24">
        <f>F76</f>
        <v>416432</v>
      </c>
      <c r="H76" s="77" t="s">
        <v>39</v>
      </c>
      <c r="I76" s="29" t="s">
        <v>39</v>
      </c>
      <c r="K76" s="29" t="s">
        <v>39</v>
      </c>
      <c r="M76" s="31">
        <f>round(G76*(1+ 7/36500),2)</f>
        <v>416511.86</v>
      </c>
      <c r="N76" s="33">
        <f>O76</f>
        <v>79.86</v>
      </c>
      <c r="O76" s="33">
        <f>M76-G76</f>
        <v>79.86</v>
      </c>
      <c r="P76" s="72">
        <f> round(N76*100/F76,2)</f>
        <v>0.02</v>
      </c>
    </row>
    <row r="77">
      <c r="A77" s="19"/>
      <c r="B77" s="19"/>
    </row>
    <row r="78">
      <c r="A78" s="19"/>
      <c r="B78" s="19"/>
      <c r="C78" s="79" t="s">
        <v>40</v>
      </c>
      <c r="D78" s="80"/>
      <c r="E78" s="80"/>
      <c r="F78" s="77"/>
      <c r="G78" s="80"/>
      <c r="H78" s="80"/>
      <c r="I78" s="80"/>
      <c r="J78" s="80"/>
      <c r="K78" s="80"/>
      <c r="L78" s="80"/>
      <c r="M78" s="80"/>
      <c r="N78" s="83">
        <f>SUM(N58:N77)</f>
        <v>1648.265585</v>
      </c>
      <c r="O78" s="84"/>
      <c r="P78" s="84"/>
    </row>
    <row r="81">
      <c r="H81" s="89" t="s">
        <v>43</v>
      </c>
      <c r="J81" s="90">
        <f> N24 + N51 + N78 - 'EOW 1'!M26 - 'EOW 2'!K53</f>
        <v>8786.452305</v>
      </c>
    </row>
    <row r="82">
      <c r="H82" s="91" t="s">
        <v>44</v>
      </c>
      <c r="J82" s="92">
        <f>-115000*0.05*0.01</f>
        <v>-57.5</v>
      </c>
    </row>
    <row r="83">
      <c r="H83" s="93" t="s">
        <v>45</v>
      </c>
      <c r="J83" s="33">
        <f> 'EOW 2'!K55 + J81</f>
        <v>1025218.743</v>
      </c>
    </row>
  </sheetData>
  <mergeCells count="338">
    <mergeCell ref="D45:D46"/>
    <mergeCell ref="E45:E46"/>
    <mergeCell ref="C47:C48"/>
    <mergeCell ref="D47:D48"/>
    <mergeCell ref="E47:E48"/>
    <mergeCell ref="C49:C50"/>
    <mergeCell ref="D49:D50"/>
    <mergeCell ref="E49:E50"/>
    <mergeCell ref="F45:F46"/>
    <mergeCell ref="G45:G46"/>
    <mergeCell ref="F47:F48"/>
    <mergeCell ref="G47:G48"/>
    <mergeCell ref="H47:H48"/>
    <mergeCell ref="F49:F50"/>
    <mergeCell ref="G49:G50"/>
    <mergeCell ref="F39:F40"/>
    <mergeCell ref="G39:G40"/>
    <mergeCell ref="C37:C38"/>
    <mergeCell ref="D37:D38"/>
    <mergeCell ref="E37:E38"/>
    <mergeCell ref="F37:F38"/>
    <mergeCell ref="G37:G38"/>
    <mergeCell ref="H37:H38"/>
    <mergeCell ref="H39:H40"/>
    <mergeCell ref="C39:C40"/>
    <mergeCell ref="C41:C42"/>
    <mergeCell ref="D41:D42"/>
    <mergeCell ref="E41:E42"/>
    <mergeCell ref="F41:F42"/>
    <mergeCell ref="G41:G42"/>
    <mergeCell ref="H41:H42"/>
    <mergeCell ref="C43:C44"/>
    <mergeCell ref="D43:D44"/>
    <mergeCell ref="E43:E44"/>
    <mergeCell ref="F43:F44"/>
    <mergeCell ref="G43:G44"/>
    <mergeCell ref="H43:H44"/>
    <mergeCell ref="C45:C46"/>
    <mergeCell ref="H45:H46"/>
    <mergeCell ref="O47:O48"/>
    <mergeCell ref="P47:P48"/>
    <mergeCell ref="H49:H50"/>
    <mergeCell ref="I49:J50"/>
    <mergeCell ref="K49:L50"/>
    <mergeCell ref="M49:M50"/>
    <mergeCell ref="N49:N50"/>
    <mergeCell ref="O49:O50"/>
    <mergeCell ref="P49:P50"/>
    <mergeCell ref="I53:J53"/>
    <mergeCell ref="I54:J54"/>
    <mergeCell ref="F55:H55"/>
    <mergeCell ref="A56:B56"/>
    <mergeCell ref="F56:G56"/>
    <mergeCell ref="N56:O56"/>
    <mergeCell ref="A57:B57"/>
    <mergeCell ref="K57:L57"/>
    <mergeCell ref="M58:M59"/>
    <mergeCell ref="N58:N59"/>
    <mergeCell ref="O58:O59"/>
    <mergeCell ref="P58:P59"/>
    <mergeCell ref="I57:J57"/>
    <mergeCell ref="C58:C59"/>
    <mergeCell ref="D58:D59"/>
    <mergeCell ref="E58:E59"/>
    <mergeCell ref="F58:F59"/>
    <mergeCell ref="G58:G59"/>
    <mergeCell ref="H58:H59"/>
    <mergeCell ref="D60:D61"/>
    <mergeCell ref="E60:E61"/>
    <mergeCell ref="F60:F61"/>
    <mergeCell ref="G60:G61"/>
    <mergeCell ref="H60:H61"/>
    <mergeCell ref="M60:M61"/>
    <mergeCell ref="A62:B62"/>
    <mergeCell ref="C60:C61"/>
    <mergeCell ref="C62:C63"/>
    <mergeCell ref="D62:D63"/>
    <mergeCell ref="E62:E63"/>
    <mergeCell ref="F62:F63"/>
    <mergeCell ref="G62:G63"/>
    <mergeCell ref="H62:H63"/>
    <mergeCell ref="M64:M65"/>
    <mergeCell ref="N64:N65"/>
    <mergeCell ref="O64:O65"/>
    <mergeCell ref="P64:P65"/>
    <mergeCell ref="M66:M67"/>
    <mergeCell ref="N66:N67"/>
    <mergeCell ref="O66:O67"/>
    <mergeCell ref="P66:P67"/>
    <mergeCell ref="N60:N61"/>
    <mergeCell ref="O60:O61"/>
    <mergeCell ref="P60:P61"/>
    <mergeCell ref="M62:M63"/>
    <mergeCell ref="N62:N63"/>
    <mergeCell ref="O62:O63"/>
    <mergeCell ref="P62:P63"/>
    <mergeCell ref="D66:D67"/>
    <mergeCell ref="E66:E67"/>
    <mergeCell ref="A67:B67"/>
    <mergeCell ref="M68:M69"/>
    <mergeCell ref="N68:N69"/>
    <mergeCell ref="O68:O69"/>
    <mergeCell ref="P68:P69"/>
    <mergeCell ref="N70:N71"/>
    <mergeCell ref="O70:O71"/>
    <mergeCell ref="P70:P71"/>
    <mergeCell ref="M70:M71"/>
    <mergeCell ref="M72:M73"/>
    <mergeCell ref="N72:N73"/>
    <mergeCell ref="O72:O73"/>
    <mergeCell ref="P72:P73"/>
    <mergeCell ref="M74:M75"/>
    <mergeCell ref="N74:N75"/>
    <mergeCell ref="D72:D73"/>
    <mergeCell ref="E72:E73"/>
    <mergeCell ref="C74:C75"/>
    <mergeCell ref="D74:D75"/>
    <mergeCell ref="E74:E75"/>
    <mergeCell ref="C76:C77"/>
    <mergeCell ref="D76:D77"/>
    <mergeCell ref="E76:E77"/>
    <mergeCell ref="F72:F73"/>
    <mergeCell ref="G72:G73"/>
    <mergeCell ref="F74:F75"/>
    <mergeCell ref="G74:G75"/>
    <mergeCell ref="H74:H75"/>
    <mergeCell ref="F76:F77"/>
    <mergeCell ref="G76:G77"/>
    <mergeCell ref="F66:F67"/>
    <mergeCell ref="G66:G67"/>
    <mergeCell ref="C64:C65"/>
    <mergeCell ref="D64:D65"/>
    <mergeCell ref="E64:E65"/>
    <mergeCell ref="F64:F65"/>
    <mergeCell ref="G64:G65"/>
    <mergeCell ref="H64:H65"/>
    <mergeCell ref="H66:H67"/>
    <mergeCell ref="C66:C67"/>
    <mergeCell ref="C68:C69"/>
    <mergeCell ref="D68:D69"/>
    <mergeCell ref="E68:E69"/>
    <mergeCell ref="F68:F69"/>
    <mergeCell ref="G68:G69"/>
    <mergeCell ref="H68:H69"/>
    <mergeCell ref="C70:C71"/>
    <mergeCell ref="D70:D71"/>
    <mergeCell ref="E70:E71"/>
    <mergeCell ref="F70:F71"/>
    <mergeCell ref="G70:G71"/>
    <mergeCell ref="H70:H71"/>
    <mergeCell ref="C72:C73"/>
    <mergeCell ref="H72:H73"/>
    <mergeCell ref="O74:O75"/>
    <mergeCell ref="P74:P75"/>
    <mergeCell ref="H76:H77"/>
    <mergeCell ref="I76:J77"/>
    <mergeCell ref="K76:L77"/>
    <mergeCell ref="M76:M77"/>
    <mergeCell ref="N76:N77"/>
    <mergeCell ref="O76:O77"/>
    <mergeCell ref="P76:P77"/>
    <mergeCell ref="H81:I81"/>
    <mergeCell ref="H82:I82"/>
    <mergeCell ref="H83:I83"/>
    <mergeCell ref="F1:H1"/>
    <mergeCell ref="A2:B2"/>
    <mergeCell ref="F2:G2"/>
    <mergeCell ref="N2:O2"/>
    <mergeCell ref="A3:B3"/>
    <mergeCell ref="I3:J3"/>
    <mergeCell ref="K3:L3"/>
    <mergeCell ref="N4:N5"/>
    <mergeCell ref="O4:O5"/>
    <mergeCell ref="P4:P5"/>
    <mergeCell ref="C4:C5"/>
    <mergeCell ref="D4:D5"/>
    <mergeCell ref="E4:E5"/>
    <mergeCell ref="F4:F5"/>
    <mergeCell ref="G4:G5"/>
    <mergeCell ref="H4:H5"/>
    <mergeCell ref="M4:M5"/>
    <mergeCell ref="D6:D7"/>
    <mergeCell ref="E6:E7"/>
    <mergeCell ref="F6:F7"/>
    <mergeCell ref="G6:G7"/>
    <mergeCell ref="H6:H7"/>
    <mergeCell ref="M6:M7"/>
    <mergeCell ref="A8:B8"/>
    <mergeCell ref="C6:C7"/>
    <mergeCell ref="C8:C9"/>
    <mergeCell ref="D8:D9"/>
    <mergeCell ref="E8:E9"/>
    <mergeCell ref="F8:F9"/>
    <mergeCell ref="G8:G9"/>
    <mergeCell ref="H8:H9"/>
    <mergeCell ref="M10:M11"/>
    <mergeCell ref="N10:N11"/>
    <mergeCell ref="O10:O11"/>
    <mergeCell ref="P10:P11"/>
    <mergeCell ref="N6:N7"/>
    <mergeCell ref="O6:O7"/>
    <mergeCell ref="P6:P7"/>
    <mergeCell ref="M8:M9"/>
    <mergeCell ref="N8:N9"/>
    <mergeCell ref="O8:O9"/>
    <mergeCell ref="P8:P9"/>
    <mergeCell ref="N18:N19"/>
    <mergeCell ref="O18:O19"/>
    <mergeCell ref="P18:P19"/>
    <mergeCell ref="C18:C19"/>
    <mergeCell ref="D18:D19"/>
    <mergeCell ref="E18:E19"/>
    <mergeCell ref="F18:F19"/>
    <mergeCell ref="G18:G19"/>
    <mergeCell ref="H18:H19"/>
    <mergeCell ref="M18:M19"/>
    <mergeCell ref="N20:N21"/>
    <mergeCell ref="O20:O21"/>
    <mergeCell ref="P20:P21"/>
    <mergeCell ref="C20:C21"/>
    <mergeCell ref="D20:D21"/>
    <mergeCell ref="E20:E21"/>
    <mergeCell ref="F20:F21"/>
    <mergeCell ref="G20:G21"/>
    <mergeCell ref="H20:H21"/>
    <mergeCell ref="M20:M21"/>
    <mergeCell ref="K22:L23"/>
    <mergeCell ref="M22:M23"/>
    <mergeCell ref="N22:N23"/>
    <mergeCell ref="O22:O23"/>
    <mergeCell ref="P22:P23"/>
    <mergeCell ref="C22:C23"/>
    <mergeCell ref="D22:D23"/>
    <mergeCell ref="E22:E23"/>
    <mergeCell ref="F22:F23"/>
    <mergeCell ref="G22:G23"/>
    <mergeCell ref="H22:H23"/>
    <mergeCell ref="I22:J23"/>
    <mergeCell ref="F12:F13"/>
    <mergeCell ref="G12:G13"/>
    <mergeCell ref="M12:M13"/>
    <mergeCell ref="N12:N13"/>
    <mergeCell ref="O12:O13"/>
    <mergeCell ref="P12:P13"/>
    <mergeCell ref="C10:C11"/>
    <mergeCell ref="D10:D11"/>
    <mergeCell ref="E10:E11"/>
    <mergeCell ref="F10:F11"/>
    <mergeCell ref="G10:G11"/>
    <mergeCell ref="H10:H11"/>
    <mergeCell ref="C12:C13"/>
    <mergeCell ref="H12:H13"/>
    <mergeCell ref="G14:G15"/>
    <mergeCell ref="H14:H15"/>
    <mergeCell ref="M14:M15"/>
    <mergeCell ref="N14:N15"/>
    <mergeCell ref="O14:O15"/>
    <mergeCell ref="P14:P15"/>
    <mergeCell ref="D12:D13"/>
    <mergeCell ref="E12:E13"/>
    <mergeCell ref="A13:B13"/>
    <mergeCell ref="C14:C15"/>
    <mergeCell ref="D14:D15"/>
    <mergeCell ref="E14:E15"/>
    <mergeCell ref="F14:F15"/>
    <mergeCell ref="N16:N17"/>
    <mergeCell ref="O16:O17"/>
    <mergeCell ref="P16:P17"/>
    <mergeCell ref="C16:C17"/>
    <mergeCell ref="D16:D17"/>
    <mergeCell ref="E16:E17"/>
    <mergeCell ref="F16:F17"/>
    <mergeCell ref="G16:G17"/>
    <mergeCell ref="H16:H17"/>
    <mergeCell ref="M16:M17"/>
    <mergeCell ref="F28:H28"/>
    <mergeCell ref="A29:B29"/>
    <mergeCell ref="F29:G29"/>
    <mergeCell ref="N29:O29"/>
    <mergeCell ref="A30:B30"/>
    <mergeCell ref="I30:J30"/>
    <mergeCell ref="K30:L30"/>
    <mergeCell ref="N31:N32"/>
    <mergeCell ref="O31:O32"/>
    <mergeCell ref="P31:P32"/>
    <mergeCell ref="C31:C32"/>
    <mergeCell ref="D31:D32"/>
    <mergeCell ref="E31:E32"/>
    <mergeCell ref="F31:F32"/>
    <mergeCell ref="G31:G32"/>
    <mergeCell ref="H31:H32"/>
    <mergeCell ref="M31:M32"/>
    <mergeCell ref="D33:D34"/>
    <mergeCell ref="E33:E34"/>
    <mergeCell ref="F33:F34"/>
    <mergeCell ref="G33:G34"/>
    <mergeCell ref="H33:H34"/>
    <mergeCell ref="M33:M34"/>
    <mergeCell ref="A35:B35"/>
    <mergeCell ref="C33:C34"/>
    <mergeCell ref="C35:C36"/>
    <mergeCell ref="D35:D36"/>
    <mergeCell ref="E35:E36"/>
    <mergeCell ref="F35:F36"/>
    <mergeCell ref="G35:G36"/>
    <mergeCell ref="H35:H36"/>
    <mergeCell ref="M37:M38"/>
    <mergeCell ref="N37:N38"/>
    <mergeCell ref="O37:O38"/>
    <mergeCell ref="P37:P38"/>
    <mergeCell ref="M39:M40"/>
    <mergeCell ref="N39:N40"/>
    <mergeCell ref="O39:O40"/>
    <mergeCell ref="P39:P40"/>
    <mergeCell ref="N33:N34"/>
    <mergeCell ref="O33:O34"/>
    <mergeCell ref="P33:P34"/>
    <mergeCell ref="M35:M36"/>
    <mergeCell ref="N35:N36"/>
    <mergeCell ref="O35:O36"/>
    <mergeCell ref="P35:P36"/>
    <mergeCell ref="D39:D40"/>
    <mergeCell ref="E39:E40"/>
    <mergeCell ref="A40:B40"/>
    <mergeCell ref="M41:M42"/>
    <mergeCell ref="N41:N42"/>
    <mergeCell ref="O41:O42"/>
    <mergeCell ref="P41:P42"/>
    <mergeCell ref="N43:N44"/>
    <mergeCell ref="O43:O44"/>
    <mergeCell ref="P43:P44"/>
    <mergeCell ref="M43:M44"/>
    <mergeCell ref="M45:M46"/>
    <mergeCell ref="N45:N46"/>
    <mergeCell ref="O45:O46"/>
    <mergeCell ref="P45:P46"/>
    <mergeCell ref="M47:M48"/>
    <mergeCell ref="N47:N4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19.14"/>
    <col customWidth="1" min="4" max="4" width="29.43"/>
    <col customWidth="1" min="9" max="9" width="18.14"/>
  </cols>
  <sheetData>
    <row r="1">
      <c r="A1" s="1"/>
      <c r="B1" s="1"/>
      <c r="C1" s="1"/>
      <c r="D1" s="1"/>
      <c r="E1" s="1"/>
      <c r="F1" s="3" t="s">
        <v>0</v>
      </c>
      <c r="I1" s="1"/>
      <c r="J1" s="1"/>
      <c r="K1" s="1"/>
      <c r="L1" s="1"/>
      <c r="M1" s="1"/>
      <c r="N1" s="1"/>
      <c r="O1" s="1"/>
      <c r="P1" s="1"/>
    </row>
    <row r="2">
      <c r="A2" s="5" t="s">
        <v>1</v>
      </c>
      <c r="C2" s="8"/>
      <c r="D2" s="8"/>
      <c r="E2" s="8"/>
      <c r="F2" s="10" t="s">
        <v>2</v>
      </c>
      <c r="H2" s="8"/>
      <c r="I2" s="8"/>
      <c r="J2" s="8"/>
      <c r="K2" s="8"/>
      <c r="L2" s="8"/>
      <c r="M2" s="8"/>
      <c r="N2" s="10" t="s">
        <v>3</v>
      </c>
      <c r="P2" s="8"/>
    </row>
    <row r="3">
      <c r="A3" s="12" t="s">
        <v>4</v>
      </c>
      <c r="C3" s="14" t="s">
        <v>5</v>
      </c>
      <c r="D3" s="14" t="s">
        <v>6</v>
      </c>
      <c r="E3" s="14" t="s">
        <v>7</v>
      </c>
      <c r="F3" s="14" t="s">
        <v>8</v>
      </c>
      <c r="G3" s="14" t="s">
        <v>9</v>
      </c>
      <c r="H3" s="14" t="s">
        <v>10</v>
      </c>
      <c r="I3" s="16" t="s">
        <v>11</v>
      </c>
      <c r="K3" s="16" t="s">
        <v>12</v>
      </c>
      <c r="M3" s="14" t="s">
        <v>13</v>
      </c>
      <c r="N3" s="17" t="s">
        <v>14</v>
      </c>
      <c r="O3" s="14" t="s">
        <v>15</v>
      </c>
      <c r="P3" s="18" t="s">
        <v>16</v>
      </c>
    </row>
    <row r="4">
      <c r="A4" s="19" t="str">
        <f>IFERROR(__xludf.DUMMYFUNCTION("GOOGLEFINANCE(""currency:EURUSD"", ""price"",DATE(2020,5,4))"),"Date")</f>
        <v>Date</v>
      </c>
      <c r="B4" s="19" t="str">
        <f>IFERROR(__xludf.DUMMYFUNCTION("""COMPUTED_VALUE"""),"Close")</f>
        <v>Close</v>
      </c>
      <c r="C4" s="21" t="s">
        <v>17</v>
      </c>
      <c r="D4" s="23" t="str">
        <f>IFERROR(__xludf.DUMMYFUNCTION("GOOGLEFINANCE($E4, ""name"")"),"S&amp;P 500 Index")</f>
        <v>S&amp;P 500 Index</v>
      </c>
      <c r="E4" s="25" t="s">
        <v>18</v>
      </c>
      <c r="F4" s="26">
        <v>50000.0</v>
      </c>
      <c r="G4" s="26">
        <v>50000.0</v>
      </c>
      <c r="H4" s="30">
        <f>round(G4/J5,2)</f>
        <v>17.59</v>
      </c>
      <c r="I4" s="32" t="str">
        <f>IFERROR(__xludf.DUMMYFUNCTION("GOOGLEFINANCE($E4,""price"",""5/4/2020"")"),"Date")</f>
        <v>Date</v>
      </c>
      <c r="J4" s="34" t="str">
        <f>IFERROR(__xludf.DUMMYFUNCTION("""COMPUTED_VALUE"""),"Close")</f>
        <v>Close</v>
      </c>
      <c r="K4" s="35" t="str">
        <f>IFERROR(__xludf.DUMMYFUNCTION("GOOGLEFINANCE($E4,""price"",""05/18/2020"")"),"Date")</f>
        <v>Date</v>
      </c>
      <c r="L4" s="34" t="str">
        <f>IFERROR(__xludf.DUMMYFUNCTION("""COMPUTED_VALUE"""),"Close")</f>
        <v>Close</v>
      </c>
      <c r="M4" s="37">
        <f>round(L5*H4,2)</f>
        <v>51959.28</v>
      </c>
      <c r="N4" s="39">
        <f>M4-G4</f>
        <v>1959.28</v>
      </c>
      <c r="O4" s="41">
        <f>M4-G4</f>
        <v>1959.28</v>
      </c>
      <c r="P4" s="43">
        <f> round(N4*100/F4,2)</f>
        <v>3.92</v>
      </c>
    </row>
    <row r="5">
      <c r="A5" s="38">
        <f>IFERROR(__xludf.DUMMYFUNCTION("""COMPUTED_VALUE"""),43955.99861111111)</f>
        <v>43955.99861</v>
      </c>
      <c r="B5" s="40">
        <f>IFERROR(__xludf.DUMMYFUNCTION("""COMPUTED_VALUE"""),1.09041)</f>
        <v>1.09041</v>
      </c>
      <c r="I5" s="45">
        <f>IFERROR(__xludf.DUMMYFUNCTION("""COMPUTED_VALUE"""),43955.66666666667)</f>
        <v>43955.66667</v>
      </c>
      <c r="J5" s="34">
        <f>IFERROR(__xludf.DUMMYFUNCTION("""COMPUTED_VALUE"""),2842.74)</f>
        <v>2842.74</v>
      </c>
      <c r="K5" s="45">
        <f>IFERROR(__xludf.DUMMYFUNCTION("""COMPUTED_VALUE"""),43969.66666666667)</f>
        <v>43969.66667</v>
      </c>
      <c r="L5" s="34">
        <f>IFERROR(__xludf.DUMMYFUNCTION("""COMPUTED_VALUE"""),2953.91)</f>
        <v>2953.91</v>
      </c>
    </row>
    <row r="6">
      <c r="A6" s="19" t="str">
        <f>IFERROR(__xludf.DUMMYFUNCTION("GOOGLEFINANCE(""currency:EURUSD"", ""price"",DATE(2020,5,18))"),"Date")</f>
        <v>Date</v>
      </c>
      <c r="B6" s="19" t="str">
        <f>IFERROR(__xludf.DUMMYFUNCTION("""COMPUTED_VALUE"""),"Close")</f>
        <v>Close</v>
      </c>
      <c r="C6" s="21" t="s">
        <v>17</v>
      </c>
      <c r="D6" s="23" t="str">
        <f>IFERROR(__xludf.DUMMYFUNCTION("GOOGLEFINANCE($E6, ""name"")"),"NASDAQ-100")</f>
        <v>NASDAQ-100</v>
      </c>
      <c r="E6" s="25" t="s">
        <v>19</v>
      </c>
      <c r="F6" s="26">
        <v>50000.0</v>
      </c>
      <c r="G6" s="26">
        <v>50000.0</v>
      </c>
      <c r="H6" s="30">
        <f>round(G6/J7,2)</f>
        <v>5.66</v>
      </c>
      <c r="I6" s="34" t="str">
        <f>IFERROR(__xludf.DUMMYFUNCTION("GOOGLEFINANCE($E6,""price"",""5/4/2020"")"),"Date")</f>
        <v>Date</v>
      </c>
      <c r="J6" s="34" t="str">
        <f>IFERROR(__xludf.DUMMYFUNCTION("""COMPUTED_VALUE"""),"Close")</f>
        <v>Close</v>
      </c>
      <c r="K6" s="35" t="str">
        <f>IFERROR(__xludf.DUMMYFUNCTION("GOOGLEFINANCE($E6,""price"",""05/18/2020"")"),"Date")</f>
        <v>Date</v>
      </c>
      <c r="L6" s="34" t="str">
        <f>IFERROR(__xludf.DUMMYFUNCTION("""COMPUTED_VALUE"""),"Close")</f>
        <v>Close</v>
      </c>
      <c r="M6" s="37">
        <f>round(L7*H6,2)</f>
        <v>52818.72</v>
      </c>
      <c r="N6" s="39">
        <f>M6-G6</f>
        <v>2818.72</v>
      </c>
      <c r="O6" s="41">
        <f>M6-G6</f>
        <v>2818.72</v>
      </c>
      <c r="P6" s="43">
        <f> round(N6*100/F6,2)</f>
        <v>5.64</v>
      </c>
    </row>
    <row r="7">
      <c r="A7" s="38">
        <f>IFERROR(__xludf.DUMMYFUNCTION("""COMPUTED_VALUE"""),43969.99861111111)</f>
        <v>43969.99861</v>
      </c>
      <c r="B7" s="40">
        <f>IFERROR(__xludf.DUMMYFUNCTION("""COMPUTED_VALUE"""),1.09147)</f>
        <v>1.09147</v>
      </c>
      <c r="I7" s="45">
        <f>IFERROR(__xludf.DUMMYFUNCTION("""COMPUTED_VALUE"""),43955.66666666667)</f>
        <v>43955.66667</v>
      </c>
      <c r="J7" s="34">
        <f>IFERROR(__xludf.DUMMYFUNCTION("""COMPUTED_VALUE"""),8834.11)</f>
        <v>8834.11</v>
      </c>
      <c r="K7" s="45">
        <f>IFERROR(__xludf.DUMMYFUNCTION("""COMPUTED_VALUE"""),43969.66666666667)</f>
        <v>43969.66667</v>
      </c>
      <c r="L7" s="34">
        <f>IFERROR(__xludf.DUMMYFUNCTION("""COMPUTED_VALUE"""),9331.93)</f>
        <v>9331.93</v>
      </c>
    </row>
    <row r="8">
      <c r="A8" s="12" t="s">
        <v>20</v>
      </c>
      <c r="C8" s="21" t="s">
        <v>21</v>
      </c>
      <c r="D8" s="23" t="str">
        <f>IFERROR(__xludf.DUMMYFUNCTION("GOOGLEFINANCE(""indexdb:DAX"", ""name"")"),"DAX PERFORMANCE-INDEX")</f>
        <v>DAX PERFORMANCE-INDEX</v>
      </c>
      <c r="E8" s="25" t="s">
        <v>22</v>
      </c>
      <c r="F8" s="26">
        <v>50000.0</v>
      </c>
      <c r="G8" s="26">
        <f>50000/B5</f>
        <v>45854.31168</v>
      </c>
      <c r="H8" s="30">
        <f>round(G8/J9,2)</f>
        <v>4.38</v>
      </c>
      <c r="I8" s="46" t="str">
        <f>IFERROR(__xludf.DUMMYFUNCTION("GOOGLEFINANCE(""indexdb:DAX"",""price"",""5/4/2020"")"),"Date")</f>
        <v>Date</v>
      </c>
      <c r="J8" s="34" t="str">
        <f>IFERROR(__xludf.DUMMYFUNCTION("""COMPUTED_VALUE"""),"Close")</f>
        <v>Close</v>
      </c>
      <c r="K8" s="35" t="str">
        <f>IFERROR(__xludf.DUMMYFUNCTION("GOOGLEFINANCE(""indexdb:DAX"", ""price"",""05/18/2020"")"),"Date")</f>
        <v>Date</v>
      </c>
      <c r="L8" s="35" t="str">
        <f>IFERROR(__xludf.DUMMYFUNCTION("""COMPUTED_VALUE"""),"Close")</f>
        <v>Close</v>
      </c>
      <c r="M8" s="37">
        <f>round(L9*H8,2)</f>
        <v>48437.85</v>
      </c>
      <c r="N8" s="39">
        <f>O8*B7</f>
        <v>2819.854569</v>
      </c>
      <c r="O8" s="41">
        <f>M8-G8</f>
        <v>2583.538319</v>
      </c>
      <c r="P8" s="43">
        <f> round(N8*100/F8,2)</f>
        <v>5.64</v>
      </c>
    </row>
    <row r="9">
      <c r="A9" s="47" t="str">
        <f>IFERROR(__xludf.DUMMYFUNCTION("GOOGLEFINANCE(""currency:JPYUSD"", ""price"",DATE(2020,5,4))"),"Date")</f>
        <v>Date</v>
      </c>
      <c r="B9" s="47" t="str">
        <f>IFERROR(__xludf.DUMMYFUNCTION("""COMPUTED_VALUE"""),"Close")</f>
        <v>Close</v>
      </c>
      <c r="I9" s="45">
        <f>IFERROR(__xludf.DUMMYFUNCTION("""COMPUTED_VALUE"""),43955.83333333333)</f>
        <v>43955.83333</v>
      </c>
      <c r="J9" s="34">
        <f>IFERROR(__xludf.DUMMYFUNCTION("""COMPUTED_VALUE"""),10466.8)</f>
        <v>10466.8</v>
      </c>
      <c r="K9" s="48">
        <f>IFERROR(__xludf.DUMMYFUNCTION("""COMPUTED_VALUE"""),43969.83333333333)</f>
        <v>43969.83333</v>
      </c>
      <c r="L9" s="34">
        <f>IFERROR(__xludf.DUMMYFUNCTION("""COMPUTED_VALUE"""),11058.87)</f>
        <v>11058.87</v>
      </c>
    </row>
    <row r="10">
      <c r="A10" s="50">
        <f>IFERROR(__xludf.DUMMYFUNCTION("""COMPUTED_VALUE"""),43955.99861111111)</f>
        <v>43955.99861</v>
      </c>
      <c r="B10" s="47">
        <f>IFERROR(__xludf.DUMMYFUNCTION("""COMPUTED_VALUE"""),0.009372)</f>
        <v>0.009372</v>
      </c>
      <c r="C10" s="21" t="s">
        <v>23</v>
      </c>
      <c r="D10" s="23" t="str">
        <f>IFERROR(__xludf.DUMMYFUNCTION("GOOGLEFINANCE($E10, ""name"")"),"Nikkei 225")</f>
        <v>Nikkei 225</v>
      </c>
      <c r="E10" s="25" t="s">
        <v>24</v>
      </c>
      <c r="F10" s="26">
        <v>20000.0</v>
      </c>
      <c r="G10" s="26">
        <f>20000/B10</f>
        <v>2134016.219</v>
      </c>
      <c r="H10" s="30">
        <f>round(G10/J11,2)</f>
        <v>108.77</v>
      </c>
      <c r="I10" s="34" t="str">
        <f>IFERROR(__xludf.DUMMYFUNCTION("GOOGLEFINANCE($E10,""price"",""4/30/2020"")"),"Date")</f>
        <v>Date</v>
      </c>
      <c r="J10" s="34" t="str">
        <f>IFERROR(__xludf.DUMMYFUNCTION("""COMPUTED_VALUE"""),"Close")</f>
        <v>Close</v>
      </c>
      <c r="K10" s="35" t="str">
        <f>IFERROR(__xludf.DUMMYFUNCTION("GOOGLEFINANCE($E10,""price"",""05/17/2020"")"),"Date")</f>
        <v>Date</v>
      </c>
      <c r="L10" s="35" t="str">
        <f>IFERROR(__xludf.DUMMYFUNCTION("""COMPUTED_VALUE"""),"Close")</f>
        <v>Close</v>
      </c>
      <c r="M10" s="37">
        <f>round(L11*H10,2)</f>
        <v>2189945.81</v>
      </c>
      <c r="N10" s="39">
        <f>O10*B12</f>
        <v>520.8712787</v>
      </c>
      <c r="O10" s="41">
        <f>M10-G10</f>
        <v>55929.59148</v>
      </c>
      <c r="P10" s="43">
        <f> round(N10*100/F10,2)</f>
        <v>2.6</v>
      </c>
    </row>
    <row r="11">
      <c r="A11" s="47" t="str">
        <f>IFERROR(__xludf.DUMMYFUNCTION("GOOGLEFINANCE(""currency:JPYUSD"", ""price"",DATE(2020,5,18))"),"Date")</f>
        <v>Date</v>
      </c>
      <c r="B11" s="47" t="str">
        <f>IFERROR(__xludf.DUMMYFUNCTION("""COMPUTED_VALUE"""),"Close")</f>
        <v>Close</v>
      </c>
      <c r="I11" s="45">
        <f>IFERROR(__xludf.DUMMYFUNCTION("""COMPUTED_VALUE"""),43952.625)</f>
        <v>43952.625</v>
      </c>
      <c r="J11" s="34">
        <f>IFERROR(__xludf.DUMMYFUNCTION("""COMPUTED_VALUE"""),19619.35)</f>
        <v>19619.35</v>
      </c>
      <c r="K11" s="48">
        <f>IFERROR(__xludf.DUMMYFUNCTION("""COMPUTED_VALUE"""),43969.625)</f>
        <v>43969.625</v>
      </c>
      <c r="L11" s="34">
        <f>IFERROR(__xludf.DUMMYFUNCTION("""COMPUTED_VALUE"""),20133.73)</f>
        <v>20133.73</v>
      </c>
    </row>
    <row r="12">
      <c r="A12" s="50">
        <f>IFERROR(__xludf.DUMMYFUNCTION("""COMPUTED_VALUE"""),43969.99861111111)</f>
        <v>43969.99861</v>
      </c>
      <c r="B12" s="47">
        <f>IFERROR(__xludf.DUMMYFUNCTION("""COMPUTED_VALUE"""),0.009312982)</f>
        <v>0.009312982</v>
      </c>
      <c r="C12" s="21" t="s">
        <v>25</v>
      </c>
      <c r="D12" s="25" t="s">
        <v>26</v>
      </c>
      <c r="E12" s="51" t="s">
        <v>27</v>
      </c>
      <c r="F12" s="26">
        <v>20000.0</v>
      </c>
      <c r="G12" s="26">
        <f>20000/B15</f>
        <v>141250.0203</v>
      </c>
      <c r="H12" s="30">
        <f>round(G12/J13,2)</f>
        <v>49.38</v>
      </c>
      <c r="I12" s="35" t="s">
        <v>28</v>
      </c>
      <c r="J12" s="35" t="s">
        <v>29</v>
      </c>
      <c r="K12" s="35" t="s">
        <v>28</v>
      </c>
      <c r="L12" s="35" t="s">
        <v>29</v>
      </c>
      <c r="M12" s="37">
        <f>round(L13*H12,2)</f>
        <v>142035.15</v>
      </c>
      <c r="N12" s="39">
        <f>O12*B17</f>
        <v>110.4323388</v>
      </c>
      <c r="O12" s="41">
        <f>M12-G12</f>
        <v>785.1296953</v>
      </c>
      <c r="P12" s="43">
        <f> round(N12*100/F12,2)</f>
        <v>0.55</v>
      </c>
    </row>
    <row r="13">
      <c r="A13" s="12" t="s">
        <v>30</v>
      </c>
      <c r="I13" s="53">
        <v>43951.666666666664</v>
      </c>
      <c r="J13" s="35">
        <v>2860.41</v>
      </c>
      <c r="K13" s="48">
        <v>43969.625</v>
      </c>
      <c r="L13" s="35">
        <v>2876.37</v>
      </c>
    </row>
    <row r="14">
      <c r="A14" s="54" t="str">
        <f>IFERROR(__xludf.DUMMYFUNCTION("GOOGLEFINANCE(""currency:CNYUSD"", ""price"",DATE(2020,5,4))"),"Date")</f>
        <v>Date</v>
      </c>
      <c r="B14" s="47" t="str">
        <f>IFERROR(__xludf.DUMMYFUNCTION("""COMPUTED_VALUE"""),"Close")</f>
        <v>Close</v>
      </c>
      <c r="C14" s="21" t="s">
        <v>31</v>
      </c>
      <c r="D14" s="56" t="str">
        <f>IFERROR(__xludf.DUMMYFUNCTION("GOOGLEFINANCE($E14, ""name"")"),"S&amp;P GSCI Crude Oil ER")</f>
        <v>S&amp;P GSCI Crude Oil ER</v>
      </c>
      <c r="E14" s="25" t="s">
        <v>32</v>
      </c>
      <c r="F14" s="26">
        <v>10000.0</v>
      </c>
      <c r="G14" s="26">
        <v>10000.0</v>
      </c>
      <c r="H14" s="30">
        <f>round(G14/J15,2)</f>
        <v>268.82</v>
      </c>
      <c r="I14" s="35" t="s">
        <v>28</v>
      </c>
      <c r="J14" s="35" t="s">
        <v>29</v>
      </c>
      <c r="K14" s="35" t="s">
        <v>28</v>
      </c>
      <c r="L14" s="35" t="s">
        <v>29</v>
      </c>
      <c r="M14" s="37">
        <f>round(L15*H14,2)</f>
        <v>13384.55</v>
      </c>
      <c r="N14" s="58">
        <f>O14</f>
        <v>3384.55</v>
      </c>
      <c r="O14" s="41">
        <f>M14-G14</f>
        <v>3384.55</v>
      </c>
      <c r="P14" s="43">
        <f> round(N14*100/F14,2)</f>
        <v>33.85</v>
      </c>
    </row>
    <row r="15">
      <c r="A15" s="50">
        <f>IFERROR(__xludf.DUMMYFUNCTION("""COMPUTED_VALUE"""),43955.99861111111)</f>
        <v>43955.99861</v>
      </c>
      <c r="B15" s="47">
        <f>IFERROR(__xludf.DUMMYFUNCTION("""COMPUTED_VALUE"""),0.1415929)</f>
        <v>0.1415929</v>
      </c>
      <c r="I15" s="35" t="s">
        <v>33</v>
      </c>
      <c r="J15" s="35">
        <v>37.2</v>
      </c>
      <c r="K15" s="48">
        <v>43969.625</v>
      </c>
      <c r="L15" s="35">
        <v>49.79</v>
      </c>
    </row>
    <row r="16">
      <c r="A16" s="47" t="str">
        <f>IFERROR(__xludf.DUMMYFUNCTION("GOOGLEFINANCE(""currency:CNYUSD"", ""price"",DATE(2020,5,18))"),"Date")</f>
        <v>Date</v>
      </c>
      <c r="B16" s="47" t="str">
        <f>IFERROR(__xludf.DUMMYFUNCTION("""COMPUTED_VALUE"""),"Close")</f>
        <v>Close</v>
      </c>
      <c r="C16" s="21" t="s">
        <v>31</v>
      </c>
      <c r="D16" s="56" t="str">
        <f>IFERROR(__xludf.DUMMYFUNCTION("GOOGLEFINANCE($E16, ""name"")"),"S&amp;P GSCI Gold ER")</f>
        <v>S&amp;P GSCI Gold ER</v>
      </c>
      <c r="E16" s="25" t="s">
        <v>34</v>
      </c>
      <c r="F16" s="26">
        <v>50000.0</v>
      </c>
      <c r="G16" s="26">
        <v>50000.0</v>
      </c>
      <c r="H16" s="30">
        <f>round(G16/J17,2)</f>
        <v>382.18</v>
      </c>
      <c r="I16" s="35" t="s">
        <v>28</v>
      </c>
      <c r="J16" s="35" t="s">
        <v>29</v>
      </c>
      <c r="K16" s="35" t="s">
        <v>28</v>
      </c>
      <c r="L16" s="35" t="s">
        <v>29</v>
      </c>
      <c r="M16" s="37">
        <f>round(L17*H16,2)</f>
        <v>50638.85</v>
      </c>
      <c r="N16" s="58">
        <f>O16</f>
        <v>638.85</v>
      </c>
      <c r="O16" s="41">
        <f>M16-G16</f>
        <v>638.85</v>
      </c>
      <c r="P16" s="43">
        <f> round(N16*100/F16,2)</f>
        <v>1.28</v>
      </c>
    </row>
    <row r="17">
      <c r="A17" s="50">
        <f>IFERROR(__xludf.DUMMYFUNCTION("""COMPUTED_VALUE"""),43969.99861111111)</f>
        <v>43969.99861</v>
      </c>
      <c r="B17" s="47">
        <f>IFERROR(__xludf.DUMMYFUNCTION("""COMPUTED_VALUE"""),0.1406549)</f>
        <v>0.1406549</v>
      </c>
      <c r="I17" s="63">
        <v>43955.666666666664</v>
      </c>
      <c r="J17" s="35">
        <v>130.83</v>
      </c>
      <c r="K17" s="48">
        <v>43969.625</v>
      </c>
      <c r="L17" s="35">
        <v>132.5</v>
      </c>
    </row>
    <row r="18">
      <c r="A18" s="47"/>
      <c r="B18" s="47"/>
      <c r="C18" s="21" t="s">
        <v>35</v>
      </c>
      <c r="D18" s="56" t="str">
        <f>IFERROR(__xludf.DUMMYFUNCTION("GOOGLEFINANCE($E18, ""name"")"),"iShares Barclays 20+ Yr Treas.Bond")</f>
        <v>iShares Barclays 20+ Yr Treas.Bond</v>
      </c>
      <c r="E18" s="25" t="s">
        <v>36</v>
      </c>
      <c r="F18" s="26">
        <v>30000.0</v>
      </c>
      <c r="G18" s="26">
        <v>30000.0</v>
      </c>
      <c r="H18" s="30">
        <f>round(G18/J19,2)</f>
        <v>179.47</v>
      </c>
      <c r="I18" s="34" t="str">
        <f>IFERROR(__xludf.DUMMYFUNCTION("GOOGLEFINANCE($E18,""price"",""5/4/2020"")"),"Date")</f>
        <v>Date</v>
      </c>
      <c r="J18" s="34" t="str">
        <f>IFERROR(__xludf.DUMMYFUNCTION("""COMPUTED_VALUE"""),"Close")</f>
        <v>Close</v>
      </c>
      <c r="K18" s="34" t="str">
        <f>IFERROR(__xludf.DUMMYFUNCTION("GOOGLEFINANCE($E45,""price"",""05/18/2020"")"),"Date")</f>
        <v>Date</v>
      </c>
      <c r="L18" s="34" t="str">
        <f>IFERROR(__xludf.DUMMYFUNCTION("""COMPUTED_VALUE"""),"Close")</f>
        <v>Close</v>
      </c>
      <c r="M18" s="37">
        <f>round(L19*H18,2)</f>
        <v>29262.58</v>
      </c>
      <c r="N18" s="64">
        <f>O18</f>
        <v>-737.42</v>
      </c>
      <c r="O18" s="64">
        <f>M18-G18</f>
        <v>-737.42</v>
      </c>
      <c r="P18" s="57">
        <f> round(N18*100/F18,2)</f>
        <v>-2.46</v>
      </c>
    </row>
    <row r="19">
      <c r="A19" s="47"/>
      <c r="B19" s="47"/>
      <c r="I19" s="45">
        <f>IFERROR(__xludf.DUMMYFUNCTION("""COMPUTED_VALUE"""),43955.66666666667)</f>
        <v>43955.66667</v>
      </c>
      <c r="J19" s="34">
        <f>IFERROR(__xludf.DUMMYFUNCTION("""COMPUTED_VALUE"""),167.16)</f>
        <v>167.16</v>
      </c>
      <c r="K19" s="45">
        <f>IFERROR(__xludf.DUMMYFUNCTION("""COMPUTED_VALUE"""),43969.66666666667)</f>
        <v>43969.66667</v>
      </c>
      <c r="L19" s="34">
        <f>IFERROR(__xludf.DUMMYFUNCTION("""COMPUTED_VALUE"""),163.05)</f>
        <v>163.05</v>
      </c>
    </row>
    <row r="20">
      <c r="A20" s="47"/>
      <c r="B20" s="47"/>
      <c r="C20" s="21" t="s">
        <v>35</v>
      </c>
      <c r="D20" s="56" t="str">
        <f>IFERROR(__xludf.DUMMYFUNCTION("GOOGLEFINANCE($E20, ""name"")"),"iShares iBoxx $ High Yid Corp Bond")</f>
        <v>iShares iBoxx $ High Yid Corp Bond</v>
      </c>
      <c r="E20" s="25" t="s">
        <v>37</v>
      </c>
      <c r="F20" s="26">
        <v>20000.0</v>
      </c>
      <c r="G20" s="26">
        <v>20000.0</v>
      </c>
      <c r="H20" s="30">
        <f>round(G20/J21,2)</f>
        <v>254.55</v>
      </c>
      <c r="I20" s="34" t="str">
        <f>IFERROR(__xludf.DUMMYFUNCTION("GOOGLEFINANCE($E20,""price"",""5/4/2020"")"),"Date")</f>
        <v>Date</v>
      </c>
      <c r="J20" s="34" t="str">
        <f>IFERROR(__xludf.DUMMYFUNCTION("""COMPUTED_VALUE"""),"Close")</f>
        <v>Close</v>
      </c>
      <c r="K20" s="34" t="str">
        <f>IFERROR(__xludf.DUMMYFUNCTION("GOOGLEFINANCE($E47,""price"",""05/18/2020"")"),"Date")</f>
        <v>Date</v>
      </c>
      <c r="L20" s="34" t="str">
        <f>IFERROR(__xludf.DUMMYFUNCTION("""COMPUTED_VALUE"""),"Close")</f>
        <v>Close</v>
      </c>
      <c r="M20" s="37">
        <f>round(L21*H20,2)</f>
        <v>20389.46</v>
      </c>
      <c r="N20" s="65">
        <f>O20</f>
        <v>389.46</v>
      </c>
      <c r="O20" s="41">
        <f>M20-G20</f>
        <v>389.46</v>
      </c>
      <c r="P20" s="66">
        <f> round(N20*100/F20,2)</f>
        <v>1.95</v>
      </c>
    </row>
    <row r="21">
      <c r="A21" s="47"/>
      <c r="B21" s="47"/>
      <c r="I21" s="45">
        <f>IFERROR(__xludf.DUMMYFUNCTION("""COMPUTED_VALUE"""),43955.66666666667)</f>
        <v>43955.66667</v>
      </c>
      <c r="J21" s="34">
        <f>IFERROR(__xludf.DUMMYFUNCTION("""COMPUTED_VALUE"""),78.57)</f>
        <v>78.57</v>
      </c>
      <c r="K21" s="45">
        <f>IFERROR(__xludf.DUMMYFUNCTION("""COMPUTED_VALUE"""),43969.66666666667)</f>
        <v>43969.66667</v>
      </c>
      <c r="L21" s="34">
        <f>IFERROR(__xludf.DUMMYFUNCTION("""COMPUTED_VALUE"""),80.1)</f>
        <v>80.1</v>
      </c>
    </row>
    <row r="22">
      <c r="A22" s="47"/>
      <c r="B22" s="47"/>
      <c r="C22" s="21" t="s">
        <v>38</v>
      </c>
      <c r="D22" s="67" t="s">
        <v>38</v>
      </c>
      <c r="E22" s="25" t="s">
        <v>39</v>
      </c>
      <c r="F22" s="26">
        <v>700000.0</v>
      </c>
      <c r="G22" s="26">
        <v>700000.0</v>
      </c>
      <c r="H22" s="68" t="s">
        <v>39</v>
      </c>
      <c r="I22" s="35" t="s">
        <v>39</v>
      </c>
      <c r="K22" s="35" t="s">
        <v>39</v>
      </c>
      <c r="M22" s="21">
        <f>round(G22*(1+ 7/36500),2)</f>
        <v>700134.25</v>
      </c>
      <c r="N22" s="69">
        <v>134.0</v>
      </c>
      <c r="O22" s="41">
        <f>M22-G22</f>
        <v>134.25</v>
      </c>
      <c r="P22" s="66">
        <f> round(N22*100/F22,2)</f>
        <v>0.02</v>
      </c>
    </row>
    <row r="23">
      <c r="A23" s="47"/>
      <c r="B23" s="47"/>
    </row>
    <row r="24">
      <c r="A24" s="47"/>
      <c r="B24" s="47"/>
      <c r="C24" s="70" t="s">
        <v>40</v>
      </c>
      <c r="D24" s="71"/>
      <c r="E24" s="71"/>
      <c r="F24" s="73">
        <f>SUM(F4:F23)</f>
        <v>1000000</v>
      </c>
      <c r="G24" s="71"/>
      <c r="H24" s="71"/>
      <c r="I24" s="71"/>
      <c r="J24" s="71"/>
      <c r="K24" s="71"/>
      <c r="L24" s="71"/>
      <c r="M24" s="71"/>
      <c r="N24" s="74">
        <f>SUM(N4:N23)</f>
        <v>12038.59819</v>
      </c>
      <c r="O24" s="76"/>
      <c r="P24" s="76"/>
    </row>
    <row r="28">
      <c r="A28" s="2"/>
      <c r="B28" s="78"/>
      <c r="C28" s="2"/>
      <c r="D28" s="2"/>
      <c r="E28" s="2"/>
      <c r="F28" s="4" t="s">
        <v>41</v>
      </c>
      <c r="I28" s="2"/>
      <c r="J28" s="2"/>
      <c r="K28" s="2"/>
      <c r="L28" s="2"/>
      <c r="M28" s="2"/>
      <c r="N28" s="2"/>
      <c r="O28" s="2"/>
      <c r="P28" s="2"/>
    </row>
    <row r="29">
      <c r="A29" s="6" t="s">
        <v>1</v>
      </c>
      <c r="C29" s="7"/>
      <c r="D29" s="7"/>
      <c r="E29" s="7"/>
      <c r="F29" s="9" t="s">
        <v>42</v>
      </c>
      <c r="H29" s="7"/>
      <c r="I29" s="7"/>
      <c r="J29" s="7"/>
      <c r="K29" s="7"/>
      <c r="L29" s="7"/>
      <c r="M29" s="7"/>
      <c r="N29" s="9" t="s">
        <v>3</v>
      </c>
      <c r="P29" s="7"/>
    </row>
    <row r="30">
      <c r="A30" s="11" t="s">
        <v>4</v>
      </c>
      <c r="C30" s="13" t="s">
        <v>5</v>
      </c>
      <c r="D30" s="13" t="s">
        <v>6</v>
      </c>
      <c r="E30" s="13" t="s">
        <v>7</v>
      </c>
      <c r="F30" s="13" t="s">
        <v>8</v>
      </c>
      <c r="G30" s="13" t="s">
        <v>9</v>
      </c>
      <c r="H30" s="13" t="s">
        <v>10</v>
      </c>
      <c r="I30" s="15" t="s">
        <v>11</v>
      </c>
      <c r="K30" s="15" t="s">
        <v>12</v>
      </c>
      <c r="M30" s="13" t="s">
        <v>13</v>
      </c>
      <c r="N30" s="15" t="s">
        <v>14</v>
      </c>
      <c r="O30" s="13" t="s">
        <v>15</v>
      </c>
      <c r="P30" s="13" t="s">
        <v>16</v>
      </c>
    </row>
    <row r="31">
      <c r="A31" s="19" t="str">
        <f>IFERROR(__xludf.DUMMYFUNCTION("GOOGLEFINANCE(""currency:EURUSD"", ""price"",DATE(2020,5,11))"),"Date")</f>
        <v>Date</v>
      </c>
      <c r="B31" s="19" t="str">
        <f>IFERROR(__xludf.DUMMYFUNCTION("""COMPUTED_VALUE"""),"Close")</f>
        <v>Close</v>
      </c>
      <c r="C31" s="20" t="s">
        <v>17</v>
      </c>
      <c r="D31" s="22" t="str">
        <f>IFERROR(__xludf.DUMMYFUNCTION("GOOGLEFINANCE($E31, ""name"")"),"S&amp;P 500 Index")</f>
        <v>S&amp;P 500 Index</v>
      </c>
      <c r="E31" s="22" t="s">
        <v>18</v>
      </c>
      <c r="F31" s="24">
        <v>30000.0</v>
      </c>
      <c r="G31" s="24">
        <f>F31</f>
        <v>30000</v>
      </c>
      <c r="H31" s="27">
        <f>round((G31)/J32,2)</f>
        <v>10.24</v>
      </c>
      <c r="I31" s="28" t="str">
        <f>IFERROR(__xludf.DUMMYFUNCTION("GOOGLEFINANCE($E31,""price"",""5/11/2020"")"),"Date")</f>
        <v>Date</v>
      </c>
      <c r="J31" s="29" t="str">
        <f>IFERROR(__xludf.DUMMYFUNCTION("""COMPUTED_VALUE"""),"Close")</f>
        <v>Close</v>
      </c>
      <c r="K31" s="82" t="str">
        <f>IFERROR(__xludf.DUMMYFUNCTION("GOOGLEFINANCE($E4,""price"",""05/18/2020"")"),"Date")</f>
        <v>Date</v>
      </c>
      <c r="L31" s="34" t="str">
        <f>IFERROR(__xludf.DUMMYFUNCTION("""COMPUTED_VALUE"""),"Close")</f>
        <v>Close</v>
      </c>
      <c r="M31" s="31">
        <f>round(L32*H31,2)</f>
        <v>30248.04</v>
      </c>
      <c r="N31" s="39">
        <f>M31-G31</f>
        <v>248.04</v>
      </c>
      <c r="O31" s="39">
        <f>M31-G31</f>
        <v>248.04</v>
      </c>
      <c r="P31" s="43">
        <f> round(N31*100/F31,2)</f>
        <v>0.83</v>
      </c>
    </row>
    <row r="32">
      <c r="A32" s="38">
        <f>IFERROR(__xludf.DUMMYFUNCTION("""COMPUTED_VALUE"""),43962.99861111111)</f>
        <v>43962.99861</v>
      </c>
      <c r="B32" s="40">
        <f>IFERROR(__xludf.DUMMYFUNCTION("""COMPUTED_VALUE"""),1.08105)</f>
        <v>1.08105</v>
      </c>
      <c r="I32" s="42">
        <f>IFERROR(__xludf.DUMMYFUNCTION("""COMPUTED_VALUE"""),43962.66666666667)</f>
        <v>43962.66667</v>
      </c>
      <c r="J32" s="44">
        <f>IFERROR(__xludf.DUMMYFUNCTION("""COMPUTED_VALUE"""),2930.32)</f>
        <v>2930.32</v>
      </c>
      <c r="K32" s="45">
        <f>IFERROR(__xludf.DUMMYFUNCTION("""COMPUTED_VALUE"""),43969.66666666667)</f>
        <v>43969.66667</v>
      </c>
      <c r="L32" s="34">
        <f>IFERROR(__xludf.DUMMYFUNCTION("""COMPUTED_VALUE"""),2953.91)</f>
        <v>2953.91</v>
      </c>
    </row>
    <row r="33">
      <c r="A33" s="19" t="str">
        <f>IFERROR(__xludf.DUMMYFUNCTION("GOOGLEFINANCE(""currency:EURUSD"", ""price"",DATE(2020,5,18))"),"Date")</f>
        <v>Date</v>
      </c>
      <c r="B33" s="19" t="str">
        <f>IFERROR(__xludf.DUMMYFUNCTION("""COMPUTED_VALUE"""),"Close")</f>
        <v>Close</v>
      </c>
      <c r="C33" s="20" t="s">
        <v>17</v>
      </c>
      <c r="D33" s="22" t="str">
        <f>IFERROR(__xludf.DUMMYFUNCTION("GOOGLEFINANCE($E33, ""name"")"),"NASDAQ-100")</f>
        <v>NASDAQ-100</v>
      </c>
      <c r="E33" s="22" t="s">
        <v>19</v>
      </c>
      <c r="F33" s="24">
        <v>50000.0</v>
      </c>
      <c r="G33" s="24">
        <f>F33</f>
        <v>50000</v>
      </c>
      <c r="H33" s="27">
        <f>round((G33)/J34,2)</f>
        <v>5.38</v>
      </c>
      <c r="I33" s="29" t="str">
        <f>IFERROR(__xludf.DUMMYFUNCTION("GOOGLEFINANCE($E33,""price"",""5/11/2020"")"),"Date")</f>
        <v>Date</v>
      </c>
      <c r="J33" s="29" t="str">
        <f>IFERROR(__xludf.DUMMYFUNCTION("""COMPUTED_VALUE"""),"Close")</f>
        <v>Close</v>
      </c>
      <c r="K33" s="35" t="str">
        <f>IFERROR(__xludf.DUMMYFUNCTION("GOOGLEFINANCE($E6,""price"",""05/18/2020"")"),"Date")</f>
        <v>Date</v>
      </c>
      <c r="L33" s="34" t="str">
        <f>IFERROR(__xludf.DUMMYFUNCTION("""COMPUTED_VALUE"""),"Close")</f>
        <v>Close</v>
      </c>
      <c r="M33" s="31">
        <f>round(L34*H33,2)</f>
        <v>50205.78</v>
      </c>
      <c r="N33" s="39">
        <f>M33-G33</f>
        <v>205.78</v>
      </c>
      <c r="O33" s="39">
        <f>M33-G33</f>
        <v>205.78</v>
      </c>
      <c r="P33" s="43">
        <f> round(N33*100/F33,2)</f>
        <v>0.41</v>
      </c>
    </row>
    <row r="34">
      <c r="A34" s="38">
        <f>IFERROR(__xludf.DUMMYFUNCTION("""COMPUTED_VALUE"""),43969.99861111111)</f>
        <v>43969.99861</v>
      </c>
      <c r="B34" s="40">
        <f>IFERROR(__xludf.DUMMYFUNCTION("""COMPUTED_VALUE"""),1.09147)</f>
        <v>1.09147</v>
      </c>
      <c r="I34" s="42">
        <f>IFERROR(__xludf.DUMMYFUNCTION("""COMPUTED_VALUE"""),43962.66666666667)</f>
        <v>43962.66667</v>
      </c>
      <c r="J34" s="44">
        <f>IFERROR(__xludf.DUMMYFUNCTION("""COMPUTED_VALUE"""),9298.92)</f>
        <v>9298.92</v>
      </c>
      <c r="K34" s="45">
        <f>IFERROR(__xludf.DUMMYFUNCTION("""COMPUTED_VALUE"""),43969.66666666667)</f>
        <v>43969.66667</v>
      </c>
      <c r="L34" s="34">
        <f>IFERROR(__xludf.DUMMYFUNCTION("""COMPUTED_VALUE"""),9331.93)</f>
        <v>9331.93</v>
      </c>
    </row>
    <row r="35">
      <c r="A35" s="11" t="s">
        <v>20</v>
      </c>
      <c r="C35" s="20" t="s">
        <v>21</v>
      </c>
      <c r="D35" s="22" t="str">
        <f>IFERROR(__xludf.DUMMYFUNCTION("GOOGLEFINANCE(""indexdb:DAX"", ""name"")"),"DAX PERFORMANCE-INDEX")</f>
        <v>DAX PERFORMANCE-INDEX</v>
      </c>
      <c r="E35" s="22" t="s">
        <v>22</v>
      </c>
      <c r="F35" s="24">
        <v>30000.0</v>
      </c>
      <c r="G35" s="24">
        <f>F35/B32</f>
        <v>27750.79784</v>
      </c>
      <c r="H35" s="27">
        <f>round((G35)/J36,2)</f>
        <v>2.56</v>
      </c>
      <c r="I35" s="28" t="str">
        <f>IFERROR(__xludf.DUMMYFUNCTION("GOOGLEFINANCE(""indexdb:DAX"",""price"",""5/11/2020"")"),"Date")</f>
        <v>Date</v>
      </c>
      <c r="J35" s="29" t="str">
        <f>IFERROR(__xludf.DUMMYFUNCTION("""COMPUTED_VALUE"""),"Close")</f>
        <v>Close</v>
      </c>
      <c r="K35" s="86" t="str">
        <f>IFERROR(__xludf.DUMMYFUNCTION("GOOGLEFINANCE(""indexdb:DAX"", ""price"",""05/18/2020"")"),"Date")</f>
        <v>Date</v>
      </c>
      <c r="L35" s="35" t="str">
        <f>IFERROR(__xludf.DUMMYFUNCTION("""COMPUTED_VALUE"""),"Close")</f>
        <v>Close</v>
      </c>
      <c r="M35" s="31">
        <f>round(L36*H35,2)</f>
        <v>28310.71</v>
      </c>
      <c r="N35" s="39">
        <f>O35*B34</f>
        <v>611.1273303</v>
      </c>
      <c r="O35" s="39">
        <f>M35-G35</f>
        <v>559.9121646</v>
      </c>
      <c r="P35" s="43">
        <f> round(N35*100/F35,2)</f>
        <v>2.04</v>
      </c>
    </row>
    <row r="36">
      <c r="A36" s="19" t="str">
        <f>IFERROR(__xludf.DUMMYFUNCTION("GOOGLEFINANCE(""currency:JPYUSD"", ""price"",DATE(2020,5,11))"),"Date")</f>
        <v>Date</v>
      </c>
      <c r="B36" s="19" t="str">
        <f>IFERROR(__xludf.DUMMYFUNCTION("""COMPUTED_VALUE"""),"Close")</f>
        <v>Close</v>
      </c>
      <c r="I36" s="42">
        <f>IFERROR(__xludf.DUMMYFUNCTION("""COMPUTED_VALUE"""),43962.83333333333)</f>
        <v>43962.83333</v>
      </c>
      <c r="J36" s="44">
        <f>IFERROR(__xludf.DUMMYFUNCTION("""COMPUTED_VALUE"""),10824.99)</f>
        <v>10824.99</v>
      </c>
      <c r="K36" s="48">
        <f>IFERROR(__xludf.DUMMYFUNCTION("""COMPUTED_VALUE"""),43969.83333333333)</f>
        <v>43969.83333</v>
      </c>
      <c r="L36" s="34">
        <f>IFERROR(__xludf.DUMMYFUNCTION("""COMPUTED_VALUE"""),11058.87)</f>
        <v>11058.87</v>
      </c>
    </row>
    <row r="37">
      <c r="A37" s="38">
        <f>IFERROR(__xludf.DUMMYFUNCTION("""COMPUTED_VALUE"""),43962.99861111111)</f>
        <v>43962.99861</v>
      </c>
      <c r="B37" s="40">
        <f>IFERROR(__xludf.DUMMYFUNCTION("""COMPUTED_VALUE"""),0.009297)</f>
        <v>0.009297</v>
      </c>
      <c r="C37" s="20" t="s">
        <v>23</v>
      </c>
      <c r="D37" s="22" t="str">
        <f>IFERROR(__xludf.DUMMYFUNCTION("GOOGLEFINANCE($E37, ""name"")"),"Nikkei 225")</f>
        <v>Nikkei 225</v>
      </c>
      <c r="E37" s="22" t="s">
        <v>24</v>
      </c>
      <c r="F37" s="24">
        <v>40000.0</v>
      </c>
      <c r="G37" s="24">
        <f>60000/B37</f>
        <v>6453694.74</v>
      </c>
      <c r="H37" s="27">
        <f>round((G37)/J38,2)</f>
        <v>316.5</v>
      </c>
      <c r="I37" s="29" t="str">
        <f>IFERROR(__xludf.DUMMYFUNCTION("GOOGLEFINANCE($E37,""price"",""5/10/2020"")"),"Date")</f>
        <v>Date</v>
      </c>
      <c r="J37" s="29" t="str">
        <f>IFERROR(__xludf.DUMMYFUNCTION("""COMPUTED_VALUE"""),"Close")</f>
        <v>Close</v>
      </c>
      <c r="K37" s="86" t="str">
        <f>IFERROR(__xludf.DUMMYFUNCTION("GOOGLEFINANCE($E10,""price"",""05/17/2020"")"),"Date")</f>
        <v>Date</v>
      </c>
      <c r="L37" s="35" t="str">
        <f>IFERROR(__xludf.DUMMYFUNCTION("""COMPUTED_VALUE"""),"Close")</f>
        <v>Close</v>
      </c>
      <c r="M37" s="31">
        <f>round(L38*H37,2)</f>
        <v>6372325.55</v>
      </c>
      <c r="N37" s="55">
        <f>O37*B39</f>
        <v>-757.789804</v>
      </c>
      <c r="O37" s="55">
        <f>M37-G37</f>
        <v>-81369.19024</v>
      </c>
      <c r="P37" s="57">
        <f> round(N37*100/F37,2)</f>
        <v>-1.89</v>
      </c>
    </row>
    <row r="38">
      <c r="A38" s="19" t="str">
        <f>IFERROR(__xludf.DUMMYFUNCTION("GOOGLEFINANCE(""currency:JPYUSD"", ""price"",DATE(2020,5,18))"),"Date")</f>
        <v>Date</v>
      </c>
      <c r="B38" s="19" t="str">
        <f>IFERROR(__xludf.DUMMYFUNCTION("""COMPUTED_VALUE"""),"Close")</f>
        <v>Close</v>
      </c>
      <c r="I38" s="42">
        <f>IFERROR(__xludf.DUMMYFUNCTION("""COMPUTED_VALUE"""),43962.625)</f>
        <v>43962.625</v>
      </c>
      <c r="J38" s="44">
        <f>IFERROR(__xludf.DUMMYFUNCTION("""COMPUTED_VALUE"""),20390.66)</f>
        <v>20390.66</v>
      </c>
      <c r="K38" s="48">
        <f>IFERROR(__xludf.DUMMYFUNCTION("""COMPUTED_VALUE"""),43969.625)</f>
        <v>43969.625</v>
      </c>
      <c r="L38" s="34">
        <f>IFERROR(__xludf.DUMMYFUNCTION("""COMPUTED_VALUE"""),20133.73)</f>
        <v>20133.73</v>
      </c>
    </row>
    <row r="39">
      <c r="A39" s="38">
        <f>IFERROR(__xludf.DUMMYFUNCTION("""COMPUTED_VALUE"""),43969.99861111111)</f>
        <v>43969.99861</v>
      </c>
      <c r="B39" s="40">
        <f>IFERROR(__xludf.DUMMYFUNCTION("""COMPUTED_VALUE"""),0.009312982)</f>
        <v>0.009312982</v>
      </c>
      <c r="C39" s="20" t="s">
        <v>25</v>
      </c>
      <c r="D39" s="22" t="s">
        <v>26</v>
      </c>
      <c r="E39" s="52" t="s">
        <v>27</v>
      </c>
      <c r="F39" s="24">
        <v>30000.0</v>
      </c>
      <c r="G39" s="24">
        <f>50000/B42</f>
        <v>354950.0266</v>
      </c>
      <c r="H39" s="27">
        <f>round((G39)/J40,2)</f>
        <v>122.59</v>
      </c>
      <c r="I39" s="29" t="s">
        <v>28</v>
      </c>
      <c r="J39" s="29" t="s">
        <v>29</v>
      </c>
      <c r="K39" s="35" t="s">
        <v>28</v>
      </c>
      <c r="L39" s="35" t="s">
        <v>29</v>
      </c>
      <c r="M39" s="31">
        <f>round(L40*H39,2)</f>
        <v>352614.2</v>
      </c>
      <c r="N39" s="55">
        <f>O39*B44</f>
        <v>-328.5454548</v>
      </c>
      <c r="O39" s="55">
        <f>M39-G39</f>
        <v>-2335.826586</v>
      </c>
      <c r="P39" s="57">
        <f> round(N39*100/F39,2)</f>
        <v>-1.1</v>
      </c>
    </row>
    <row r="40">
      <c r="A40" s="87" t="s">
        <v>30</v>
      </c>
      <c r="I40" s="59">
        <v>43951.666666666664</v>
      </c>
      <c r="J40" s="44">
        <v>2895.51</v>
      </c>
      <c r="K40" s="48">
        <v>43969.625</v>
      </c>
      <c r="L40" s="35">
        <v>2876.37</v>
      </c>
    </row>
    <row r="41">
      <c r="A41" s="61" t="str">
        <f>IFERROR(__xludf.DUMMYFUNCTION("GOOGLEFINANCE(""currency:CNYUSD"", ""price"",DATE(2020,5,11))"),"Date")</f>
        <v>Date</v>
      </c>
      <c r="B41" s="19" t="str">
        <f>IFERROR(__xludf.DUMMYFUNCTION("""COMPUTED_VALUE"""),"Close")</f>
        <v>Close</v>
      </c>
      <c r="C41" s="20" t="s">
        <v>31</v>
      </c>
      <c r="D41" s="62" t="str">
        <f>IFERROR(__xludf.DUMMYFUNCTION("GOOGLEFINANCE($E41, ""name"")"),"S&amp;P GSCI Crude Oil ER")</f>
        <v>S&amp;P GSCI Crude Oil ER</v>
      </c>
      <c r="E41" s="22" t="s">
        <v>32</v>
      </c>
      <c r="F41" s="24">
        <v>20000.0</v>
      </c>
      <c r="G41" s="24">
        <f>F41</f>
        <v>20000</v>
      </c>
      <c r="H41" s="27">
        <f>round((G41)/J42,2)</f>
        <v>488.76</v>
      </c>
      <c r="I41" s="29" t="s">
        <v>28</v>
      </c>
      <c r="J41" s="29" t="s">
        <v>29</v>
      </c>
      <c r="K41" s="29" t="s">
        <v>28</v>
      </c>
      <c r="L41" s="29" t="s">
        <v>29</v>
      </c>
      <c r="M41" s="31">
        <f>round(L42*H41,2)</f>
        <v>24335.36</v>
      </c>
      <c r="N41" s="33">
        <f>O41</f>
        <v>4335.36</v>
      </c>
      <c r="O41" s="33">
        <f>M41-G41</f>
        <v>4335.36</v>
      </c>
      <c r="P41" s="36">
        <f> round(N41*100/F41,2)</f>
        <v>21.68</v>
      </c>
    </row>
    <row r="42">
      <c r="A42" s="38">
        <f>IFERROR(__xludf.DUMMYFUNCTION("""COMPUTED_VALUE"""),43962.99861111111)</f>
        <v>43962.99861</v>
      </c>
      <c r="B42" s="40">
        <f>IFERROR(__xludf.DUMMYFUNCTION("""COMPUTED_VALUE"""),0.1408649)</f>
        <v>0.1408649</v>
      </c>
      <c r="I42" s="49">
        <v>43962.666666666664</v>
      </c>
      <c r="J42" s="44">
        <v>40.92</v>
      </c>
      <c r="K42" s="88">
        <v>43969.625</v>
      </c>
      <c r="L42" s="60">
        <v>49.79</v>
      </c>
    </row>
    <row r="43">
      <c r="A43" s="19" t="str">
        <f>IFERROR(__xludf.DUMMYFUNCTION("GOOGLEFINANCE(""currency:CNYUSD"", ""price"",DATE(2020,5,18))"),"Date")</f>
        <v>Date</v>
      </c>
      <c r="B43" s="19" t="str">
        <f>IFERROR(__xludf.DUMMYFUNCTION("""COMPUTED_VALUE"""),"Close")</f>
        <v>Close</v>
      </c>
      <c r="C43" s="20" t="s">
        <v>31</v>
      </c>
      <c r="D43" s="62" t="str">
        <f>IFERROR(__xludf.DUMMYFUNCTION("GOOGLEFINANCE($E43, ""name"")"),"S&amp;P GSCI Gold ER")</f>
        <v>S&amp;P GSCI Gold ER</v>
      </c>
      <c r="E43" s="22" t="s">
        <v>34</v>
      </c>
      <c r="F43" s="24">
        <v>0.0</v>
      </c>
      <c r="G43" s="24">
        <f>F43</f>
        <v>0</v>
      </c>
      <c r="H43" s="27">
        <f>round((G43)/J44,2)</f>
        <v>0</v>
      </c>
      <c r="I43" s="29" t="s">
        <v>28</v>
      </c>
      <c r="J43" s="29" t="s">
        <v>29</v>
      </c>
      <c r="K43" s="29" t="s">
        <v>28</v>
      </c>
      <c r="L43" s="29" t="s">
        <v>29</v>
      </c>
      <c r="M43" s="31">
        <f>round(L44*H43,2)</f>
        <v>0</v>
      </c>
      <c r="N43" s="33">
        <f>O43</f>
        <v>0</v>
      </c>
      <c r="O43" s="33">
        <f>M43-G43</f>
        <v>0</v>
      </c>
      <c r="P43" s="36">
        <v>0.0</v>
      </c>
    </row>
    <row r="44">
      <c r="A44" s="38">
        <f>IFERROR(__xludf.DUMMYFUNCTION("""COMPUTED_VALUE"""),43969.99861111111)</f>
        <v>43969.99861</v>
      </c>
      <c r="B44" s="40">
        <f>IFERROR(__xludf.DUMMYFUNCTION("""COMPUTED_VALUE"""),0.1406549)</f>
        <v>0.1406549</v>
      </c>
      <c r="I44" s="42">
        <v>43955.666666666664</v>
      </c>
      <c r="J44" s="44">
        <v>130.83</v>
      </c>
      <c r="K44" s="88">
        <v>43969.625</v>
      </c>
      <c r="L44" s="60">
        <v>132.5</v>
      </c>
    </row>
    <row r="45">
      <c r="A45" s="19"/>
      <c r="B45" s="19"/>
      <c r="C45" s="20" t="s">
        <v>35</v>
      </c>
      <c r="D45" s="62" t="str">
        <f>IFERROR(__xludf.DUMMYFUNCTION("GOOGLEFINANCE($E45, ""name"")"),"iShares Barclays 20+ Yr Treas.Bond")</f>
        <v>iShares Barclays 20+ Yr Treas.Bond</v>
      </c>
      <c r="E45" s="22" t="s">
        <v>36</v>
      </c>
      <c r="F45" s="24">
        <v>0.0</v>
      </c>
      <c r="G45" s="24">
        <f>F45</f>
        <v>0</v>
      </c>
      <c r="H45" s="27">
        <f>round((G45)/J46,2)</f>
        <v>0</v>
      </c>
      <c r="I45" s="29" t="str">
        <f>IFERROR(__xludf.DUMMYFUNCTION("GOOGLEFINANCE($E45,""price"",""5/4/2020"")"),"Date")</f>
        <v>Date</v>
      </c>
      <c r="J45" s="29" t="str">
        <f>IFERROR(__xludf.DUMMYFUNCTION("""COMPUTED_VALUE"""),"Close")</f>
        <v>Close</v>
      </c>
      <c r="K45" s="29" t="str">
        <f>IFERROR(__xludf.DUMMYFUNCTION("GOOGLEFINANCE($E45,""price"",""05/18/2020"")"),"Date")</f>
        <v>Date</v>
      </c>
      <c r="L45" s="29" t="str">
        <f>IFERROR(__xludf.DUMMYFUNCTION("""COMPUTED_VALUE"""),"Close")</f>
        <v>Close</v>
      </c>
      <c r="M45" s="31">
        <f>round(L46*H45,2)</f>
        <v>0</v>
      </c>
      <c r="N45" s="39">
        <f>O45</f>
        <v>0</v>
      </c>
      <c r="O45" s="39">
        <f>M45-G45</f>
        <v>0</v>
      </c>
      <c r="P45" s="43">
        <v>0.0</v>
      </c>
    </row>
    <row r="46">
      <c r="A46" s="19"/>
      <c r="B46" s="19"/>
      <c r="I46" s="42">
        <f>IFERROR(__xludf.DUMMYFUNCTION("""COMPUTED_VALUE"""),43955.66666666667)</f>
        <v>43955.66667</v>
      </c>
      <c r="J46" s="44">
        <f>IFERROR(__xludf.DUMMYFUNCTION("""COMPUTED_VALUE"""),167.16)</f>
        <v>167.16</v>
      </c>
      <c r="K46" s="42">
        <f>IFERROR(__xludf.DUMMYFUNCTION("""COMPUTED_VALUE"""),43969.66666666667)</f>
        <v>43969.66667</v>
      </c>
      <c r="L46" s="44">
        <f>IFERROR(__xludf.DUMMYFUNCTION("""COMPUTED_VALUE"""),163.05)</f>
        <v>163.05</v>
      </c>
    </row>
    <row r="47">
      <c r="A47" s="19"/>
      <c r="B47" s="19"/>
      <c r="C47" s="20" t="s">
        <v>35</v>
      </c>
      <c r="D47" s="62" t="str">
        <f>IFERROR(__xludf.DUMMYFUNCTION("GOOGLEFINANCE($E47, ""name"")"),"iShares iBoxx $ High Yid Corp Bond")</f>
        <v>iShares iBoxx $ High Yid Corp Bond</v>
      </c>
      <c r="E47" s="22" t="s">
        <v>37</v>
      </c>
      <c r="F47" s="24">
        <v>10000.0</v>
      </c>
      <c r="G47" s="24">
        <f>F47</f>
        <v>10000</v>
      </c>
      <c r="H47" s="27">
        <f>round((G47)/J48,2)</f>
        <v>125.96</v>
      </c>
      <c r="I47" s="29" t="str">
        <f>IFERROR(__xludf.DUMMYFUNCTION("GOOGLEFINANCE($E47,""price"",""5/11/2020"")"),"Date")</f>
        <v>Date</v>
      </c>
      <c r="J47" s="29" t="str">
        <f>IFERROR(__xludf.DUMMYFUNCTION("""COMPUTED_VALUE"""),"Close")</f>
        <v>Close</v>
      </c>
      <c r="K47" s="29" t="str">
        <f>IFERROR(__xludf.DUMMYFUNCTION("GOOGLEFINANCE($E47,""price"",""05/18/2020"")"),"Date")</f>
        <v>Date</v>
      </c>
      <c r="L47" s="29" t="str">
        <f>IFERROR(__xludf.DUMMYFUNCTION("""COMPUTED_VALUE"""),"Close")</f>
        <v>Close</v>
      </c>
      <c r="M47" s="31">
        <f>round(L48*H47,2)</f>
        <v>10089.4</v>
      </c>
      <c r="N47" s="39">
        <f>O47</f>
        <v>89.4</v>
      </c>
      <c r="O47" s="39">
        <f>M47-G47</f>
        <v>89.4</v>
      </c>
      <c r="P47" s="66">
        <f> round(N47*100/F47,2)</f>
        <v>0.89</v>
      </c>
    </row>
    <row r="48">
      <c r="A48" s="19"/>
      <c r="B48" s="19"/>
      <c r="I48" s="42">
        <f>IFERROR(__xludf.DUMMYFUNCTION("""COMPUTED_VALUE"""),43962.66666666667)</f>
        <v>43962.66667</v>
      </c>
      <c r="J48" s="44">
        <f>IFERROR(__xludf.DUMMYFUNCTION("""COMPUTED_VALUE"""),79.39)</f>
        <v>79.39</v>
      </c>
      <c r="K48" s="42">
        <f>IFERROR(__xludf.DUMMYFUNCTION("""COMPUTED_VALUE"""),43969.66666666667)</f>
        <v>43969.66667</v>
      </c>
      <c r="L48" s="44">
        <f>IFERROR(__xludf.DUMMYFUNCTION("""COMPUTED_VALUE"""),80.1)</f>
        <v>80.1</v>
      </c>
    </row>
    <row r="49">
      <c r="A49" s="19"/>
      <c r="B49" s="19"/>
      <c r="C49" s="20" t="s">
        <v>38</v>
      </c>
      <c r="D49" s="75" t="s">
        <v>38</v>
      </c>
      <c r="E49" s="22" t="s">
        <v>39</v>
      </c>
      <c r="F49" s="24">
        <v>497008.0</v>
      </c>
      <c r="G49" s="24">
        <f>F49</f>
        <v>497008</v>
      </c>
      <c r="H49" s="77" t="s">
        <v>39</v>
      </c>
      <c r="I49" s="29" t="s">
        <v>39</v>
      </c>
      <c r="K49" s="29" t="s">
        <v>39</v>
      </c>
      <c r="M49" s="31">
        <f>round(G49*(1+ 7/36500),2)</f>
        <v>497103.32</v>
      </c>
      <c r="N49" s="33">
        <f>O49</f>
        <v>95.32</v>
      </c>
      <c r="O49" s="33">
        <f>M49-G49</f>
        <v>95.32</v>
      </c>
      <c r="P49" s="72">
        <f> round(N49*100/F49,2)</f>
        <v>0.02</v>
      </c>
    </row>
    <row r="50">
      <c r="A50" s="19"/>
      <c r="B50" s="19"/>
    </row>
    <row r="51">
      <c r="A51" s="19"/>
      <c r="B51" s="19"/>
      <c r="C51" s="79" t="s">
        <v>40</v>
      </c>
      <c r="D51" s="80"/>
      <c r="E51" s="80"/>
      <c r="F51" s="77"/>
      <c r="G51" s="80"/>
      <c r="H51" s="80"/>
      <c r="I51" s="80"/>
      <c r="J51" s="80"/>
      <c r="K51" s="80"/>
      <c r="L51" s="80"/>
      <c r="M51" s="80"/>
      <c r="N51" s="83">
        <f>SUM(N31:N50)</f>
        <v>4498.692071</v>
      </c>
      <c r="O51" s="84"/>
      <c r="P51" s="84"/>
    </row>
    <row r="53">
      <c r="I53" s="89" t="s">
        <v>43</v>
      </c>
      <c r="K53" s="90">
        <f> N24 + N51 - 'EOW 1'!M26</f>
        <v>9529.216132</v>
      </c>
    </row>
    <row r="54">
      <c r="I54" s="91" t="s">
        <v>44</v>
      </c>
      <c r="K54" s="92">
        <f>-210000*0.05*0.01</f>
        <v>-105</v>
      </c>
    </row>
    <row r="55">
      <c r="I55" s="93" t="s">
        <v>45</v>
      </c>
      <c r="K55" s="33">
        <f> F24 + N24 + N51 + K54</f>
        <v>1016432.29</v>
      </c>
    </row>
  </sheetData>
  <mergeCells count="225">
    <mergeCell ref="D45:D46"/>
    <mergeCell ref="E45:E46"/>
    <mergeCell ref="C47:C48"/>
    <mergeCell ref="D47:D48"/>
    <mergeCell ref="E47:E48"/>
    <mergeCell ref="C49:C50"/>
    <mergeCell ref="D49:D50"/>
    <mergeCell ref="E49:E50"/>
    <mergeCell ref="F45:F46"/>
    <mergeCell ref="G45:G46"/>
    <mergeCell ref="F47:F48"/>
    <mergeCell ref="G47:G48"/>
    <mergeCell ref="H47:H48"/>
    <mergeCell ref="F49:F50"/>
    <mergeCell ref="G49:G50"/>
    <mergeCell ref="F39:F40"/>
    <mergeCell ref="G39:G40"/>
    <mergeCell ref="C37:C38"/>
    <mergeCell ref="D37:D38"/>
    <mergeCell ref="E37:E38"/>
    <mergeCell ref="F37:F38"/>
    <mergeCell ref="G37:G38"/>
    <mergeCell ref="H37:H38"/>
    <mergeCell ref="H39:H40"/>
    <mergeCell ref="C39:C40"/>
    <mergeCell ref="C41:C42"/>
    <mergeCell ref="D41:D42"/>
    <mergeCell ref="E41:E42"/>
    <mergeCell ref="F41:F42"/>
    <mergeCell ref="G41:G42"/>
    <mergeCell ref="H41:H42"/>
    <mergeCell ref="C43:C44"/>
    <mergeCell ref="D43:D44"/>
    <mergeCell ref="E43:E44"/>
    <mergeCell ref="F43:F44"/>
    <mergeCell ref="G43:G44"/>
    <mergeCell ref="H43:H44"/>
    <mergeCell ref="C45:C46"/>
    <mergeCell ref="H45:H46"/>
    <mergeCell ref="O47:O48"/>
    <mergeCell ref="P47:P48"/>
    <mergeCell ref="H49:H50"/>
    <mergeCell ref="I49:J50"/>
    <mergeCell ref="K49:L50"/>
    <mergeCell ref="M49:M50"/>
    <mergeCell ref="N49:N50"/>
    <mergeCell ref="O49:O50"/>
    <mergeCell ref="P49:P50"/>
    <mergeCell ref="I53:J53"/>
    <mergeCell ref="I54:J54"/>
    <mergeCell ref="I55:J55"/>
    <mergeCell ref="F1:H1"/>
    <mergeCell ref="A2:B2"/>
    <mergeCell ref="F2:G2"/>
    <mergeCell ref="N2:O2"/>
    <mergeCell ref="A3:B3"/>
    <mergeCell ref="I3:J3"/>
    <mergeCell ref="K3:L3"/>
    <mergeCell ref="N4:N5"/>
    <mergeCell ref="O4:O5"/>
    <mergeCell ref="P4:P5"/>
    <mergeCell ref="C4:C5"/>
    <mergeCell ref="D4:D5"/>
    <mergeCell ref="E4:E5"/>
    <mergeCell ref="F4:F5"/>
    <mergeCell ref="G4:G5"/>
    <mergeCell ref="H4:H5"/>
    <mergeCell ref="M4:M5"/>
    <mergeCell ref="D6:D7"/>
    <mergeCell ref="E6:E7"/>
    <mergeCell ref="F6:F7"/>
    <mergeCell ref="G6:G7"/>
    <mergeCell ref="H6:H7"/>
    <mergeCell ref="M6:M7"/>
    <mergeCell ref="A8:B8"/>
    <mergeCell ref="C6:C7"/>
    <mergeCell ref="C8:C9"/>
    <mergeCell ref="D8:D9"/>
    <mergeCell ref="E8:E9"/>
    <mergeCell ref="F8:F9"/>
    <mergeCell ref="G8:G9"/>
    <mergeCell ref="H8:H9"/>
    <mergeCell ref="M10:M11"/>
    <mergeCell ref="N10:N11"/>
    <mergeCell ref="O10:O11"/>
    <mergeCell ref="P10:P11"/>
    <mergeCell ref="N6:N7"/>
    <mergeCell ref="O6:O7"/>
    <mergeCell ref="P6:P7"/>
    <mergeCell ref="M8:M9"/>
    <mergeCell ref="N8:N9"/>
    <mergeCell ref="O8:O9"/>
    <mergeCell ref="P8:P9"/>
    <mergeCell ref="N18:N19"/>
    <mergeCell ref="O18:O19"/>
    <mergeCell ref="P18:P19"/>
    <mergeCell ref="C18:C19"/>
    <mergeCell ref="D18:D19"/>
    <mergeCell ref="E18:E19"/>
    <mergeCell ref="F18:F19"/>
    <mergeCell ref="G18:G19"/>
    <mergeCell ref="H18:H19"/>
    <mergeCell ref="M18:M19"/>
    <mergeCell ref="N20:N21"/>
    <mergeCell ref="O20:O21"/>
    <mergeCell ref="P20:P21"/>
    <mergeCell ref="C20:C21"/>
    <mergeCell ref="D20:D21"/>
    <mergeCell ref="E20:E21"/>
    <mergeCell ref="F20:F21"/>
    <mergeCell ref="G20:G21"/>
    <mergeCell ref="H20:H21"/>
    <mergeCell ref="M20:M21"/>
    <mergeCell ref="K22:L23"/>
    <mergeCell ref="M22:M23"/>
    <mergeCell ref="N22:N23"/>
    <mergeCell ref="O22:O23"/>
    <mergeCell ref="P22:P23"/>
    <mergeCell ref="C22:C23"/>
    <mergeCell ref="D22:D23"/>
    <mergeCell ref="E22:E23"/>
    <mergeCell ref="F22:F23"/>
    <mergeCell ref="G22:G23"/>
    <mergeCell ref="H22:H23"/>
    <mergeCell ref="I22:J23"/>
    <mergeCell ref="F12:F13"/>
    <mergeCell ref="G12:G13"/>
    <mergeCell ref="M12:M13"/>
    <mergeCell ref="N12:N13"/>
    <mergeCell ref="O12:O13"/>
    <mergeCell ref="P12:P13"/>
    <mergeCell ref="C10:C11"/>
    <mergeCell ref="D10:D11"/>
    <mergeCell ref="E10:E11"/>
    <mergeCell ref="F10:F11"/>
    <mergeCell ref="G10:G11"/>
    <mergeCell ref="H10:H11"/>
    <mergeCell ref="C12:C13"/>
    <mergeCell ref="H12:H13"/>
    <mergeCell ref="G14:G15"/>
    <mergeCell ref="H14:H15"/>
    <mergeCell ref="M14:M15"/>
    <mergeCell ref="N14:N15"/>
    <mergeCell ref="O14:O15"/>
    <mergeCell ref="P14:P15"/>
    <mergeCell ref="D12:D13"/>
    <mergeCell ref="E12:E13"/>
    <mergeCell ref="A13:B13"/>
    <mergeCell ref="C14:C15"/>
    <mergeCell ref="D14:D15"/>
    <mergeCell ref="E14:E15"/>
    <mergeCell ref="F14:F15"/>
    <mergeCell ref="N16:N17"/>
    <mergeCell ref="O16:O17"/>
    <mergeCell ref="P16:P17"/>
    <mergeCell ref="C16:C17"/>
    <mergeCell ref="D16:D17"/>
    <mergeCell ref="E16:E17"/>
    <mergeCell ref="F16:F17"/>
    <mergeCell ref="G16:G17"/>
    <mergeCell ref="H16:H17"/>
    <mergeCell ref="M16:M17"/>
    <mergeCell ref="F28:H28"/>
    <mergeCell ref="A29:B29"/>
    <mergeCell ref="F29:G29"/>
    <mergeCell ref="N29:O29"/>
    <mergeCell ref="A30:B30"/>
    <mergeCell ref="I30:J30"/>
    <mergeCell ref="K30:L30"/>
    <mergeCell ref="N31:N32"/>
    <mergeCell ref="O31:O32"/>
    <mergeCell ref="P31:P32"/>
    <mergeCell ref="C31:C32"/>
    <mergeCell ref="D31:D32"/>
    <mergeCell ref="E31:E32"/>
    <mergeCell ref="F31:F32"/>
    <mergeCell ref="G31:G32"/>
    <mergeCell ref="H31:H32"/>
    <mergeCell ref="M31:M32"/>
    <mergeCell ref="D33:D34"/>
    <mergeCell ref="E33:E34"/>
    <mergeCell ref="F33:F34"/>
    <mergeCell ref="G33:G34"/>
    <mergeCell ref="H33:H34"/>
    <mergeCell ref="M33:M34"/>
    <mergeCell ref="A35:B35"/>
    <mergeCell ref="C33:C34"/>
    <mergeCell ref="C35:C36"/>
    <mergeCell ref="D35:D36"/>
    <mergeCell ref="E35:E36"/>
    <mergeCell ref="F35:F36"/>
    <mergeCell ref="G35:G36"/>
    <mergeCell ref="H35:H36"/>
    <mergeCell ref="M37:M38"/>
    <mergeCell ref="N37:N38"/>
    <mergeCell ref="O37:O38"/>
    <mergeCell ref="P37:P38"/>
    <mergeCell ref="M39:M40"/>
    <mergeCell ref="N39:N40"/>
    <mergeCell ref="O39:O40"/>
    <mergeCell ref="P39:P40"/>
    <mergeCell ref="N33:N34"/>
    <mergeCell ref="O33:O34"/>
    <mergeCell ref="P33:P34"/>
    <mergeCell ref="M35:M36"/>
    <mergeCell ref="N35:N36"/>
    <mergeCell ref="O35:O36"/>
    <mergeCell ref="P35:P36"/>
    <mergeCell ref="D39:D40"/>
    <mergeCell ref="E39:E40"/>
    <mergeCell ref="A40:B40"/>
    <mergeCell ref="M41:M42"/>
    <mergeCell ref="N41:N42"/>
    <mergeCell ref="O41:O42"/>
    <mergeCell ref="P41:P42"/>
    <mergeCell ref="N43:N44"/>
    <mergeCell ref="O43:O44"/>
    <mergeCell ref="P43:P44"/>
    <mergeCell ref="M43:M44"/>
    <mergeCell ref="M45:M46"/>
    <mergeCell ref="N45:N46"/>
    <mergeCell ref="O45:O46"/>
    <mergeCell ref="P45:P46"/>
    <mergeCell ref="M47:M48"/>
    <mergeCell ref="N47:N4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3" t="s">
        <v>0</v>
      </c>
      <c r="I1" s="1"/>
      <c r="J1" s="1"/>
      <c r="K1" s="1"/>
      <c r="L1" s="1"/>
      <c r="M1" s="1"/>
      <c r="N1" s="1"/>
      <c r="O1" s="1"/>
      <c r="P1" s="1"/>
    </row>
    <row r="2">
      <c r="A2" s="5" t="s">
        <v>1</v>
      </c>
      <c r="C2" s="8"/>
      <c r="D2" s="8"/>
      <c r="E2" s="8"/>
      <c r="F2" s="10" t="s">
        <v>2</v>
      </c>
      <c r="H2" s="8"/>
      <c r="I2" s="8"/>
      <c r="J2" s="8"/>
      <c r="K2" s="8"/>
      <c r="L2" s="8"/>
      <c r="M2" s="8"/>
      <c r="N2" s="10" t="s">
        <v>3</v>
      </c>
      <c r="P2" s="8"/>
    </row>
    <row r="3">
      <c r="A3" s="12" t="s">
        <v>4</v>
      </c>
      <c r="C3" s="14" t="s">
        <v>5</v>
      </c>
      <c r="D3" s="14" t="s">
        <v>6</v>
      </c>
      <c r="E3" s="14" t="s">
        <v>7</v>
      </c>
      <c r="F3" s="14" t="s">
        <v>8</v>
      </c>
      <c r="G3" s="14" t="s">
        <v>9</v>
      </c>
      <c r="H3" s="14" t="s">
        <v>10</v>
      </c>
      <c r="I3" s="16" t="s">
        <v>11</v>
      </c>
      <c r="K3" s="16" t="s">
        <v>12</v>
      </c>
      <c r="M3" s="14" t="s">
        <v>13</v>
      </c>
      <c r="N3" s="17" t="s">
        <v>14</v>
      </c>
      <c r="O3" s="14" t="s">
        <v>15</v>
      </c>
      <c r="P3" s="18" t="s">
        <v>16</v>
      </c>
    </row>
    <row r="4">
      <c r="A4" s="19" t="str">
        <f>IFERROR(__xludf.DUMMYFUNCTION("GOOGLEFINANCE(""currency:EURUSD"", ""price"",DATE(2020,5,4))"),"Date")</f>
        <v>Date</v>
      </c>
      <c r="B4" s="19" t="str">
        <f>IFERROR(__xludf.DUMMYFUNCTION("""COMPUTED_VALUE"""),"Close")</f>
        <v>Close</v>
      </c>
      <c r="C4" s="21" t="s">
        <v>17</v>
      </c>
      <c r="D4" s="23" t="str">
        <f>IFERROR(__xludf.DUMMYFUNCTION("GOOGLEFINANCE($E4, ""name"")"),"S&amp;P 500 Index")</f>
        <v>S&amp;P 500 Index</v>
      </c>
      <c r="E4" s="25" t="s">
        <v>18</v>
      </c>
      <c r="F4" s="26">
        <v>50000.0</v>
      </c>
      <c r="G4" s="26">
        <v>50000.0</v>
      </c>
      <c r="H4" s="30">
        <f>round(G4/J5,2)</f>
        <v>17.59</v>
      </c>
      <c r="I4" s="32" t="str">
        <f>IFERROR(__xludf.DUMMYFUNCTION("GOOGLEFINANCE($E4,""price"",""5/4/2020"")"),"Date")</f>
        <v>Date</v>
      </c>
      <c r="J4" s="34" t="str">
        <f>IFERROR(__xludf.DUMMYFUNCTION("""COMPUTED_VALUE"""),"Close")</f>
        <v>Close</v>
      </c>
      <c r="K4" s="34" t="str">
        <f>IFERROR(__xludf.DUMMYFUNCTION("GOOGLEFINANCE($E4,""price"",""05/11/2020"")"),"Date")</f>
        <v>Date</v>
      </c>
      <c r="L4" s="34" t="str">
        <f>IFERROR(__xludf.DUMMYFUNCTION("""COMPUTED_VALUE"""),"Close")</f>
        <v>Close</v>
      </c>
      <c r="M4" s="37">
        <f>round(L5*H4,2)</f>
        <v>51544.33</v>
      </c>
      <c r="N4" s="39">
        <f>M4-G4</f>
        <v>1544.33</v>
      </c>
      <c r="O4" s="41">
        <f>M4-G4</f>
        <v>1544.33</v>
      </c>
      <c r="P4" s="43">
        <f> round(N4*100/F4,2)</f>
        <v>3.09</v>
      </c>
    </row>
    <row r="5">
      <c r="A5" s="38">
        <f>IFERROR(__xludf.DUMMYFUNCTION("""COMPUTED_VALUE"""),43955.99861111111)</f>
        <v>43955.99861</v>
      </c>
      <c r="B5" s="40">
        <f>IFERROR(__xludf.DUMMYFUNCTION("""COMPUTED_VALUE"""),1.09041)</f>
        <v>1.09041</v>
      </c>
      <c r="I5" s="45">
        <f>IFERROR(__xludf.DUMMYFUNCTION("""COMPUTED_VALUE"""),43955.66666666667)</f>
        <v>43955.66667</v>
      </c>
      <c r="J5" s="34">
        <f>IFERROR(__xludf.DUMMYFUNCTION("""COMPUTED_VALUE"""),2842.74)</f>
        <v>2842.74</v>
      </c>
      <c r="K5" s="45">
        <f>IFERROR(__xludf.DUMMYFUNCTION("""COMPUTED_VALUE"""),43962.66666666667)</f>
        <v>43962.66667</v>
      </c>
      <c r="L5" s="34">
        <f>IFERROR(__xludf.DUMMYFUNCTION("""COMPUTED_VALUE"""),2930.32)</f>
        <v>2930.32</v>
      </c>
    </row>
    <row r="6">
      <c r="A6" s="19" t="str">
        <f>IFERROR(__xludf.DUMMYFUNCTION("GOOGLEFINANCE(""currency:EURUSD"", ""price"",DATE(2020,5,11))"),"Date")</f>
        <v>Date</v>
      </c>
      <c r="B6" s="19" t="str">
        <f>IFERROR(__xludf.DUMMYFUNCTION("""COMPUTED_VALUE"""),"Close")</f>
        <v>Close</v>
      </c>
      <c r="C6" s="21" t="s">
        <v>17</v>
      </c>
      <c r="D6" s="23" t="str">
        <f>IFERROR(__xludf.DUMMYFUNCTION("GOOGLEFINANCE($E6, ""name"")"),"NASDAQ-100")</f>
        <v>NASDAQ-100</v>
      </c>
      <c r="E6" s="25" t="s">
        <v>19</v>
      </c>
      <c r="F6" s="26">
        <v>50000.0</v>
      </c>
      <c r="G6" s="26">
        <v>50000.0</v>
      </c>
      <c r="H6" s="30">
        <f>round(G6/J7,2)</f>
        <v>5.66</v>
      </c>
      <c r="I6" s="34" t="str">
        <f>IFERROR(__xludf.DUMMYFUNCTION("GOOGLEFINANCE($E6,""price"",""5/4/2020"")"),"Date")</f>
        <v>Date</v>
      </c>
      <c r="J6" s="34" t="str">
        <f>IFERROR(__xludf.DUMMYFUNCTION("""COMPUTED_VALUE"""),"Close")</f>
        <v>Close</v>
      </c>
      <c r="K6" s="34" t="str">
        <f>IFERROR(__xludf.DUMMYFUNCTION("GOOGLEFINANCE($E6,""price"",""05/11/2020"")"),"Date")</f>
        <v>Date</v>
      </c>
      <c r="L6" s="34" t="str">
        <f>IFERROR(__xludf.DUMMYFUNCTION("""COMPUTED_VALUE"""),"Close")</f>
        <v>Close</v>
      </c>
      <c r="M6" s="37">
        <f>round(L7*H6,2)</f>
        <v>52631.89</v>
      </c>
      <c r="N6" s="39">
        <f>M6-G6</f>
        <v>2631.89</v>
      </c>
      <c r="O6" s="41">
        <f>M6-G6</f>
        <v>2631.89</v>
      </c>
      <c r="P6" s="43">
        <f> round(N6*100/F6,2)</f>
        <v>5.26</v>
      </c>
    </row>
    <row r="7">
      <c r="A7" s="38">
        <f>IFERROR(__xludf.DUMMYFUNCTION("""COMPUTED_VALUE"""),43962.99861111111)</f>
        <v>43962.99861</v>
      </c>
      <c r="B7" s="40">
        <f>IFERROR(__xludf.DUMMYFUNCTION("""COMPUTED_VALUE"""),1.08105)</f>
        <v>1.08105</v>
      </c>
      <c r="I7" s="45">
        <f>IFERROR(__xludf.DUMMYFUNCTION("""COMPUTED_VALUE"""),43955.66666666667)</f>
        <v>43955.66667</v>
      </c>
      <c r="J7" s="34">
        <f>IFERROR(__xludf.DUMMYFUNCTION("""COMPUTED_VALUE"""),8834.11)</f>
        <v>8834.11</v>
      </c>
      <c r="K7" s="45">
        <f>IFERROR(__xludf.DUMMYFUNCTION("""COMPUTED_VALUE"""),43962.66666666667)</f>
        <v>43962.66667</v>
      </c>
      <c r="L7" s="34">
        <f>IFERROR(__xludf.DUMMYFUNCTION("""COMPUTED_VALUE"""),9298.92)</f>
        <v>9298.92</v>
      </c>
    </row>
    <row r="8">
      <c r="A8" s="12" t="s">
        <v>20</v>
      </c>
      <c r="C8" s="21" t="s">
        <v>21</v>
      </c>
      <c r="D8" s="23" t="str">
        <f>IFERROR(__xludf.DUMMYFUNCTION("GOOGLEFINANCE(""indexdb:DAX"", ""name"")"),"DAX PERFORMANCE-INDEX")</f>
        <v>DAX PERFORMANCE-INDEX</v>
      </c>
      <c r="E8" s="25" t="s">
        <v>22</v>
      </c>
      <c r="F8" s="26">
        <v>50000.0</v>
      </c>
      <c r="G8" s="26">
        <f>50000/B5</f>
        <v>45854.31168</v>
      </c>
      <c r="H8" s="30">
        <f>round(G8/J9,2)</f>
        <v>4.38</v>
      </c>
      <c r="I8" s="46" t="str">
        <f>IFERROR(__xludf.DUMMYFUNCTION("GOOGLEFINANCE(""indexdb:DAX"",""price"",""5/4/2020"")"),"Date")</f>
        <v>Date</v>
      </c>
      <c r="J8" s="34" t="str">
        <f>IFERROR(__xludf.DUMMYFUNCTION("""COMPUTED_VALUE"""),"Close")</f>
        <v>Close</v>
      </c>
      <c r="K8" s="34" t="str">
        <f>IFERROR(__xludf.DUMMYFUNCTION("GOOGLEFINANCE(""indexdb:DAX"",""price"",""5/11/2020"")"),"Date")</f>
        <v>Date</v>
      </c>
      <c r="L8" s="34" t="str">
        <f>IFERROR(__xludf.DUMMYFUNCTION("""COMPUTED_VALUE"""),"Close")</f>
        <v>Close</v>
      </c>
      <c r="M8" s="37">
        <f>round(L9*H8,2)</f>
        <v>47413.46</v>
      </c>
      <c r="N8" s="39">
        <f>O8*B7</f>
        <v>1685.51729</v>
      </c>
      <c r="O8" s="41">
        <f>M8-G8</f>
        <v>1559.148319</v>
      </c>
      <c r="P8" s="43">
        <f> round(N8*100/F8,2)</f>
        <v>3.37</v>
      </c>
    </row>
    <row r="9">
      <c r="A9" s="47" t="str">
        <f>IFERROR(__xludf.DUMMYFUNCTION("GOOGLEFINANCE(""currency:JPYUSD"", ""price"",DATE(2020,5,4))"),"Date")</f>
        <v>Date</v>
      </c>
      <c r="B9" s="47" t="str">
        <f>IFERROR(__xludf.DUMMYFUNCTION("""COMPUTED_VALUE"""),"Close")</f>
        <v>Close</v>
      </c>
      <c r="I9" s="45">
        <f>IFERROR(__xludf.DUMMYFUNCTION("""COMPUTED_VALUE"""),43955.83333333333)</f>
        <v>43955.83333</v>
      </c>
      <c r="J9" s="34">
        <f>IFERROR(__xludf.DUMMYFUNCTION("""COMPUTED_VALUE"""),10466.8)</f>
        <v>10466.8</v>
      </c>
      <c r="K9" s="45">
        <f>IFERROR(__xludf.DUMMYFUNCTION("""COMPUTED_VALUE"""),43962.83333333333)</f>
        <v>43962.83333</v>
      </c>
      <c r="L9" s="34">
        <f>IFERROR(__xludf.DUMMYFUNCTION("""COMPUTED_VALUE"""),10824.99)</f>
        <v>10824.99</v>
      </c>
    </row>
    <row r="10">
      <c r="A10" s="50">
        <f>IFERROR(__xludf.DUMMYFUNCTION("""COMPUTED_VALUE"""),43955.99861111111)</f>
        <v>43955.99861</v>
      </c>
      <c r="B10" s="47">
        <f>IFERROR(__xludf.DUMMYFUNCTION("""COMPUTED_VALUE"""),0.009372)</f>
        <v>0.009372</v>
      </c>
      <c r="C10" s="21" t="s">
        <v>23</v>
      </c>
      <c r="D10" s="23" t="str">
        <f>IFERROR(__xludf.DUMMYFUNCTION("GOOGLEFINANCE($E10, ""name"")"),"Nikkei 225")</f>
        <v>Nikkei 225</v>
      </c>
      <c r="E10" s="25" t="s">
        <v>24</v>
      </c>
      <c r="F10" s="26">
        <v>20000.0</v>
      </c>
      <c r="G10" s="26">
        <f>20000/B10</f>
        <v>2134016.219</v>
      </c>
      <c r="H10" s="30">
        <f>round(G10/J11,2)</f>
        <v>108.77</v>
      </c>
      <c r="I10" s="34" t="str">
        <f>IFERROR(__xludf.DUMMYFUNCTION("GOOGLEFINANCE($E10,""price"",""4/30/2020"")"),"Date")</f>
        <v>Date</v>
      </c>
      <c r="J10" s="34" t="str">
        <f>IFERROR(__xludf.DUMMYFUNCTION("""COMPUTED_VALUE"""),"Close")</f>
        <v>Close</v>
      </c>
      <c r="K10" s="34" t="str">
        <f>IFERROR(__xludf.DUMMYFUNCTION("GOOGLEFINANCE($E10,""price"",""05/10/2020"")"),"Date")</f>
        <v>Date</v>
      </c>
      <c r="L10" s="34" t="str">
        <f>IFERROR(__xludf.DUMMYFUNCTION("""COMPUTED_VALUE"""),"Close")</f>
        <v>Close</v>
      </c>
      <c r="M10" s="37">
        <f>round(L11*H10,2)</f>
        <v>2217892.09</v>
      </c>
      <c r="N10" s="39">
        <f>O10*B12</f>
        <v>779.7939771</v>
      </c>
      <c r="O10" s="41">
        <f>M10-G10</f>
        <v>83875.87148</v>
      </c>
      <c r="P10" s="43">
        <f> round(N10*100/F10,2)</f>
        <v>3.9</v>
      </c>
    </row>
    <row r="11">
      <c r="A11" s="47" t="str">
        <f>IFERROR(__xludf.DUMMYFUNCTION("GOOGLEFINANCE(""currency:JPYUSD"", ""price"",DATE(2020,5,11))"),"Date")</f>
        <v>Date</v>
      </c>
      <c r="B11" s="47" t="str">
        <f>IFERROR(__xludf.DUMMYFUNCTION("""COMPUTED_VALUE"""),"Close")</f>
        <v>Close</v>
      </c>
      <c r="I11" s="45">
        <f>IFERROR(__xludf.DUMMYFUNCTION("""COMPUTED_VALUE"""),43952.625)</f>
        <v>43952.625</v>
      </c>
      <c r="J11" s="34">
        <f>IFERROR(__xludf.DUMMYFUNCTION("""COMPUTED_VALUE"""),19619.35)</f>
        <v>19619.35</v>
      </c>
      <c r="K11" s="45">
        <f>IFERROR(__xludf.DUMMYFUNCTION("""COMPUTED_VALUE"""),43962.625)</f>
        <v>43962.625</v>
      </c>
      <c r="L11" s="34">
        <f>IFERROR(__xludf.DUMMYFUNCTION("""COMPUTED_VALUE"""),20390.66)</f>
        <v>20390.66</v>
      </c>
    </row>
    <row r="12">
      <c r="A12" s="50">
        <f>IFERROR(__xludf.DUMMYFUNCTION("""COMPUTED_VALUE"""),43962.99861111111)</f>
        <v>43962.99861</v>
      </c>
      <c r="B12" s="47">
        <f>IFERROR(__xludf.DUMMYFUNCTION("""COMPUTED_VALUE"""),0.009297)</f>
        <v>0.009297</v>
      </c>
      <c r="C12" s="21" t="s">
        <v>25</v>
      </c>
      <c r="D12" s="25" t="s">
        <v>26</v>
      </c>
      <c r="E12" s="51" t="s">
        <v>27</v>
      </c>
      <c r="F12" s="26">
        <v>20000.0</v>
      </c>
      <c r="G12" s="26">
        <f>20000/B15</f>
        <v>141250.0203</v>
      </c>
      <c r="H12" s="30">
        <f>round(G12/J13,2)</f>
        <v>49.38</v>
      </c>
      <c r="I12" s="35" t="s">
        <v>28</v>
      </c>
      <c r="J12" s="35" t="s">
        <v>29</v>
      </c>
      <c r="K12" s="35" t="s">
        <v>28</v>
      </c>
      <c r="L12" s="35" t="s">
        <v>29</v>
      </c>
      <c r="M12" s="37">
        <f>round(L13*H12,2)</f>
        <v>142980.28</v>
      </c>
      <c r="N12" s="39">
        <f>O12*B17</f>
        <v>243.732859</v>
      </c>
      <c r="O12" s="41">
        <f>M12-G12</f>
        <v>1730.259695</v>
      </c>
      <c r="P12" s="43">
        <f> round(N12*100/F12,2)</f>
        <v>1.22</v>
      </c>
    </row>
    <row r="13">
      <c r="A13" s="12" t="s">
        <v>30</v>
      </c>
      <c r="I13" s="53">
        <v>43951.666666666664</v>
      </c>
      <c r="J13" s="35">
        <v>2860.41</v>
      </c>
      <c r="K13" s="63">
        <v>43962.625</v>
      </c>
      <c r="L13" s="35">
        <v>2895.51</v>
      </c>
    </row>
    <row r="14">
      <c r="A14" s="54" t="str">
        <f>IFERROR(__xludf.DUMMYFUNCTION("GOOGLEFINANCE(""currency:CNYUSD"", ""price"",DATE(2020,5,4))"),"Date")</f>
        <v>Date</v>
      </c>
      <c r="B14" s="47" t="str">
        <f>IFERROR(__xludf.DUMMYFUNCTION("""COMPUTED_VALUE"""),"Close")</f>
        <v>Close</v>
      </c>
      <c r="C14" s="21" t="s">
        <v>31</v>
      </c>
      <c r="D14" s="56" t="str">
        <f>IFERROR(__xludf.DUMMYFUNCTION("GOOGLEFINANCE($E14, ""name"")"),"S&amp;P GSCI Crude Oil ER")</f>
        <v>S&amp;P GSCI Crude Oil ER</v>
      </c>
      <c r="E14" s="25" t="s">
        <v>32</v>
      </c>
      <c r="F14" s="26">
        <v>10000.0</v>
      </c>
      <c r="G14" s="26">
        <v>10000.0</v>
      </c>
      <c r="H14" s="30">
        <f>round(G14/J15,2)</f>
        <v>268.82</v>
      </c>
      <c r="I14" s="35" t="s">
        <v>28</v>
      </c>
      <c r="J14" s="35" t="s">
        <v>29</v>
      </c>
      <c r="K14" s="35" t="s">
        <v>28</v>
      </c>
      <c r="L14" s="35" t="s">
        <v>29</v>
      </c>
      <c r="M14" s="37">
        <f>round(L15*H14,2)</f>
        <v>11000.11</v>
      </c>
      <c r="N14" s="58">
        <f>O14</f>
        <v>1000.11</v>
      </c>
      <c r="O14" s="41">
        <f>M14-G14</f>
        <v>1000.11</v>
      </c>
      <c r="P14" s="43">
        <f> round(N14*100/F14,2)</f>
        <v>10</v>
      </c>
    </row>
    <row r="15">
      <c r="A15" s="50">
        <f>IFERROR(__xludf.DUMMYFUNCTION("""COMPUTED_VALUE"""),43955.99861111111)</f>
        <v>43955.99861</v>
      </c>
      <c r="B15" s="47">
        <f>IFERROR(__xludf.DUMMYFUNCTION("""COMPUTED_VALUE"""),0.1415929)</f>
        <v>0.1415929</v>
      </c>
      <c r="I15" s="35" t="s">
        <v>33</v>
      </c>
      <c r="J15" s="35">
        <v>37.2</v>
      </c>
      <c r="K15" s="48">
        <v>43962.625</v>
      </c>
      <c r="L15" s="35">
        <v>40.92</v>
      </c>
    </row>
    <row r="16">
      <c r="A16" s="47" t="str">
        <f>IFERROR(__xludf.DUMMYFUNCTION("GOOGLEFINANCE(""currency:CNYUSD"", ""price"",DATE(2020,5,11))"),"Date")</f>
        <v>Date</v>
      </c>
      <c r="B16" s="47" t="str">
        <f>IFERROR(__xludf.DUMMYFUNCTION("""COMPUTED_VALUE"""),"Close")</f>
        <v>Close</v>
      </c>
      <c r="C16" s="21" t="s">
        <v>31</v>
      </c>
      <c r="D16" s="56" t="str">
        <f>IFERROR(__xludf.DUMMYFUNCTION("GOOGLEFINANCE($E16, ""name"")"),"S&amp;P GSCI Gold ER")</f>
        <v>S&amp;P GSCI Gold ER</v>
      </c>
      <c r="E16" s="25" t="s">
        <v>34</v>
      </c>
      <c r="F16" s="26">
        <v>50000.0</v>
      </c>
      <c r="G16" s="26">
        <v>50000.0</v>
      </c>
      <c r="H16" s="30">
        <f>round(G16/J17,2)</f>
        <v>382.18</v>
      </c>
      <c r="I16" s="35" t="s">
        <v>28</v>
      </c>
      <c r="J16" s="35" t="s">
        <v>29</v>
      </c>
      <c r="K16" s="35" t="s">
        <v>28</v>
      </c>
      <c r="L16" s="35" t="s">
        <v>29</v>
      </c>
      <c r="M16" s="37">
        <f>round(L17*H16,2)</f>
        <v>49580.21</v>
      </c>
      <c r="N16" s="100">
        <f>O16</f>
        <v>-419.79</v>
      </c>
      <c r="O16" s="64">
        <f>M16-G16</f>
        <v>-419.79</v>
      </c>
      <c r="P16" s="57">
        <f> round(N16*100/F16,2)</f>
        <v>-0.84</v>
      </c>
    </row>
    <row r="17">
      <c r="A17" s="50">
        <f>IFERROR(__xludf.DUMMYFUNCTION("""COMPUTED_VALUE"""),43962.99861111111)</f>
        <v>43962.99861</v>
      </c>
      <c r="B17" s="47">
        <f>IFERROR(__xludf.DUMMYFUNCTION("""COMPUTED_VALUE"""),0.1408649)</f>
        <v>0.1408649</v>
      </c>
      <c r="I17" s="63">
        <v>43955.666666666664</v>
      </c>
      <c r="J17" s="35">
        <v>130.83</v>
      </c>
      <c r="K17" s="48">
        <v>43962.625</v>
      </c>
      <c r="L17" s="35">
        <v>129.73</v>
      </c>
    </row>
    <row r="18">
      <c r="A18" s="47"/>
      <c r="B18" s="47"/>
      <c r="C18" s="21" t="s">
        <v>35</v>
      </c>
      <c r="D18" s="56" t="str">
        <f>IFERROR(__xludf.DUMMYFUNCTION("GOOGLEFINANCE($E18, ""name"")"),"iShares Barclays 20+ Yr Treas.Bond")</f>
        <v>iShares Barclays 20+ Yr Treas.Bond</v>
      </c>
      <c r="E18" s="25" t="s">
        <v>36</v>
      </c>
      <c r="F18" s="26">
        <v>30000.0</v>
      </c>
      <c r="G18" s="26">
        <v>30000.0</v>
      </c>
      <c r="H18" s="30">
        <f>round(G18/J19,2)</f>
        <v>179.47</v>
      </c>
      <c r="I18" s="34" t="str">
        <f>IFERROR(__xludf.DUMMYFUNCTION("GOOGLEFINANCE($E18,""price"",""5/4/2020"")"),"Date")</f>
        <v>Date</v>
      </c>
      <c r="J18" s="34" t="str">
        <f>IFERROR(__xludf.DUMMYFUNCTION("""COMPUTED_VALUE"""),"Close")</f>
        <v>Close</v>
      </c>
      <c r="K18" s="34" t="str">
        <f>IFERROR(__xludf.DUMMYFUNCTION("GOOGLEFINANCE($E18,""price"",""05/11/2020"")"),"Date")</f>
        <v>Date</v>
      </c>
      <c r="L18" s="34" t="str">
        <f>IFERROR(__xludf.DUMMYFUNCTION("""COMPUTED_VALUE"""),"Close")</f>
        <v>Close</v>
      </c>
      <c r="M18" s="37">
        <f>round(L19*H18,2)</f>
        <v>29199.77</v>
      </c>
      <c r="N18" s="64">
        <f>O18</f>
        <v>-800.23</v>
      </c>
      <c r="O18" s="64">
        <f>M18-G18</f>
        <v>-800.23</v>
      </c>
      <c r="P18" s="57">
        <f> round(N18*100/F18,2)</f>
        <v>-2.67</v>
      </c>
    </row>
    <row r="19">
      <c r="A19" s="47"/>
      <c r="B19" s="47"/>
      <c r="I19" s="45">
        <f>IFERROR(__xludf.DUMMYFUNCTION("""COMPUTED_VALUE"""),43955.66666666667)</f>
        <v>43955.66667</v>
      </c>
      <c r="J19" s="34">
        <f>IFERROR(__xludf.DUMMYFUNCTION("""COMPUTED_VALUE"""),167.16)</f>
        <v>167.16</v>
      </c>
      <c r="K19" s="45">
        <f>IFERROR(__xludf.DUMMYFUNCTION("""COMPUTED_VALUE"""),43962.66666666667)</f>
        <v>43962.66667</v>
      </c>
      <c r="L19" s="34">
        <f>IFERROR(__xludf.DUMMYFUNCTION("""COMPUTED_VALUE"""),162.7)</f>
        <v>162.7</v>
      </c>
    </row>
    <row r="20">
      <c r="A20" s="47"/>
      <c r="B20" s="47"/>
      <c r="C20" s="21" t="s">
        <v>35</v>
      </c>
      <c r="D20" s="56" t="str">
        <f>IFERROR(__xludf.DUMMYFUNCTION("GOOGLEFINANCE($E20, ""name"")"),"iShares iBoxx $ High Yid Corp Bond")</f>
        <v>iShares iBoxx $ High Yid Corp Bond</v>
      </c>
      <c r="E20" s="25" t="s">
        <v>37</v>
      </c>
      <c r="F20" s="26">
        <v>20000.0</v>
      </c>
      <c r="G20" s="26">
        <v>20000.0</v>
      </c>
      <c r="H20" s="30">
        <f>round(G20/J21,2)</f>
        <v>254.55</v>
      </c>
      <c r="I20" s="34" t="str">
        <f>IFERROR(__xludf.DUMMYFUNCTION("GOOGLEFINANCE($E20,""price"",""5/4/2020"")"),"Date")</f>
        <v>Date</v>
      </c>
      <c r="J20" s="34" t="str">
        <f>IFERROR(__xludf.DUMMYFUNCTION("""COMPUTED_VALUE"""),"Close")</f>
        <v>Close</v>
      </c>
      <c r="K20" s="34" t="str">
        <f>IFERROR(__xludf.DUMMYFUNCTION("GOOGLEFINANCE($E20,""price"",""05/11/2020"")"),"Date")</f>
        <v>Date</v>
      </c>
      <c r="L20" s="34" t="str">
        <f>IFERROR(__xludf.DUMMYFUNCTION("""COMPUTED_VALUE"""),"Close")</f>
        <v>Close</v>
      </c>
      <c r="M20" s="37">
        <f>round(L21*H20,2)</f>
        <v>20208.72</v>
      </c>
      <c r="N20" s="65">
        <f>O20</f>
        <v>208.72</v>
      </c>
      <c r="O20" s="41">
        <f>M20-G20</f>
        <v>208.72</v>
      </c>
      <c r="P20" s="66">
        <f> round(N20*100/F20,2)</f>
        <v>1.04</v>
      </c>
    </row>
    <row r="21">
      <c r="A21" s="47"/>
      <c r="B21" s="47"/>
      <c r="I21" s="45">
        <f>IFERROR(__xludf.DUMMYFUNCTION("""COMPUTED_VALUE"""),43955.66666666667)</f>
        <v>43955.66667</v>
      </c>
      <c r="J21" s="34">
        <f>IFERROR(__xludf.DUMMYFUNCTION("""COMPUTED_VALUE"""),78.57)</f>
        <v>78.57</v>
      </c>
      <c r="K21" s="45">
        <f>IFERROR(__xludf.DUMMYFUNCTION("""COMPUTED_VALUE"""),43962.66666666667)</f>
        <v>43962.66667</v>
      </c>
      <c r="L21" s="34">
        <f>IFERROR(__xludf.DUMMYFUNCTION("""COMPUTED_VALUE"""),79.39)</f>
        <v>79.39</v>
      </c>
    </row>
    <row r="22">
      <c r="A22" s="47"/>
      <c r="B22" s="47"/>
      <c r="C22" s="21" t="s">
        <v>38</v>
      </c>
      <c r="D22" s="67" t="s">
        <v>38</v>
      </c>
      <c r="E22" s="25" t="s">
        <v>39</v>
      </c>
      <c r="F22" s="26">
        <v>700000.0</v>
      </c>
      <c r="G22" s="26">
        <v>700000.0</v>
      </c>
      <c r="H22" s="68" t="s">
        <v>39</v>
      </c>
      <c r="I22" s="35" t="s">
        <v>39</v>
      </c>
      <c r="K22" s="35" t="s">
        <v>39</v>
      </c>
      <c r="M22" s="21">
        <f>round(G22*(1+ 7/36500),2)</f>
        <v>700134.25</v>
      </c>
      <c r="N22" s="69">
        <v>134.0</v>
      </c>
      <c r="O22" s="41">
        <f>M22-G22</f>
        <v>134.25</v>
      </c>
      <c r="P22" s="66">
        <f> round(N22*100/F22,2)</f>
        <v>0.02</v>
      </c>
    </row>
    <row r="23">
      <c r="A23" s="47"/>
      <c r="B23" s="47"/>
    </row>
    <row r="24">
      <c r="A24" s="47"/>
      <c r="B24" s="47"/>
      <c r="C24" s="70" t="s">
        <v>40</v>
      </c>
      <c r="D24" s="71"/>
      <c r="E24" s="71"/>
      <c r="F24" s="73">
        <f>SUM(F4:F23)</f>
        <v>1000000</v>
      </c>
      <c r="G24" s="71"/>
      <c r="H24" s="71"/>
      <c r="I24" s="71"/>
      <c r="J24" s="71"/>
      <c r="K24" s="71"/>
      <c r="L24" s="71"/>
      <c r="M24" s="71"/>
      <c r="N24" s="74">
        <f>SUM(N4:N23)</f>
        <v>7008.074126</v>
      </c>
      <c r="O24" s="76"/>
      <c r="P24" s="76">
        <f>round(SUM(MULTIPLY(F4,P4/F24),MULTIPLY(F6,P6/F24),MULTIPLY(F8,P8/F24),MULTIPLY(F10,P10/F24),MULTIPLY(F12,P12/F24),MULTIPLY(F14,P14/F24),MULTIPLY(F16,P16/F24),MULTIPLY(F18,P18/F24),MULTIPLY(F20,P20/F24),MULTIPLY(F22,P22/F24)),2)</f>
        <v>0.7</v>
      </c>
    </row>
    <row r="26">
      <c r="K26" s="69" t="s">
        <v>43</v>
      </c>
      <c r="M26" s="103">
        <f>N24</f>
        <v>7008.074126</v>
      </c>
    </row>
    <row r="27">
      <c r="K27" s="104" t="s">
        <v>44</v>
      </c>
      <c r="M27" s="104">
        <v>0.0</v>
      </c>
    </row>
    <row r="28">
      <c r="K28" s="69" t="s">
        <v>45</v>
      </c>
      <c r="M28" s="41">
        <f>F24 + N24 + M27</f>
        <v>1007008.074</v>
      </c>
    </row>
  </sheetData>
  <mergeCells count="114">
    <mergeCell ref="F1:H1"/>
    <mergeCell ref="A2:B2"/>
    <mergeCell ref="F2:G2"/>
    <mergeCell ref="N2:O2"/>
    <mergeCell ref="A3:B3"/>
    <mergeCell ref="I3:J3"/>
    <mergeCell ref="K3:L3"/>
    <mergeCell ref="N4:N5"/>
    <mergeCell ref="O4:O5"/>
    <mergeCell ref="P4:P5"/>
    <mergeCell ref="C4:C5"/>
    <mergeCell ref="D4:D5"/>
    <mergeCell ref="E4:E5"/>
    <mergeCell ref="F4:F5"/>
    <mergeCell ref="G4:G5"/>
    <mergeCell ref="H4:H5"/>
    <mergeCell ref="M4:M5"/>
    <mergeCell ref="D6:D7"/>
    <mergeCell ref="E6:E7"/>
    <mergeCell ref="F6:F7"/>
    <mergeCell ref="G6:G7"/>
    <mergeCell ref="H6:H7"/>
    <mergeCell ref="M6:M7"/>
    <mergeCell ref="A8:B8"/>
    <mergeCell ref="C6:C7"/>
    <mergeCell ref="C8:C9"/>
    <mergeCell ref="D8:D9"/>
    <mergeCell ref="E8:E9"/>
    <mergeCell ref="F8:F9"/>
    <mergeCell ref="G8:G9"/>
    <mergeCell ref="H8:H9"/>
    <mergeCell ref="M10:M11"/>
    <mergeCell ref="N10:N11"/>
    <mergeCell ref="O10:O11"/>
    <mergeCell ref="P10:P11"/>
    <mergeCell ref="N6:N7"/>
    <mergeCell ref="O6:O7"/>
    <mergeCell ref="P6:P7"/>
    <mergeCell ref="M8:M9"/>
    <mergeCell ref="N8:N9"/>
    <mergeCell ref="O8:O9"/>
    <mergeCell ref="P8:P9"/>
    <mergeCell ref="N18:N19"/>
    <mergeCell ref="O18:O19"/>
    <mergeCell ref="P18:P19"/>
    <mergeCell ref="C18:C19"/>
    <mergeCell ref="D18:D19"/>
    <mergeCell ref="E18:E19"/>
    <mergeCell ref="F18:F19"/>
    <mergeCell ref="G18:G19"/>
    <mergeCell ref="H18:H19"/>
    <mergeCell ref="M18:M19"/>
    <mergeCell ref="N20:N21"/>
    <mergeCell ref="O20:O21"/>
    <mergeCell ref="P20:P21"/>
    <mergeCell ref="C20:C21"/>
    <mergeCell ref="D20:D21"/>
    <mergeCell ref="E20:E21"/>
    <mergeCell ref="F20:F21"/>
    <mergeCell ref="G20:G21"/>
    <mergeCell ref="H20:H21"/>
    <mergeCell ref="M20:M21"/>
    <mergeCell ref="F12:F13"/>
    <mergeCell ref="G12:G13"/>
    <mergeCell ref="M12:M13"/>
    <mergeCell ref="N12:N13"/>
    <mergeCell ref="O12:O13"/>
    <mergeCell ref="P12:P13"/>
    <mergeCell ref="C10:C11"/>
    <mergeCell ref="D10:D11"/>
    <mergeCell ref="E10:E11"/>
    <mergeCell ref="F10:F11"/>
    <mergeCell ref="G10:G11"/>
    <mergeCell ref="H10:H11"/>
    <mergeCell ref="C12:C13"/>
    <mergeCell ref="H12:H13"/>
    <mergeCell ref="G14:G15"/>
    <mergeCell ref="H14:H15"/>
    <mergeCell ref="M14:M15"/>
    <mergeCell ref="N14:N15"/>
    <mergeCell ref="O14:O15"/>
    <mergeCell ref="P14:P15"/>
    <mergeCell ref="D12:D13"/>
    <mergeCell ref="E12:E13"/>
    <mergeCell ref="A13:B13"/>
    <mergeCell ref="C14:C15"/>
    <mergeCell ref="D14:D15"/>
    <mergeCell ref="E14:E15"/>
    <mergeCell ref="F14:F15"/>
    <mergeCell ref="N16:N17"/>
    <mergeCell ref="O16:O17"/>
    <mergeCell ref="P16:P17"/>
    <mergeCell ref="C16:C17"/>
    <mergeCell ref="D16:D17"/>
    <mergeCell ref="E16:E17"/>
    <mergeCell ref="F16:F17"/>
    <mergeCell ref="G16:G17"/>
    <mergeCell ref="H16:H17"/>
    <mergeCell ref="M16:M17"/>
    <mergeCell ref="K22:L23"/>
    <mergeCell ref="M22:M23"/>
    <mergeCell ref="N22:N23"/>
    <mergeCell ref="O22:O23"/>
    <mergeCell ref="P22:P23"/>
    <mergeCell ref="K26:L26"/>
    <mergeCell ref="K27:L27"/>
    <mergeCell ref="K28:L28"/>
    <mergeCell ref="C22:C23"/>
    <mergeCell ref="D22:D23"/>
    <mergeCell ref="E22:E23"/>
    <mergeCell ref="F22:F23"/>
    <mergeCell ref="G22:G23"/>
    <mergeCell ref="H22:H23"/>
    <mergeCell ref="I22:J23"/>
  </mergeCells>
  <drawing r:id="rId1"/>
</worksheet>
</file>