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OW5" sheetId="1" r:id="rId4"/>
    <sheet state="visible" name="EOW4" sheetId="2" r:id="rId5"/>
    <sheet state="visible" name="EOW3" sheetId="3" r:id="rId6"/>
    <sheet state="visible" name="EOW 2" sheetId="4" r:id="rId7"/>
    <sheet state="visible" name="EOW 1" sheetId="5" r:id="rId8"/>
  </sheets>
  <definedNames/>
  <calcPr/>
</workbook>
</file>

<file path=xl/sharedStrings.xml><?xml version="1.0" encoding="utf-8"?>
<sst xmlns="http://schemas.openxmlformats.org/spreadsheetml/2006/main" count="891" uniqueCount="49">
  <si>
    <t>WEEK 1 (MAY 4 - MAY 11)</t>
  </si>
  <si>
    <t>FX</t>
  </si>
  <si>
    <t>Money Invested</t>
  </si>
  <si>
    <t>Change</t>
  </si>
  <si>
    <t>EUR/USD</t>
  </si>
  <si>
    <t>Type</t>
  </si>
  <si>
    <t>Name</t>
  </si>
  <si>
    <t>Ticker</t>
  </si>
  <si>
    <t>USD</t>
  </si>
  <si>
    <t>Local</t>
  </si>
  <si>
    <t>No. of Stocks</t>
  </si>
  <si>
    <t>Buy Price</t>
  </si>
  <si>
    <t>Recent Price</t>
  </si>
  <si>
    <t>Recent value</t>
  </si>
  <si>
    <t>$ change</t>
  </si>
  <si>
    <t>local change</t>
  </si>
  <si>
    <t>% change (usd)</t>
  </si>
  <si>
    <t>US Index</t>
  </si>
  <si>
    <t>.INX</t>
  </si>
  <si>
    <t>NDX</t>
  </si>
  <si>
    <t>JPY/USD</t>
  </si>
  <si>
    <t>German Index</t>
  </si>
  <si>
    <t>DAX</t>
  </si>
  <si>
    <t>Japanese Index</t>
  </si>
  <si>
    <t>NI225</t>
  </si>
  <si>
    <t>Chinese Index</t>
  </si>
  <si>
    <t>Shanghai Composite Index</t>
  </si>
  <si>
    <t>SHCOMP</t>
  </si>
  <si>
    <t>Date</t>
  </si>
  <si>
    <t>Close</t>
  </si>
  <si>
    <t>CNY/USD</t>
  </si>
  <si>
    <t>US Commodity</t>
  </si>
  <si>
    <t>SPGSCLP</t>
  </si>
  <si>
    <t>5/42020 16:00:00</t>
  </si>
  <si>
    <t>SPGSGCP</t>
  </si>
  <si>
    <t>US ETF</t>
  </si>
  <si>
    <t>TLT</t>
  </si>
  <si>
    <t>HYG</t>
  </si>
  <si>
    <t>Cash</t>
  </si>
  <si>
    <t>NA</t>
  </si>
  <si>
    <t>Total</t>
  </si>
  <si>
    <t>WEEK 2 (MAY 11 - MAY 18)</t>
  </si>
  <si>
    <t>New Money Invested</t>
  </si>
  <si>
    <t>WEEK 3 (MAY 18 - MAY 25)</t>
  </si>
  <si>
    <t>WEEK 4 (MAY 25 - JUNE 1)</t>
  </si>
  <si>
    <t>WEEK 5 (JUNE 1 - JUNE 8)</t>
  </si>
  <si>
    <t>Profit/Loss for the week</t>
  </si>
  <si>
    <t>Brokerage costs</t>
  </si>
  <si>
    <t>Total Value of Portfolio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</si>
</sst>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"/>
  </numFmts>
  <fonts count="9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name val="Arial"/>
    </font>
    <font>
      <sz val="11.0"/>
      <color rgb="FF000000"/>
      <name val="Arial"/>
    </font>
    <font>
      <b/>
      <sz val="11.0"/>
      <color rgb="FF000000"/>
      <name val="Inconsolata"/>
    </font>
  </fonts>
  <fills count="1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4" fontId="1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3" xfId="0" applyAlignment="1" applyFill="1" applyFont="1" applyNumberFormat="1">
      <alignment horizontal="right" vertical="bottom"/>
    </xf>
    <xf borderId="0" fillId="8" fontId="1" numFmtId="0" xfId="0" applyAlignment="1" applyFont="1">
      <alignment horizontal="right" vertical="bottom"/>
    </xf>
    <xf borderId="0" fillId="9" fontId="4" numFmtId="0" xfId="0" applyAlignment="1" applyFill="1" applyFont="1">
      <alignment vertical="bottom"/>
    </xf>
    <xf borderId="0" fillId="9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10" fontId="1" numFmtId="3" xfId="0" applyAlignment="1" applyFill="1" applyFont="1" applyNumberFormat="1">
      <alignment horizontal="right" vertical="bottom"/>
    </xf>
    <xf borderId="0" fillId="10" fontId="1" numFmtId="0" xfId="0" applyAlignment="1" applyFon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9" fontId="1" numFmtId="0" xfId="0" applyAlignment="1" applyFon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11" fontId="1" numFmtId="3" xfId="0" applyAlignment="1" applyFill="1" applyFont="1" applyNumberFormat="1">
      <alignment horizontal="right" vertical="bottom"/>
    </xf>
    <xf borderId="0" fillId="11" fontId="1" numFmtId="0" xfId="0" applyAlignment="1" applyFont="1">
      <alignment horizontal="right" vertical="bottom"/>
    </xf>
    <xf borderId="0" fillId="9" fontId="5" numFmtId="164" xfId="0" applyAlignment="1" applyFont="1" applyNumberFormat="1">
      <alignment horizontal="right" vertical="bottom"/>
    </xf>
    <xf borderId="0" fillId="9" fontId="6" numFmtId="164" xfId="0" applyAlignment="1" applyFont="1" applyNumberFormat="1">
      <alignment horizontal="right" vertical="bottom"/>
    </xf>
    <xf borderId="0" fillId="9" fontId="6" numFmtId="0" xfId="0" applyAlignment="1" applyFont="1">
      <alignment horizontal="right" readingOrder="0" vertical="bottom"/>
    </xf>
    <xf borderId="0" fillId="5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12" fontId="1" numFmtId="3" xfId="0" applyAlignment="1" applyFill="1" applyFont="1" applyNumberFormat="1">
      <alignment horizontal="right" vertical="bottom"/>
    </xf>
    <xf borderId="0" fillId="12" fontId="1" numFmtId="0" xfId="0" applyAlignment="1" applyFont="1">
      <alignment horizontal="right" vertical="bottom"/>
    </xf>
    <xf borderId="0" fillId="13" fontId="1" numFmtId="3" xfId="0" applyAlignment="1" applyFill="1" applyFont="1" applyNumberFormat="1">
      <alignment horizontal="right" vertical="bottom"/>
    </xf>
    <xf borderId="0" fillId="13" fontId="1" numFmtId="0" xfId="0" applyAlignment="1" applyFont="1">
      <alignment horizontal="right" vertical="bottom"/>
    </xf>
    <xf borderId="0" fillId="10" fontId="1" numFmtId="2" xfId="0" applyAlignment="1" applyFont="1" applyNumberFormat="1">
      <alignment horizontal="right" vertical="bottom"/>
    </xf>
    <xf borderId="0" fillId="7" fontId="7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8" fontId="3" numFmtId="3" xfId="0" applyAlignment="1" applyFont="1" applyNumberFormat="1">
      <alignment horizontal="right" vertical="bottom"/>
    </xf>
    <xf borderId="0" fillId="14" fontId="8" numFmtId="165" xfId="0" applyAlignment="1" applyFill="1" applyFont="1" applyNumberFormat="1">
      <alignment horizontal="right" vertical="bottom"/>
    </xf>
    <xf borderId="0" fillId="1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9" fontId="6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2" fontId="2" numFmtId="0" xfId="0" applyAlignment="1" applyFont="1">
      <alignment horizontal="center" readingOrder="0" vertical="bottom"/>
    </xf>
    <xf borderId="0" fillId="8" fontId="1" numFmtId="3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9" fontId="1" numFmtId="164" xfId="0" applyAlignment="1" applyFont="1" applyNumberFormat="1">
      <alignment horizontal="right" readingOrder="0" vertical="bottom"/>
    </xf>
    <xf borderId="0" fillId="9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horizontal="right" readingOrder="0" vertical="bottom"/>
    </xf>
    <xf borderId="0" fillId="11" fontId="4" numFmtId="0" xfId="0" applyFont="1"/>
    <xf borderId="0" fillId="11" fontId="1" numFmtId="0" xfId="0" applyAlignment="1" applyFont="1">
      <alignment vertical="bottom"/>
    </xf>
    <xf borderId="0" fillId="11" fontId="1" numFmtId="165" xfId="0" applyAlignment="1" applyFont="1" applyNumberFormat="1">
      <alignment horizontal="right"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right" readingOrder="0" vertical="bottom"/>
    </xf>
    <xf borderId="0" fillId="10" fontId="1" numFmtId="0" xfId="0" applyAlignment="1" applyFont="1">
      <alignment vertical="bottom"/>
    </xf>
    <xf borderId="0" fillId="2" fontId="1" numFmtId="0" xfId="0" applyFont="1"/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Font="1"/>
    <xf borderId="0" fillId="4" fontId="3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0" fillId="7" fontId="1" numFmtId="0" xfId="0" applyFont="1"/>
    <xf borderId="0" fillId="7" fontId="1" numFmtId="0" xfId="0" applyAlignment="1" applyFont="1">
      <alignment readingOrder="0"/>
    </xf>
    <xf borderId="0" fillId="8" fontId="1" numFmtId="3" xfId="0" applyAlignment="1" applyFont="1" applyNumberFormat="1">
      <alignment readingOrder="0"/>
    </xf>
    <xf borderId="0" fillId="8" fontId="1" numFmtId="0" xfId="0" applyFont="1"/>
    <xf borderId="0" fillId="9" fontId="4" numFmtId="0" xfId="0" applyAlignment="1" applyFont="1">
      <alignment horizontal="left"/>
    </xf>
    <xf borderId="0" fillId="9" fontId="1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11" fontId="1" numFmtId="3" xfId="0" applyFont="1" applyNumberFormat="1"/>
    <xf borderId="0" fillId="9" fontId="1" numFmtId="164" xfId="0" applyFont="1" applyNumberFormat="1"/>
    <xf borderId="0" fillId="9" fontId="4" numFmtId="0" xfId="0" applyFont="1"/>
    <xf borderId="0" fillId="5" fontId="1" numFmtId="0" xfId="0" applyFont="1"/>
    <xf borderId="0" fillId="9" fontId="1" numFmtId="164" xfId="0" applyAlignment="1" applyFont="1" applyNumberFormat="1">
      <alignment readingOrder="0"/>
    </xf>
    <xf borderId="0" fillId="5" fontId="1" numFmtId="164" xfId="0" applyFont="1" applyNumberFormat="1"/>
    <xf borderId="0" fillId="7" fontId="5" numFmtId="0" xfId="0" applyAlignment="1" applyFont="1">
      <alignment readingOrder="0"/>
    </xf>
    <xf borderId="0" fillId="9" fontId="5" numFmtId="164" xfId="0" applyAlignment="1" applyFont="1" applyNumberFormat="1">
      <alignment horizontal="right" readingOrder="0"/>
    </xf>
    <xf borderId="0" fillId="5" fontId="4" numFmtId="0" xfId="0" applyFont="1"/>
    <xf borderId="0" fillId="7" fontId="4" numFmtId="0" xfId="0" applyFont="1"/>
    <xf borderId="0" fillId="11" fontId="1" numFmtId="3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readingOrder="0"/>
    </xf>
    <xf borderId="0" fillId="13" fontId="1" numFmtId="3" xfId="0" applyFont="1" applyNumberFormat="1"/>
    <xf borderId="0" fillId="11" fontId="1" numFmtId="3" xfId="0" applyAlignment="1" applyFont="1" applyNumberFormat="1">
      <alignment readingOrder="0"/>
    </xf>
    <xf borderId="0" fillId="11" fontId="1" numFmtId="2" xfId="0" applyAlignment="1" applyFont="1" applyNumberFormat="1">
      <alignment horizontal="right" vertical="bottom"/>
    </xf>
    <xf borderId="0" fillId="7" fontId="7" numFmtId="0" xfId="0" applyAlignment="1" applyFont="1">
      <alignment readingOrder="0"/>
    </xf>
    <xf borderId="0" fillId="8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Font="1"/>
    <xf borderId="0" fillId="8" fontId="3" numFmtId="3" xfId="0" applyFont="1" applyNumberFormat="1"/>
    <xf borderId="0" fillId="14" fontId="8" numFmtId="165" xfId="0" applyFont="1" applyNumberFormat="1"/>
    <xf borderId="0" fillId="14" fontId="3" numFmtId="0" xfId="0" applyFont="1"/>
    <xf borderId="0" fillId="2" fontId="1" numFmtId="0" xfId="0" applyAlignment="1" applyFont="1">
      <alignment vertical="bottom"/>
    </xf>
    <xf borderId="0" fillId="3" fontId="4" numFmtId="0" xfId="0" applyFont="1"/>
    <xf borderId="0" fillId="15" fontId="4" numFmtId="0" xfId="0" applyFill="1" applyFont="1"/>
    <xf borderId="0" fillId="5" fontId="1" numFmtId="0" xfId="0" applyAlignment="1" applyFont="1">
      <alignment horizontal="center" vertical="bottom"/>
    </xf>
    <xf borderId="0" fillId="13" fontId="1" numFmtId="3" xfId="0" applyAlignment="1" applyFont="1" applyNumberFormat="1">
      <alignment horizontal="right" readingOrder="0" vertical="bottom"/>
    </xf>
    <xf borderId="0" fillId="11" fontId="1" numFmtId="165" xfId="0" applyFont="1" applyNumberFormat="1"/>
    <xf borderId="0" fillId="1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4"/>
      <c r="N2" s="5" t="s">
        <v>3</v>
      </c>
      <c r="P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8" t="s">
        <v>12</v>
      </c>
      <c r="M3" s="7" t="s">
        <v>13</v>
      </c>
      <c r="N3" s="8" t="s">
        <v>14</v>
      </c>
      <c r="O3" s="7" t="s">
        <v>15</v>
      </c>
      <c r="P3" s="7" t="s">
        <v>16</v>
      </c>
    </row>
    <row r="4">
      <c r="A4" s="9" t="str">
        <f>IFERROR(__xludf.DUMMYFUNCTION("GOOGLEFINANCE(""currency:EURUSD"", ""price"",DATE(2020,5,4))"),"Date")</f>
        <v>Date</v>
      </c>
      <c r="B4" s="9" t="str">
        <f>IFERROR(__xludf.DUMMYFUNCTION("""COMPUTED_VALUE"""),"Close")</f>
        <v>Close</v>
      </c>
      <c r="C4" s="10" t="s">
        <v>17</v>
      </c>
      <c r="D4" s="11" t="str">
        <f>IFERROR(__xludf.DUMMYFUNCTION("GOOGLEFINANCE($E4, ""name"")"),"S&amp;P 500 Index")</f>
        <v>S&amp;P 500 Index</v>
      </c>
      <c r="E4" s="11" t="s">
        <v>18</v>
      </c>
      <c r="F4" s="12">
        <v>50000.0</v>
      </c>
      <c r="G4" s="12">
        <v>50000.0</v>
      </c>
      <c r="H4" s="13">
        <f>round(G4/J5,2)</f>
        <v>17.59</v>
      </c>
      <c r="I4" s="14" t="str">
        <f>IFERROR(__xludf.DUMMYFUNCTION("GOOGLEFINANCE($E4,""price"",""5/4/2020"")"),"Date")</f>
        <v>Date</v>
      </c>
      <c r="J4" s="15" t="str">
        <f>IFERROR(__xludf.DUMMYFUNCTION("""COMPUTED_VALUE"""),"Close")</f>
        <v>Close</v>
      </c>
      <c r="K4" s="15" t="str">
        <f>IFERROR(__xludf.DUMMYFUNCTION("GOOGLEFINANCE($E4,""price"",""06/08/2020"")"),"Date")</f>
        <v>Date</v>
      </c>
      <c r="L4" s="15" t="str">
        <f>IFERROR(__xludf.DUMMYFUNCTION("""COMPUTED_VALUE"""),"Close")</f>
        <v>Close</v>
      </c>
      <c r="M4" s="16">
        <f>round(L5*H4,2)</f>
        <v>56857.74</v>
      </c>
      <c r="N4" s="17">
        <f>M4-G4</f>
        <v>6857.74</v>
      </c>
      <c r="O4" s="17">
        <f>M4-G4</f>
        <v>6857.74</v>
      </c>
      <c r="P4" s="18">
        <f> round(N4*100/F4,2)</f>
        <v>13.72</v>
      </c>
    </row>
    <row r="5">
      <c r="A5" s="19">
        <f>IFERROR(__xludf.DUMMYFUNCTION("""COMPUTED_VALUE"""),43955.99861111111)</f>
        <v>43955.99861</v>
      </c>
      <c r="B5" s="20">
        <f>IFERROR(__xludf.DUMMYFUNCTION("""COMPUTED_VALUE"""),1.09041)</f>
        <v>1.09041</v>
      </c>
      <c r="I5" s="21">
        <f>IFERROR(__xludf.DUMMYFUNCTION("""COMPUTED_VALUE"""),43955.66666666667)</f>
        <v>43955.66667</v>
      </c>
      <c r="J5" s="22">
        <f>IFERROR(__xludf.DUMMYFUNCTION("""COMPUTED_VALUE"""),2842.74)</f>
        <v>2842.74</v>
      </c>
      <c r="K5" s="21">
        <f>IFERROR(__xludf.DUMMYFUNCTION("""COMPUTED_VALUE"""),43990.66666666667)</f>
        <v>43990.66667</v>
      </c>
      <c r="L5" s="22">
        <f>IFERROR(__xludf.DUMMYFUNCTION("""COMPUTED_VALUE"""),3232.39)</f>
        <v>3232.39</v>
      </c>
    </row>
    <row r="6">
      <c r="A6" s="9" t="str">
        <f>IFERROR(__xludf.DUMMYFUNCTION("GOOGLEFINANCE(""currency:EURUSD"", ""price"",DATE(2020,6,8))"),"Date")</f>
        <v>Date</v>
      </c>
      <c r="B6" s="9" t="str">
        <f>IFERROR(__xludf.DUMMYFUNCTION("""COMPUTED_VALUE"""),"Close")</f>
        <v>Close</v>
      </c>
      <c r="C6" s="10" t="s">
        <v>17</v>
      </c>
      <c r="D6" s="11" t="str">
        <f>IFERROR(__xludf.DUMMYFUNCTION("GOOGLEFINANCE($E6, ""name"")"),"NASDAQ-100")</f>
        <v>NASDAQ-100</v>
      </c>
      <c r="E6" s="11" t="s">
        <v>19</v>
      </c>
      <c r="F6" s="12">
        <v>50000.0</v>
      </c>
      <c r="G6" s="12">
        <v>50000.0</v>
      </c>
      <c r="H6" s="13">
        <f>round(G6/J7,2)</f>
        <v>5.66</v>
      </c>
      <c r="I6" s="15" t="str">
        <f>IFERROR(__xludf.DUMMYFUNCTION("GOOGLEFINANCE($E6,""price"",""5/4/2020"")"),"Date")</f>
        <v>Date</v>
      </c>
      <c r="J6" s="15" t="str">
        <f>IFERROR(__xludf.DUMMYFUNCTION("""COMPUTED_VALUE"""),"Close")</f>
        <v>Close</v>
      </c>
      <c r="K6" s="15" t="str">
        <f>IFERROR(__xludf.DUMMYFUNCTION("GOOGLEFINANCE($E6,""price"",""06/08/2020"")"),"Date")</f>
        <v>Date</v>
      </c>
      <c r="L6" s="15" t="str">
        <f>IFERROR(__xludf.DUMMYFUNCTION("""COMPUTED_VALUE"""),"Close")</f>
        <v>Close</v>
      </c>
      <c r="M6" s="16">
        <f>round(L7*H6,2)</f>
        <v>56042.6</v>
      </c>
      <c r="N6" s="17">
        <f>M6-G6</f>
        <v>6042.6</v>
      </c>
      <c r="O6" s="17">
        <f>M6-G6</f>
        <v>6042.6</v>
      </c>
      <c r="P6" s="18">
        <f> round(N6*100/F6,2)</f>
        <v>12.09</v>
      </c>
    </row>
    <row r="7">
      <c r="A7" s="19">
        <f>IFERROR(__xludf.DUMMYFUNCTION("""COMPUTED_VALUE"""),43990.99861111111)</f>
        <v>43990.99861</v>
      </c>
      <c r="B7" s="20">
        <f>IFERROR(__xludf.DUMMYFUNCTION("""COMPUTED_VALUE"""),1.130525)</f>
        <v>1.130525</v>
      </c>
      <c r="I7" s="21">
        <f>IFERROR(__xludf.DUMMYFUNCTION("""COMPUTED_VALUE"""),43955.66666666667)</f>
        <v>43955.66667</v>
      </c>
      <c r="J7" s="22">
        <f>IFERROR(__xludf.DUMMYFUNCTION("""COMPUTED_VALUE"""),8834.11)</f>
        <v>8834.11</v>
      </c>
      <c r="K7" s="21">
        <f>IFERROR(__xludf.DUMMYFUNCTION("""COMPUTED_VALUE"""),43990.66666666667)</f>
        <v>43990.66667</v>
      </c>
      <c r="L7" s="22">
        <f>IFERROR(__xludf.DUMMYFUNCTION("""COMPUTED_VALUE"""),9901.52)</f>
        <v>9901.52</v>
      </c>
    </row>
    <row r="8">
      <c r="A8" s="6" t="s">
        <v>20</v>
      </c>
      <c r="C8" s="10" t="s">
        <v>21</v>
      </c>
      <c r="D8" s="11" t="str">
        <f>IFERROR(__xludf.DUMMYFUNCTION("GOOGLEFINANCE(""indexdb:DAX"", ""name"")"),"DAX PERFORMANCE-INDEX")</f>
        <v>DAX PERFORMANCE-INDEX</v>
      </c>
      <c r="E8" s="11" t="s">
        <v>22</v>
      </c>
      <c r="F8" s="12">
        <v>50000.0</v>
      </c>
      <c r="G8" s="12">
        <f>50000/B5</f>
        <v>45854.31168</v>
      </c>
      <c r="H8" s="13">
        <f>round(G8/J9,2)</f>
        <v>4.38</v>
      </c>
      <c r="I8" s="14" t="str">
        <f>IFERROR(__xludf.DUMMYFUNCTION("GOOGLEFINANCE(""indexdb:DAX"",""price"",""5/4/2020"")"),"Date")</f>
        <v>Date</v>
      </c>
      <c r="J8" s="15" t="str">
        <f>IFERROR(__xludf.DUMMYFUNCTION("""COMPUTED_VALUE"""),"Close")</f>
        <v>Close</v>
      </c>
      <c r="K8" s="15" t="str">
        <f>IFERROR(__xludf.DUMMYFUNCTION("GOOGLEFINANCE(""indexdb:DAX"", ""price"",""06/08/2020"")"),"Date")</f>
        <v>Date</v>
      </c>
      <c r="L8" s="15" t="str">
        <f>IFERROR(__xludf.DUMMYFUNCTION("""COMPUTED_VALUE"""),"Close")</f>
        <v>Close</v>
      </c>
      <c r="M8" s="16">
        <f>round(L9*H8,2)</f>
        <v>56149.8</v>
      </c>
      <c r="N8" s="17">
        <f>O8*B7</f>
        <v>11639.30693</v>
      </c>
      <c r="O8" s="17">
        <f>M8-G8</f>
        <v>10295.48832</v>
      </c>
      <c r="P8" s="18">
        <f> round(N8*100/F8,2)</f>
        <v>23.28</v>
      </c>
    </row>
    <row r="9">
      <c r="A9" s="9" t="str">
        <f>IFERROR(__xludf.DUMMYFUNCTION("GOOGLEFINANCE(""currency:JPYUSD"", ""price"",DATE(2020,5,4))"),"Date")</f>
        <v>Date</v>
      </c>
      <c r="B9" s="9" t="str">
        <f>IFERROR(__xludf.DUMMYFUNCTION("""COMPUTED_VALUE"""),"Close")</f>
        <v>Close</v>
      </c>
      <c r="I9" s="21">
        <f>IFERROR(__xludf.DUMMYFUNCTION("""COMPUTED_VALUE"""),43955.83333333333)</f>
        <v>43955.83333</v>
      </c>
      <c r="J9" s="22">
        <f>IFERROR(__xludf.DUMMYFUNCTION("""COMPUTED_VALUE"""),10466.8)</f>
        <v>10466.8</v>
      </c>
      <c r="K9" s="23">
        <f>IFERROR(__xludf.DUMMYFUNCTION("""COMPUTED_VALUE"""),43990.83333333333)</f>
        <v>43990.83333</v>
      </c>
      <c r="L9" s="22">
        <f>IFERROR(__xludf.DUMMYFUNCTION("""COMPUTED_VALUE"""),12819.59)</f>
        <v>12819.59</v>
      </c>
    </row>
    <row r="10">
      <c r="A10" s="19">
        <f>IFERROR(__xludf.DUMMYFUNCTION("""COMPUTED_VALUE"""),43955.99861111111)</f>
        <v>43955.99861</v>
      </c>
      <c r="B10" s="20">
        <f>IFERROR(__xludf.DUMMYFUNCTION("""COMPUTED_VALUE"""),0.009372)</f>
        <v>0.009372</v>
      </c>
      <c r="C10" s="10" t="s">
        <v>23</v>
      </c>
      <c r="D10" s="11" t="str">
        <f>IFERROR(__xludf.DUMMYFUNCTION("GOOGLEFINANCE($E10, ""name"")"),"Nikkei 225")</f>
        <v>Nikkei 225</v>
      </c>
      <c r="E10" s="11" t="s">
        <v>24</v>
      </c>
      <c r="F10" s="12">
        <v>20000.0</v>
      </c>
      <c r="G10" s="12">
        <f>20000/B10</f>
        <v>2134016.219</v>
      </c>
      <c r="H10" s="13">
        <f>round(G10/J11,2)</f>
        <v>108.77</v>
      </c>
      <c r="I10" s="15" t="str">
        <f>IFERROR(__xludf.DUMMYFUNCTION("GOOGLEFINANCE($E10,""price"",""4/30/2020"")"),"Date")</f>
        <v>Date</v>
      </c>
      <c r="J10" s="15" t="str">
        <f>IFERROR(__xludf.DUMMYFUNCTION("""COMPUTED_VALUE"""),"Close")</f>
        <v>Close</v>
      </c>
      <c r="K10" s="15" t="str">
        <f>IFERROR(__xludf.DUMMYFUNCTION("GOOGLEFINANCE($E10,""price"",""06/07/2020"")"),"Date")</f>
        <v>Date</v>
      </c>
      <c r="L10" s="15" t="str">
        <f>IFERROR(__xludf.DUMMYFUNCTION("""COMPUTED_VALUE"""),"Close")</f>
        <v>Close</v>
      </c>
      <c r="M10" s="16">
        <f>round(L11*H10,2)</f>
        <v>2521081.94</v>
      </c>
      <c r="N10" s="17">
        <f>O10*B12</f>
        <v>3570.370854</v>
      </c>
      <c r="O10" s="17">
        <f>M10-G10</f>
        <v>387065.7215</v>
      </c>
      <c r="P10" s="18">
        <f> round(N10*100/F10,2)</f>
        <v>17.85</v>
      </c>
    </row>
    <row r="11">
      <c r="A11" s="9" t="str">
        <f>IFERROR(__xludf.DUMMYFUNCTION("GOOGLEFINANCE(""currency:JPYUSD"", ""price"",DATE(2020,6,8))"),"Date")</f>
        <v>Date</v>
      </c>
      <c r="B11" s="9" t="str">
        <f>IFERROR(__xludf.DUMMYFUNCTION("""COMPUTED_VALUE"""),"Close")</f>
        <v>Close</v>
      </c>
      <c r="I11" s="21">
        <f>IFERROR(__xludf.DUMMYFUNCTION("""COMPUTED_VALUE"""),43952.625)</f>
        <v>43952.625</v>
      </c>
      <c r="J11" s="22">
        <f>IFERROR(__xludf.DUMMYFUNCTION("""COMPUTED_VALUE"""),19619.35)</f>
        <v>19619.35</v>
      </c>
      <c r="K11" s="23">
        <f>IFERROR(__xludf.DUMMYFUNCTION("""COMPUTED_VALUE"""),43990.625)</f>
        <v>43990.625</v>
      </c>
      <c r="L11" s="22">
        <f>IFERROR(__xludf.DUMMYFUNCTION("""COMPUTED_VALUE"""),23178.1)</f>
        <v>23178.1</v>
      </c>
    </row>
    <row r="12">
      <c r="A12" s="19">
        <f>IFERROR(__xludf.DUMMYFUNCTION("""COMPUTED_VALUE"""),43990.99861111111)</f>
        <v>43990.99861</v>
      </c>
      <c r="B12" s="20">
        <f>IFERROR(__xludf.DUMMYFUNCTION("""COMPUTED_VALUE"""),0.009224198)</f>
        <v>0.009224198</v>
      </c>
      <c r="C12" s="10" t="s">
        <v>25</v>
      </c>
      <c r="D12" s="11" t="s">
        <v>26</v>
      </c>
      <c r="E12" s="24" t="s">
        <v>27</v>
      </c>
      <c r="F12" s="12">
        <v>20000.0</v>
      </c>
      <c r="G12" s="12">
        <f>20000/B15</f>
        <v>141250.0203</v>
      </c>
      <c r="H12" s="13">
        <f>round(G12/J13,2)</f>
        <v>49.38</v>
      </c>
      <c r="I12" s="15" t="s">
        <v>28</v>
      </c>
      <c r="J12" s="15" t="s">
        <v>29</v>
      </c>
      <c r="K12" s="15" t="s">
        <v>28</v>
      </c>
      <c r="L12" s="15" t="s">
        <v>29</v>
      </c>
      <c r="M12" s="16">
        <f>round(L13*H12,2)</f>
        <v>145057.21</v>
      </c>
      <c r="N12" s="25">
        <f>O12*B17</f>
        <v>538.3773598</v>
      </c>
      <c r="O12" s="25">
        <f>M12-G12</f>
        <v>3807.189695</v>
      </c>
      <c r="P12" s="26">
        <f> round(N12*100/F12,2)</f>
        <v>2.69</v>
      </c>
    </row>
    <row r="13">
      <c r="A13" s="6" t="s">
        <v>30</v>
      </c>
      <c r="I13" s="27">
        <v>43951.666666666664</v>
      </c>
      <c r="J13" s="22">
        <v>2860.41</v>
      </c>
      <c r="K13" s="28">
        <v>43990.625</v>
      </c>
      <c r="L13" s="29">
        <v>2937.57</v>
      </c>
    </row>
    <row r="14">
      <c r="A14" s="30" t="str">
        <f>IFERROR(__xludf.DUMMYFUNCTION("GOOGLEFINANCE(""currency:CNYUSD"", ""price"",DATE(2020,5,4))"),"Date")</f>
        <v>Date</v>
      </c>
      <c r="B14" s="9" t="str">
        <f>IFERROR(__xludf.DUMMYFUNCTION("""COMPUTED_VALUE"""),"Close")</f>
        <v>Close</v>
      </c>
      <c r="C14" s="10" t="s">
        <v>31</v>
      </c>
      <c r="D14" s="31" t="str">
        <f>IFERROR(__xludf.DUMMYFUNCTION("GOOGLEFINANCE($E14, ""name"")"),"S&amp;P GSCI Crude Oil ER")</f>
        <v>S&amp;P GSCI Crude Oil ER</v>
      </c>
      <c r="E14" s="11" t="s">
        <v>32</v>
      </c>
      <c r="F14" s="12">
        <v>10000.0</v>
      </c>
      <c r="G14" s="12">
        <v>10000.0</v>
      </c>
      <c r="H14" s="13">
        <f>round(G14/J15,2)</f>
        <v>268.82</v>
      </c>
      <c r="I14" s="15" t="s">
        <v>28</v>
      </c>
      <c r="J14" s="15" t="s">
        <v>29</v>
      </c>
      <c r="K14" s="15" t="s">
        <v>28</v>
      </c>
      <c r="L14" s="15" t="s">
        <v>29</v>
      </c>
      <c r="M14" s="16">
        <f>round(L15*H14,2)</f>
        <v>15941.03</v>
      </c>
      <c r="N14" s="17">
        <f>O14</f>
        <v>5941.03</v>
      </c>
      <c r="O14" s="17">
        <f>M14-G14</f>
        <v>5941.03</v>
      </c>
      <c r="P14" s="18">
        <f> round(N14*100/F14,2)</f>
        <v>59.41</v>
      </c>
    </row>
    <row r="15">
      <c r="A15" s="19">
        <f>IFERROR(__xludf.DUMMYFUNCTION("""COMPUTED_VALUE"""),43955.99861111111)</f>
        <v>43955.99861</v>
      </c>
      <c r="B15" s="20">
        <f>IFERROR(__xludf.DUMMYFUNCTION("""COMPUTED_VALUE"""),0.1415929)</f>
        <v>0.1415929</v>
      </c>
      <c r="I15" s="15" t="s">
        <v>33</v>
      </c>
      <c r="J15" s="22">
        <v>37.2</v>
      </c>
      <c r="K15" s="28">
        <v>43990.625</v>
      </c>
      <c r="L15" s="29">
        <v>59.3</v>
      </c>
    </row>
    <row r="16">
      <c r="A16" s="9" t="str">
        <f>IFERROR(__xludf.DUMMYFUNCTION("GOOGLEFINANCE(""currency:CNYUSD"", ""price"",DATE(2020,6,8))"),"Date")</f>
        <v>Date</v>
      </c>
      <c r="B16" s="9" t="str">
        <f>IFERROR(__xludf.DUMMYFUNCTION("""COMPUTED_VALUE"""),"Close")</f>
        <v>Close</v>
      </c>
      <c r="C16" s="10" t="s">
        <v>31</v>
      </c>
      <c r="D16" s="31" t="str">
        <f>IFERROR(__xludf.DUMMYFUNCTION("GOOGLEFINANCE($E16, ""name"")"),"S&amp;P GSCI Gold ER")</f>
        <v>S&amp;P GSCI Gold ER</v>
      </c>
      <c r="E16" s="11" t="s">
        <v>34</v>
      </c>
      <c r="F16" s="12">
        <v>50000.0</v>
      </c>
      <c r="G16" s="12">
        <v>50000.0</v>
      </c>
      <c r="H16" s="13">
        <f>round(G16/J17,2)</f>
        <v>382.18</v>
      </c>
      <c r="I16" s="15" t="s">
        <v>28</v>
      </c>
      <c r="J16" s="15" t="s">
        <v>29</v>
      </c>
      <c r="K16" s="15" t="s">
        <v>28</v>
      </c>
      <c r="L16" s="15" t="s">
        <v>29</v>
      </c>
      <c r="M16" s="16">
        <f>round(L17*H16,2)</f>
        <v>49434.98</v>
      </c>
      <c r="N16" s="32">
        <f>O16</f>
        <v>-565.02</v>
      </c>
      <c r="O16" s="32">
        <f>M16-G16</f>
        <v>-565.02</v>
      </c>
      <c r="P16" s="33">
        <f> round(N16*100/F16,2)</f>
        <v>-1.13</v>
      </c>
    </row>
    <row r="17">
      <c r="A17" s="19">
        <f>IFERROR(__xludf.DUMMYFUNCTION("""COMPUTED_VALUE"""),43990.99861111111)</f>
        <v>43990.99861</v>
      </c>
      <c r="B17" s="20">
        <f>IFERROR(__xludf.DUMMYFUNCTION("""COMPUTED_VALUE"""),0.1414107)</f>
        <v>0.1414107</v>
      </c>
      <c r="I17" s="21">
        <v>43955.666666666664</v>
      </c>
      <c r="J17" s="22">
        <v>130.83</v>
      </c>
      <c r="K17" s="28">
        <v>43990.625</v>
      </c>
      <c r="L17" s="29">
        <v>129.35</v>
      </c>
    </row>
    <row r="18">
      <c r="A18" s="9"/>
      <c r="B18" s="9"/>
      <c r="C18" s="10" t="s">
        <v>35</v>
      </c>
      <c r="D18" s="31" t="str">
        <f>IFERROR(__xludf.DUMMYFUNCTION("GOOGLEFINANCE($E18, ""name"")"),"iShares Barclays 20+ Yr Treas.Bond")</f>
        <v>iShares Barclays 20+ Yr Treas.Bond</v>
      </c>
      <c r="E18" s="11" t="s">
        <v>36</v>
      </c>
      <c r="F18" s="12">
        <v>30000.0</v>
      </c>
      <c r="G18" s="12">
        <v>30000.0</v>
      </c>
      <c r="H18" s="13">
        <f>round(G18/J19,2)</f>
        <v>179.47</v>
      </c>
      <c r="I18" s="15" t="str">
        <f>IFERROR(__xludf.DUMMYFUNCTION("GOOGLEFINANCE($E18,""price"",""5/4/2020"")"),"Date")</f>
        <v>Date</v>
      </c>
      <c r="J18" s="15" t="str">
        <f>IFERROR(__xludf.DUMMYFUNCTION("""COMPUTED_VALUE"""),"Close")</f>
        <v>Close</v>
      </c>
      <c r="K18" s="15" t="str">
        <f>IFERROR(__xludf.DUMMYFUNCTION("GOOGLEFINANCE($E45,""price"",""06/08/2020"")"),"Date")</f>
        <v>Date</v>
      </c>
      <c r="L18" s="15" t="str">
        <f>IFERROR(__xludf.DUMMYFUNCTION("""COMPUTED_VALUE"""),"Close")</f>
        <v>Close</v>
      </c>
      <c r="M18" s="16">
        <f>round(L19*H18,2)</f>
        <v>28124.74</v>
      </c>
      <c r="N18" s="34">
        <f>O18</f>
        <v>-1875.26</v>
      </c>
      <c r="O18" s="34">
        <f>M18-G18</f>
        <v>-1875.26</v>
      </c>
      <c r="P18" s="35">
        <f> round(N18*100/F18,2)</f>
        <v>-6.25</v>
      </c>
    </row>
    <row r="19">
      <c r="A19" s="9"/>
      <c r="B19" s="9"/>
      <c r="I19" s="21">
        <f>IFERROR(__xludf.DUMMYFUNCTION("""COMPUTED_VALUE"""),43955.66666666667)</f>
        <v>43955.66667</v>
      </c>
      <c r="J19" s="22">
        <f>IFERROR(__xludf.DUMMYFUNCTION("""COMPUTED_VALUE"""),167.16)</f>
        <v>167.16</v>
      </c>
      <c r="K19" s="21">
        <f>IFERROR(__xludf.DUMMYFUNCTION("""COMPUTED_VALUE"""),43990.66666666667)</f>
        <v>43990.66667</v>
      </c>
      <c r="L19" s="22">
        <f>IFERROR(__xludf.DUMMYFUNCTION("""COMPUTED_VALUE"""),156.71)</f>
        <v>156.71</v>
      </c>
    </row>
    <row r="20">
      <c r="A20" s="9"/>
      <c r="B20" s="9"/>
      <c r="C20" s="10" t="s">
        <v>35</v>
      </c>
      <c r="D20" s="31" t="str">
        <f>IFERROR(__xludf.DUMMYFUNCTION("GOOGLEFINANCE($E20, ""name"")"),"iShares iBoxx $ High Yid Corp Bond")</f>
        <v>iShares iBoxx $ High Yid Corp Bond</v>
      </c>
      <c r="E20" s="11" t="s">
        <v>37</v>
      </c>
      <c r="F20" s="12">
        <v>20000.0</v>
      </c>
      <c r="G20" s="12">
        <v>20000.0</v>
      </c>
      <c r="H20" s="13">
        <f>round(G20/J21,2)</f>
        <v>254.55</v>
      </c>
      <c r="I20" s="15" t="str">
        <f>IFERROR(__xludf.DUMMYFUNCTION("GOOGLEFINANCE($E20,""price"",""5/4/2020"")"),"Date")</f>
        <v>Date</v>
      </c>
      <c r="J20" s="15" t="str">
        <f>IFERROR(__xludf.DUMMYFUNCTION("""COMPUTED_VALUE"""),"Close")</f>
        <v>Close</v>
      </c>
      <c r="K20" s="15" t="str">
        <f>IFERROR(__xludf.DUMMYFUNCTION("GOOGLEFINANCE($E47,""price"",""06/08/2020"")"),"Date")</f>
        <v>Date</v>
      </c>
      <c r="L20" s="15" t="str">
        <f>IFERROR(__xludf.DUMMYFUNCTION("""COMPUTED_VALUE"""),"Close")</f>
        <v>Close</v>
      </c>
      <c r="M20" s="16">
        <f>round(L21*H20,2)</f>
        <v>21524.75</v>
      </c>
      <c r="N20" s="17">
        <f>O20</f>
        <v>1524.75</v>
      </c>
      <c r="O20" s="17">
        <f>M20-G20</f>
        <v>1524.75</v>
      </c>
      <c r="P20" s="36">
        <f> round(N20*100/F20,2)</f>
        <v>7.62</v>
      </c>
    </row>
    <row r="21">
      <c r="A21" s="9"/>
      <c r="B21" s="9"/>
      <c r="I21" s="21">
        <f>IFERROR(__xludf.DUMMYFUNCTION("""COMPUTED_VALUE"""),43955.66666666667)</f>
        <v>43955.66667</v>
      </c>
      <c r="J21" s="22">
        <f>IFERROR(__xludf.DUMMYFUNCTION("""COMPUTED_VALUE"""),78.57)</f>
        <v>78.57</v>
      </c>
      <c r="K21" s="21">
        <f>IFERROR(__xludf.DUMMYFUNCTION("""COMPUTED_VALUE"""),43990.66666666667)</f>
        <v>43990.66667</v>
      </c>
      <c r="L21" s="22">
        <f>IFERROR(__xludf.DUMMYFUNCTION("""COMPUTED_VALUE"""),84.56)</f>
        <v>84.56</v>
      </c>
    </row>
    <row r="22">
      <c r="A22" s="9"/>
      <c r="B22" s="9"/>
      <c r="C22" s="10" t="s">
        <v>38</v>
      </c>
      <c r="D22" s="37" t="s">
        <v>38</v>
      </c>
      <c r="E22" s="11" t="s">
        <v>39</v>
      </c>
      <c r="F22" s="12">
        <v>700000.0</v>
      </c>
      <c r="G22" s="12">
        <v>700000.0</v>
      </c>
      <c r="H22" s="38" t="s">
        <v>39</v>
      </c>
      <c r="I22" s="15" t="s">
        <v>39</v>
      </c>
      <c r="K22" s="15" t="s">
        <v>39</v>
      </c>
      <c r="M22" s="16">
        <f>round(G22*(1+ 7/36500),2)</f>
        <v>700134.25</v>
      </c>
      <c r="N22" s="18">
        <v>134.0</v>
      </c>
      <c r="O22" s="17">
        <f>M22-G22</f>
        <v>134.25</v>
      </c>
      <c r="P22" s="36">
        <f> round(N22*100/F22,2)</f>
        <v>0.02</v>
      </c>
    </row>
    <row r="23">
      <c r="A23" s="9"/>
      <c r="B23" s="9"/>
    </row>
    <row r="24">
      <c r="A24" s="9"/>
      <c r="B24" s="9"/>
      <c r="C24" s="39" t="s">
        <v>40</v>
      </c>
      <c r="D24" s="40"/>
      <c r="E24" s="40"/>
      <c r="F24" s="41">
        <f>SUM(F4:F23)</f>
        <v>1000000</v>
      </c>
      <c r="G24" s="40"/>
      <c r="H24" s="40"/>
      <c r="I24" s="40"/>
      <c r="J24" s="40"/>
      <c r="K24" s="40"/>
      <c r="L24" s="40"/>
      <c r="M24" s="40"/>
      <c r="N24" s="42">
        <f>SUM(N4:N23)</f>
        <v>33807.89515</v>
      </c>
      <c r="O24" s="43"/>
      <c r="P24" s="43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>
      <c r="A28" s="1"/>
      <c r="B28" s="1"/>
      <c r="C28" s="1"/>
      <c r="D28" s="1"/>
      <c r="E28" s="1"/>
      <c r="F28" s="2" t="s">
        <v>41</v>
      </c>
      <c r="I28" s="1"/>
      <c r="J28" s="1"/>
      <c r="K28" s="1"/>
      <c r="L28" s="1"/>
      <c r="M28" s="1"/>
      <c r="N28" s="1"/>
      <c r="O28" s="1"/>
      <c r="P28" s="1"/>
    </row>
    <row r="29">
      <c r="A29" s="3" t="s">
        <v>1</v>
      </c>
      <c r="C29" s="4"/>
      <c r="D29" s="4"/>
      <c r="E29" s="4"/>
      <c r="F29" s="5" t="s">
        <v>42</v>
      </c>
      <c r="H29" s="4"/>
      <c r="I29" s="4"/>
      <c r="J29" s="4"/>
      <c r="K29" s="4"/>
      <c r="L29" s="4"/>
      <c r="M29" s="4"/>
      <c r="N29" s="5" t="s">
        <v>3</v>
      </c>
      <c r="P29" s="4"/>
    </row>
    <row r="30">
      <c r="A30" s="6" t="s">
        <v>4</v>
      </c>
      <c r="C30" s="7" t="s">
        <v>5</v>
      </c>
      <c r="D30" s="7" t="s">
        <v>6</v>
      </c>
      <c r="E30" s="7" t="s">
        <v>7</v>
      </c>
      <c r="F30" s="7" t="s">
        <v>8</v>
      </c>
      <c r="G30" s="7" t="s">
        <v>9</v>
      </c>
      <c r="H30" s="7" t="s">
        <v>10</v>
      </c>
      <c r="I30" s="8" t="s">
        <v>11</v>
      </c>
      <c r="K30" s="8" t="s">
        <v>12</v>
      </c>
      <c r="M30" s="7" t="s">
        <v>13</v>
      </c>
      <c r="N30" s="8" t="s">
        <v>14</v>
      </c>
      <c r="O30" s="7" t="s">
        <v>15</v>
      </c>
      <c r="P30" s="7" t="s">
        <v>16</v>
      </c>
    </row>
    <row r="31">
      <c r="A31" s="9" t="str">
        <f>IFERROR(__xludf.DUMMYFUNCTION("GOOGLEFINANCE(""currency:EURUSD"", ""price"",DATE(2020,5,11))"),"Date")</f>
        <v>Date</v>
      </c>
      <c r="B31" s="9" t="str">
        <f>IFERROR(__xludf.DUMMYFUNCTION("""COMPUTED_VALUE"""),"Close")</f>
        <v>Close</v>
      </c>
      <c r="C31" s="10" t="s">
        <v>17</v>
      </c>
      <c r="D31" s="11" t="str">
        <f>IFERROR(__xludf.DUMMYFUNCTION("GOOGLEFINANCE($E31, ""name"")"),"S&amp;P 500 Index")</f>
        <v>S&amp;P 500 Index</v>
      </c>
      <c r="E31" s="11" t="s">
        <v>18</v>
      </c>
      <c r="F31" s="12">
        <v>30000.0</v>
      </c>
      <c r="G31" s="12">
        <f>F31</f>
        <v>30000</v>
      </c>
      <c r="H31" s="13">
        <f>round((G31)/J32,2)</f>
        <v>10.24</v>
      </c>
      <c r="I31" s="14" t="str">
        <f>IFERROR(__xludf.DUMMYFUNCTION("GOOGLEFINANCE($E31,""price"",""5/11/2020"")"),"Date")</f>
        <v>Date</v>
      </c>
      <c r="J31" s="15" t="str">
        <f>IFERROR(__xludf.DUMMYFUNCTION("""COMPUTED_VALUE"""),"Close")</f>
        <v>Close</v>
      </c>
      <c r="K31" s="15" t="str">
        <f>IFERROR(__xludf.DUMMYFUNCTION("GOOGLEFINANCE($E31,""price"",""06/08/2020"")"),"Date")</f>
        <v>Date</v>
      </c>
      <c r="L31" s="15" t="str">
        <f>IFERROR(__xludf.DUMMYFUNCTION("""COMPUTED_VALUE"""),"Close")</f>
        <v>Close</v>
      </c>
      <c r="M31" s="16">
        <f>round(L32*H31,2)</f>
        <v>33099.67</v>
      </c>
      <c r="N31" s="17">
        <f>M31-G31</f>
        <v>3099.67</v>
      </c>
      <c r="O31" s="17">
        <f>M31-G31</f>
        <v>3099.67</v>
      </c>
      <c r="P31" s="18">
        <f> round(N31*100/F31,2)</f>
        <v>10.33</v>
      </c>
    </row>
    <row r="32">
      <c r="A32" s="19">
        <f>IFERROR(__xludf.DUMMYFUNCTION("""COMPUTED_VALUE"""),43962.99861111111)</f>
        <v>43962.99861</v>
      </c>
      <c r="B32" s="20">
        <f>IFERROR(__xludf.DUMMYFUNCTION("""COMPUTED_VALUE"""),1.08105)</f>
        <v>1.08105</v>
      </c>
      <c r="I32" s="21">
        <f>IFERROR(__xludf.DUMMYFUNCTION("""COMPUTED_VALUE"""),43962.66666666667)</f>
        <v>43962.66667</v>
      </c>
      <c r="J32" s="22">
        <f>IFERROR(__xludf.DUMMYFUNCTION("""COMPUTED_VALUE"""),2930.32)</f>
        <v>2930.32</v>
      </c>
      <c r="K32" s="21">
        <f>IFERROR(__xludf.DUMMYFUNCTION("""COMPUTED_VALUE"""),43990.66666666667)</f>
        <v>43990.66667</v>
      </c>
      <c r="L32" s="22">
        <f>IFERROR(__xludf.DUMMYFUNCTION("""COMPUTED_VALUE"""),3232.39)</f>
        <v>3232.39</v>
      </c>
    </row>
    <row r="33">
      <c r="A33" s="9" t="str">
        <f>IFERROR(__xludf.DUMMYFUNCTION("GOOGLEFINANCE(""currency:EURUSD"", ""price"",DATE(2020,6,8))"),"Date")</f>
        <v>Date</v>
      </c>
      <c r="B33" s="9" t="str">
        <f>IFERROR(__xludf.DUMMYFUNCTION("""COMPUTED_VALUE"""),"Close")</f>
        <v>Close</v>
      </c>
      <c r="C33" s="10" t="s">
        <v>17</v>
      </c>
      <c r="D33" s="11" t="str">
        <f>IFERROR(__xludf.DUMMYFUNCTION("GOOGLEFINANCE($E33, ""name"")"),"NASDAQ-100")</f>
        <v>NASDAQ-100</v>
      </c>
      <c r="E33" s="11" t="s">
        <v>19</v>
      </c>
      <c r="F33" s="12">
        <v>50000.0</v>
      </c>
      <c r="G33" s="12">
        <f>F33</f>
        <v>50000</v>
      </c>
      <c r="H33" s="13">
        <f>round((G33)/J34,2)</f>
        <v>5.38</v>
      </c>
      <c r="I33" s="15" t="str">
        <f>IFERROR(__xludf.DUMMYFUNCTION("GOOGLEFINANCE($E33,""price"",""5/11/2020"")"),"Date")</f>
        <v>Date</v>
      </c>
      <c r="J33" s="15" t="str">
        <f>IFERROR(__xludf.DUMMYFUNCTION("""COMPUTED_VALUE"""),"Close")</f>
        <v>Close</v>
      </c>
      <c r="K33" s="15" t="str">
        <f>IFERROR(__xludf.DUMMYFUNCTION("GOOGLEFINANCE($E33,""price"",""06/08/2020"")"),"Date")</f>
        <v>Date</v>
      </c>
      <c r="L33" s="15" t="str">
        <f>IFERROR(__xludf.DUMMYFUNCTION("""COMPUTED_VALUE"""),"Close")</f>
        <v>Close</v>
      </c>
      <c r="M33" s="16">
        <f>round(L34*H33,2)</f>
        <v>53270.18</v>
      </c>
      <c r="N33" s="17">
        <f>M33-G33</f>
        <v>3270.18</v>
      </c>
      <c r="O33" s="17">
        <f>M33-G33</f>
        <v>3270.18</v>
      </c>
      <c r="P33" s="18">
        <f> round(N33*100/F33,2)</f>
        <v>6.54</v>
      </c>
    </row>
    <row r="34">
      <c r="A34" s="19">
        <f>IFERROR(__xludf.DUMMYFUNCTION("""COMPUTED_VALUE"""),43990.99861111111)</f>
        <v>43990.99861</v>
      </c>
      <c r="B34" s="20">
        <f>IFERROR(__xludf.DUMMYFUNCTION("""COMPUTED_VALUE"""),1.130525)</f>
        <v>1.130525</v>
      </c>
      <c r="I34" s="21">
        <f>IFERROR(__xludf.DUMMYFUNCTION("""COMPUTED_VALUE"""),43962.66666666667)</f>
        <v>43962.66667</v>
      </c>
      <c r="J34" s="22">
        <f>IFERROR(__xludf.DUMMYFUNCTION("""COMPUTED_VALUE"""),9298.92)</f>
        <v>9298.92</v>
      </c>
      <c r="K34" s="21">
        <f>IFERROR(__xludf.DUMMYFUNCTION("""COMPUTED_VALUE"""),43990.66666666667)</f>
        <v>43990.66667</v>
      </c>
      <c r="L34" s="22">
        <f>IFERROR(__xludf.DUMMYFUNCTION("""COMPUTED_VALUE"""),9901.52)</f>
        <v>9901.52</v>
      </c>
    </row>
    <row r="35">
      <c r="A35" s="6" t="s">
        <v>20</v>
      </c>
      <c r="C35" s="10" t="s">
        <v>21</v>
      </c>
      <c r="D35" s="11" t="str">
        <f>IFERROR(__xludf.DUMMYFUNCTION("GOOGLEFINANCE(""indexdb:DAX"", ""name"")"),"DAX PERFORMANCE-INDEX")</f>
        <v>DAX PERFORMANCE-INDEX</v>
      </c>
      <c r="E35" s="11" t="s">
        <v>22</v>
      </c>
      <c r="F35" s="12">
        <v>30000.0</v>
      </c>
      <c r="G35" s="12">
        <f>F35/B32</f>
        <v>27750.79784</v>
      </c>
      <c r="H35" s="13">
        <f>round((G35)/J36,2)</f>
        <v>2.56</v>
      </c>
      <c r="I35" s="14" t="str">
        <f>IFERROR(__xludf.DUMMYFUNCTION("GOOGLEFINANCE(""indexdb:DAX"",""price"",""5/11/2020"")"),"Date")</f>
        <v>Date</v>
      </c>
      <c r="J35" s="15" t="str">
        <f>IFERROR(__xludf.DUMMYFUNCTION("""COMPUTED_VALUE"""),"Close")</f>
        <v>Close</v>
      </c>
      <c r="K35" s="15" t="str">
        <f>IFERROR(__xludf.DUMMYFUNCTION("GOOGLEFINANCE(""indexdb:DAX"", ""price"",""06/08/2020"")"),"Date")</f>
        <v>Date</v>
      </c>
      <c r="L35" s="15" t="str">
        <f>IFERROR(__xludf.DUMMYFUNCTION("""COMPUTED_VALUE"""),"Close")</f>
        <v>Close</v>
      </c>
      <c r="M35" s="16">
        <f>round(L36*H35,2)</f>
        <v>32818.15</v>
      </c>
      <c r="N35" s="17">
        <f>O35*B34</f>
        <v>5728.768306</v>
      </c>
      <c r="O35" s="17">
        <f>M35-G35</f>
        <v>5067.352165</v>
      </c>
      <c r="P35" s="18">
        <f> round(N35*100/F35,2)</f>
        <v>19.1</v>
      </c>
    </row>
    <row r="36">
      <c r="A36" s="9" t="str">
        <f>IFERROR(__xludf.DUMMYFUNCTION("GOOGLEFINANCE(""currency:JPYUSD"", ""price"",DATE(2020,5,11))"),"Date")</f>
        <v>Date</v>
      </c>
      <c r="B36" s="9" t="str">
        <f>IFERROR(__xludf.DUMMYFUNCTION("""COMPUTED_VALUE"""),"Close")</f>
        <v>Close</v>
      </c>
      <c r="I36" s="21">
        <f>IFERROR(__xludf.DUMMYFUNCTION("""COMPUTED_VALUE"""),43962.83333333333)</f>
        <v>43962.83333</v>
      </c>
      <c r="J36" s="22">
        <f>IFERROR(__xludf.DUMMYFUNCTION("""COMPUTED_VALUE"""),10824.99)</f>
        <v>10824.99</v>
      </c>
      <c r="K36" s="23">
        <f>IFERROR(__xludf.DUMMYFUNCTION("""COMPUTED_VALUE"""),43990.83333333333)</f>
        <v>43990.83333</v>
      </c>
      <c r="L36" s="22">
        <f>IFERROR(__xludf.DUMMYFUNCTION("""COMPUTED_VALUE"""),12819.59)</f>
        <v>12819.59</v>
      </c>
    </row>
    <row r="37">
      <c r="A37" s="19">
        <f>IFERROR(__xludf.DUMMYFUNCTION("""COMPUTED_VALUE"""),43962.99861111111)</f>
        <v>43962.99861</v>
      </c>
      <c r="B37" s="20">
        <f>IFERROR(__xludf.DUMMYFUNCTION("""COMPUTED_VALUE"""),0.009297)</f>
        <v>0.009297</v>
      </c>
      <c r="C37" s="10" t="s">
        <v>23</v>
      </c>
      <c r="D37" s="11" t="str">
        <f>IFERROR(__xludf.DUMMYFUNCTION("GOOGLEFINANCE($E37, ""name"")"),"Nikkei 225")</f>
        <v>Nikkei 225</v>
      </c>
      <c r="E37" s="11" t="s">
        <v>24</v>
      </c>
      <c r="F37" s="12">
        <v>40000.0</v>
      </c>
      <c r="G37" s="12">
        <f>60000/B37</f>
        <v>6453694.74</v>
      </c>
      <c r="H37" s="13">
        <f>round((G37)/J38,2)</f>
        <v>316.5</v>
      </c>
      <c r="I37" s="15" t="str">
        <f>IFERROR(__xludf.DUMMYFUNCTION("GOOGLEFINANCE($E37,""price"",""5/10/2020"")"),"Date")</f>
        <v>Date</v>
      </c>
      <c r="J37" s="15" t="str">
        <f>IFERROR(__xludf.DUMMYFUNCTION("""COMPUTED_VALUE"""),"Close")</f>
        <v>Close</v>
      </c>
      <c r="K37" s="15" t="str">
        <f>IFERROR(__xludf.DUMMYFUNCTION("GOOGLEFINANCE($E37,""price"",""06/07/2020"")"),"Date")</f>
        <v>Date</v>
      </c>
      <c r="L37" s="15" t="str">
        <f>IFERROR(__xludf.DUMMYFUNCTION("""COMPUTED_VALUE"""),"Close")</f>
        <v>Close</v>
      </c>
      <c r="M37" s="16">
        <f>round(L38*H37,2)</f>
        <v>7335868.65</v>
      </c>
      <c r="N37" s="25">
        <f>O37*B39</f>
        <v>8137.346814</v>
      </c>
      <c r="O37" s="25">
        <f>M37-G37</f>
        <v>882173.9098</v>
      </c>
      <c r="P37" s="26">
        <f> round(N37*100/F37,2)</f>
        <v>20.34</v>
      </c>
    </row>
    <row r="38">
      <c r="A38" s="9" t="str">
        <f>IFERROR(__xludf.DUMMYFUNCTION("GOOGLEFINANCE(""currency:JPYUSD"", ""price"",DATE(2020,6,8))"),"Date")</f>
        <v>Date</v>
      </c>
      <c r="B38" s="9" t="str">
        <f>IFERROR(__xludf.DUMMYFUNCTION("""COMPUTED_VALUE"""),"Close")</f>
        <v>Close</v>
      </c>
      <c r="I38" s="21">
        <f>IFERROR(__xludf.DUMMYFUNCTION("""COMPUTED_VALUE"""),43962.625)</f>
        <v>43962.625</v>
      </c>
      <c r="J38" s="22">
        <f>IFERROR(__xludf.DUMMYFUNCTION("""COMPUTED_VALUE"""),20390.66)</f>
        <v>20390.66</v>
      </c>
      <c r="K38" s="23">
        <f>IFERROR(__xludf.DUMMYFUNCTION("""COMPUTED_VALUE"""),43990.625)</f>
        <v>43990.625</v>
      </c>
      <c r="L38" s="22">
        <f>IFERROR(__xludf.DUMMYFUNCTION("""COMPUTED_VALUE"""),23178.1)</f>
        <v>23178.1</v>
      </c>
    </row>
    <row r="39">
      <c r="A39" s="19">
        <f>IFERROR(__xludf.DUMMYFUNCTION("""COMPUTED_VALUE"""),43990.99861111111)</f>
        <v>43990.99861</v>
      </c>
      <c r="B39" s="20">
        <f>IFERROR(__xludf.DUMMYFUNCTION("""COMPUTED_VALUE"""),0.009224198)</f>
        <v>0.009224198</v>
      </c>
      <c r="C39" s="10" t="s">
        <v>25</v>
      </c>
      <c r="D39" s="11" t="s">
        <v>26</v>
      </c>
      <c r="E39" s="24" t="s">
        <v>27</v>
      </c>
      <c r="F39" s="12">
        <v>30000.0</v>
      </c>
      <c r="G39" s="12">
        <f>50000/B42</f>
        <v>354950.0266</v>
      </c>
      <c r="H39" s="13">
        <f>round((G39)/J40,2)</f>
        <v>122.59</v>
      </c>
      <c r="I39" s="15" t="s">
        <v>28</v>
      </c>
      <c r="J39" s="15" t="s">
        <v>29</v>
      </c>
      <c r="K39" s="45" t="s">
        <v>28</v>
      </c>
      <c r="L39" s="45" t="s">
        <v>29</v>
      </c>
      <c r="M39" s="16">
        <f>round(L40*H39,2)</f>
        <v>360116.71</v>
      </c>
      <c r="N39" s="25">
        <f>O39*B44</f>
        <v>730.6243183</v>
      </c>
      <c r="O39" s="25">
        <f>M39-G39</f>
        <v>5166.683414</v>
      </c>
      <c r="P39" s="26">
        <f> round(N39*100/F39,2)</f>
        <v>2.44</v>
      </c>
    </row>
    <row r="40">
      <c r="A40" s="6" t="s">
        <v>30</v>
      </c>
      <c r="I40" s="27">
        <v>43951.666666666664</v>
      </c>
      <c r="J40" s="22">
        <v>2895.51</v>
      </c>
      <c r="K40" s="28">
        <v>43990.625</v>
      </c>
      <c r="L40" s="29">
        <v>2937.57</v>
      </c>
    </row>
    <row r="41">
      <c r="A41" s="30" t="str">
        <f>IFERROR(__xludf.DUMMYFUNCTION("GOOGLEFINANCE(""currency:CNYUSD"", ""price"",DATE(2020,5,11))"),"Date")</f>
        <v>Date</v>
      </c>
      <c r="B41" s="9" t="str">
        <f>IFERROR(__xludf.DUMMYFUNCTION("""COMPUTED_VALUE"""),"Close")</f>
        <v>Close</v>
      </c>
      <c r="C41" s="10" t="s">
        <v>31</v>
      </c>
      <c r="D41" s="31" t="str">
        <f>IFERROR(__xludf.DUMMYFUNCTION("GOOGLEFINANCE($E41, ""name"")"),"S&amp;P GSCI Crude Oil ER")</f>
        <v>S&amp;P GSCI Crude Oil ER</v>
      </c>
      <c r="E41" s="11" t="s">
        <v>32</v>
      </c>
      <c r="F41" s="12">
        <v>20000.0</v>
      </c>
      <c r="G41" s="12">
        <f>F41</f>
        <v>20000</v>
      </c>
      <c r="H41" s="13">
        <f>round((G41)/J42,2)</f>
        <v>488.76</v>
      </c>
      <c r="I41" s="15" t="s">
        <v>28</v>
      </c>
      <c r="J41" s="15" t="s">
        <v>29</v>
      </c>
      <c r="K41" s="45" t="s">
        <v>28</v>
      </c>
      <c r="L41" s="45" t="s">
        <v>29</v>
      </c>
      <c r="M41" s="16">
        <f>round(L42*H41,2)</f>
        <v>28983.47</v>
      </c>
      <c r="N41" s="17">
        <f>O41</f>
        <v>8983.47</v>
      </c>
      <c r="O41" s="17">
        <f>M41-G41</f>
        <v>8983.47</v>
      </c>
      <c r="P41" s="18">
        <f> round(N41*100/F41,2)</f>
        <v>44.92</v>
      </c>
    </row>
    <row r="42">
      <c r="A42" s="19">
        <f>IFERROR(__xludf.DUMMYFUNCTION("""COMPUTED_VALUE"""),43962.99861111111)</f>
        <v>43962.99861</v>
      </c>
      <c r="B42" s="20">
        <f>IFERROR(__xludf.DUMMYFUNCTION("""COMPUTED_VALUE"""),0.1408649)</f>
        <v>0.1408649</v>
      </c>
      <c r="I42" s="23">
        <v>43962.666666666664</v>
      </c>
      <c r="J42" s="22">
        <v>40.92</v>
      </c>
      <c r="K42" s="28">
        <v>43990.625</v>
      </c>
      <c r="L42" s="29">
        <v>59.3</v>
      </c>
    </row>
    <row r="43">
      <c r="A43" s="9" t="str">
        <f>IFERROR(__xludf.DUMMYFUNCTION("GOOGLEFINANCE(""currency:CNYUSD"", ""price"",DATE(2020,6,8))"),"Date")</f>
        <v>Date</v>
      </c>
      <c r="B43" s="9" t="str">
        <f>IFERROR(__xludf.DUMMYFUNCTION("""COMPUTED_VALUE"""),"Close")</f>
        <v>Close</v>
      </c>
      <c r="C43" s="10" t="s">
        <v>31</v>
      </c>
      <c r="D43" s="31" t="str">
        <f>IFERROR(__xludf.DUMMYFUNCTION("GOOGLEFINANCE($E43, ""name"")"),"S&amp;P GSCI Gold ER")</f>
        <v>S&amp;P GSCI Gold ER</v>
      </c>
      <c r="E43" s="11" t="s">
        <v>34</v>
      </c>
      <c r="F43" s="12">
        <v>0.0</v>
      </c>
      <c r="G43" s="12">
        <f>F43</f>
        <v>0</v>
      </c>
      <c r="H43" s="13">
        <f>round((G43)/J44,2)</f>
        <v>0</v>
      </c>
      <c r="I43" s="15" t="s">
        <v>28</v>
      </c>
      <c r="J43" s="15" t="s">
        <v>29</v>
      </c>
      <c r="K43" s="45" t="s">
        <v>28</v>
      </c>
      <c r="L43" s="45" t="s">
        <v>29</v>
      </c>
      <c r="M43" s="16">
        <f>round(L44*H43,2)</f>
        <v>0</v>
      </c>
      <c r="N43" s="46">
        <f>O43</f>
        <v>0</v>
      </c>
      <c r="O43" s="46">
        <f>M43-G43</f>
        <v>0</v>
      </c>
      <c r="P43" s="47">
        <v>0.0</v>
      </c>
    </row>
    <row r="44">
      <c r="A44" s="19">
        <f>IFERROR(__xludf.DUMMYFUNCTION("""COMPUTED_VALUE"""),43990.99861111111)</f>
        <v>43990.99861</v>
      </c>
      <c r="B44" s="20">
        <f>IFERROR(__xludf.DUMMYFUNCTION("""COMPUTED_VALUE"""),0.1414107)</f>
        <v>0.1414107</v>
      </c>
      <c r="I44" s="21">
        <v>43955.666666666664</v>
      </c>
      <c r="J44" s="22">
        <v>130.83</v>
      </c>
      <c r="K44" s="28">
        <v>43990.625</v>
      </c>
      <c r="L44" s="29">
        <v>129.35</v>
      </c>
    </row>
    <row r="45">
      <c r="A45" s="9"/>
      <c r="B45" s="9"/>
      <c r="C45" s="10" t="s">
        <v>35</v>
      </c>
      <c r="D45" s="31" t="str">
        <f>IFERROR(__xludf.DUMMYFUNCTION("GOOGLEFINANCE($E45, ""name"")"),"iShares Barclays 20+ Yr Treas.Bond")</f>
        <v>iShares Barclays 20+ Yr Treas.Bond</v>
      </c>
      <c r="E45" s="11" t="s">
        <v>36</v>
      </c>
      <c r="F45" s="12">
        <v>0.0</v>
      </c>
      <c r="G45" s="12">
        <f>F45</f>
        <v>0</v>
      </c>
      <c r="H45" s="13">
        <f>round((G45)/J46,2)</f>
        <v>0</v>
      </c>
      <c r="I45" s="15" t="str">
        <f>IFERROR(__xludf.DUMMYFUNCTION("GOOGLEFINANCE($E45,""price"",""5/4/2020"")"),"Date")</f>
        <v>Date</v>
      </c>
      <c r="J45" s="15" t="str">
        <f>IFERROR(__xludf.DUMMYFUNCTION("""COMPUTED_VALUE"""),"Close")</f>
        <v>Close</v>
      </c>
      <c r="K45" s="15" t="str">
        <f>IFERROR(__xludf.DUMMYFUNCTION("GOOGLEFINANCE($E72,""price"",""06/08/2020"")"),"Date")</f>
        <v>Date</v>
      </c>
      <c r="L45" s="15" t="str">
        <f>IFERROR(__xludf.DUMMYFUNCTION("""COMPUTED_VALUE"""),"Close")</f>
        <v>Close</v>
      </c>
      <c r="M45" s="16">
        <f>round(L46*H45,2)</f>
        <v>0</v>
      </c>
      <c r="N45" s="46">
        <f>O45</f>
        <v>0</v>
      </c>
      <c r="O45" s="46">
        <f>M45-G45</f>
        <v>0</v>
      </c>
      <c r="P45" s="47">
        <v>0.0</v>
      </c>
    </row>
    <row r="46">
      <c r="A46" s="9"/>
      <c r="B46" s="9"/>
      <c r="I46" s="21">
        <f>IFERROR(__xludf.DUMMYFUNCTION("""COMPUTED_VALUE"""),43955.66666666667)</f>
        <v>43955.66667</v>
      </c>
      <c r="J46" s="22">
        <f>IFERROR(__xludf.DUMMYFUNCTION("""COMPUTED_VALUE"""),167.16)</f>
        <v>167.16</v>
      </c>
      <c r="K46" s="21">
        <f>IFERROR(__xludf.DUMMYFUNCTION("""COMPUTED_VALUE"""),43990.66666666667)</f>
        <v>43990.66667</v>
      </c>
      <c r="L46" s="22">
        <f>IFERROR(__xludf.DUMMYFUNCTION("""COMPUTED_VALUE"""),156.71)</f>
        <v>156.71</v>
      </c>
    </row>
    <row r="47">
      <c r="A47" s="9"/>
      <c r="B47" s="9"/>
      <c r="C47" s="10" t="s">
        <v>35</v>
      </c>
      <c r="D47" s="31" t="str">
        <f>IFERROR(__xludf.DUMMYFUNCTION("GOOGLEFINANCE($E47, ""name"")"),"iShares iBoxx $ High Yid Corp Bond")</f>
        <v>iShares iBoxx $ High Yid Corp Bond</v>
      </c>
      <c r="E47" s="11" t="s">
        <v>37</v>
      </c>
      <c r="F47" s="12">
        <v>10000.0</v>
      </c>
      <c r="G47" s="12">
        <f>F47</f>
        <v>10000</v>
      </c>
      <c r="H47" s="13">
        <f>round((G47)/J48,2)</f>
        <v>125.96</v>
      </c>
      <c r="I47" s="15" t="str">
        <f>IFERROR(__xludf.DUMMYFUNCTION("GOOGLEFINANCE($E47,""price"",""5/11/2020"")"),"Date")</f>
        <v>Date</v>
      </c>
      <c r="J47" s="15" t="str">
        <f>IFERROR(__xludf.DUMMYFUNCTION("""COMPUTED_VALUE"""),"Close")</f>
        <v>Close</v>
      </c>
      <c r="K47" s="15" t="str">
        <f>IFERROR(__xludf.DUMMYFUNCTION("GOOGLEFINANCE($E74,""price"",""06/08/2020"")"),"Date")</f>
        <v>Date</v>
      </c>
      <c r="L47" s="15" t="str">
        <f>IFERROR(__xludf.DUMMYFUNCTION("""COMPUTED_VALUE"""),"Close")</f>
        <v>Close</v>
      </c>
      <c r="M47" s="16">
        <f>round(L48*H47,2)</f>
        <v>10651.18</v>
      </c>
      <c r="N47" s="17">
        <f>O47</f>
        <v>651.18</v>
      </c>
      <c r="O47" s="17">
        <f>M47-G47</f>
        <v>651.18</v>
      </c>
      <c r="P47" s="36">
        <f> round(N47*100/F47,2)</f>
        <v>6.51</v>
      </c>
    </row>
    <row r="48">
      <c r="A48" s="9"/>
      <c r="B48" s="9"/>
      <c r="I48" s="21">
        <f>IFERROR(__xludf.DUMMYFUNCTION("""COMPUTED_VALUE"""),43962.66666666667)</f>
        <v>43962.66667</v>
      </c>
      <c r="J48" s="22">
        <f>IFERROR(__xludf.DUMMYFUNCTION("""COMPUTED_VALUE"""),79.39)</f>
        <v>79.39</v>
      </c>
      <c r="K48" s="21">
        <f>IFERROR(__xludf.DUMMYFUNCTION("""COMPUTED_VALUE"""),43990.66666666667)</f>
        <v>43990.66667</v>
      </c>
      <c r="L48" s="22">
        <f>IFERROR(__xludf.DUMMYFUNCTION("""COMPUTED_VALUE"""),84.56)</f>
        <v>84.56</v>
      </c>
    </row>
    <row r="49">
      <c r="A49" s="9"/>
      <c r="B49" s="9"/>
      <c r="C49" s="10" t="s">
        <v>38</v>
      </c>
      <c r="D49" s="37" t="s">
        <v>38</v>
      </c>
      <c r="E49" s="11" t="s">
        <v>39</v>
      </c>
      <c r="F49" s="12">
        <v>497008.0</v>
      </c>
      <c r="G49" s="12">
        <f>F49</f>
        <v>497008</v>
      </c>
      <c r="H49" s="38" t="s">
        <v>39</v>
      </c>
      <c r="I49" s="15" t="s">
        <v>39</v>
      </c>
      <c r="K49" s="15" t="s">
        <v>39</v>
      </c>
      <c r="M49" s="16">
        <f>round(G49*(1+ 7/36500),2)</f>
        <v>497103.32</v>
      </c>
      <c r="N49" s="17">
        <f>O49</f>
        <v>95.32</v>
      </c>
      <c r="O49" s="17">
        <f>M49-G49</f>
        <v>95.32</v>
      </c>
      <c r="P49" s="36">
        <f> round(N49*100/F49,2)</f>
        <v>0.02</v>
      </c>
    </row>
    <row r="50">
      <c r="A50" s="9"/>
      <c r="B50" s="9"/>
    </row>
    <row r="51">
      <c r="A51" s="9"/>
      <c r="B51" s="9"/>
      <c r="C51" s="39" t="s">
        <v>40</v>
      </c>
      <c r="D51" s="40"/>
      <c r="E51" s="40"/>
      <c r="F51" s="38"/>
      <c r="G51" s="40"/>
      <c r="H51" s="40"/>
      <c r="I51" s="40"/>
      <c r="J51" s="40"/>
      <c r="K51" s="40"/>
      <c r="L51" s="40"/>
      <c r="M51" s="40"/>
      <c r="N51" s="42">
        <f>SUM(N31:N50)</f>
        <v>30696.55944</v>
      </c>
      <c r="O51" s="43"/>
      <c r="P51" s="43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K53" s="48"/>
      <c r="L53" s="44"/>
      <c r="M53" s="44"/>
      <c r="N53" s="44"/>
      <c r="O53" s="44"/>
      <c r="P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K54" s="47"/>
      <c r="L54" s="44"/>
      <c r="M54" s="44"/>
      <c r="N54" s="44"/>
      <c r="O54" s="44"/>
      <c r="P54" s="44"/>
    </row>
    <row r="55">
      <c r="A55" s="1"/>
      <c r="B55" s="1"/>
      <c r="C55" s="1"/>
      <c r="D55" s="1"/>
      <c r="E55" s="1"/>
      <c r="F55" s="49" t="s">
        <v>43</v>
      </c>
      <c r="I55" s="1"/>
      <c r="J55" s="1"/>
      <c r="K55" s="1"/>
      <c r="L55" s="1"/>
      <c r="M55" s="1"/>
      <c r="N55" s="1"/>
      <c r="O55" s="1"/>
      <c r="P55" s="1"/>
    </row>
    <row r="56">
      <c r="A56" s="3" t="s">
        <v>1</v>
      </c>
      <c r="C56" s="4"/>
      <c r="D56" s="4"/>
      <c r="E56" s="4"/>
      <c r="F56" s="5" t="s">
        <v>42</v>
      </c>
      <c r="H56" s="4"/>
      <c r="I56" s="4"/>
      <c r="J56" s="4"/>
      <c r="K56" s="4"/>
      <c r="L56" s="4"/>
      <c r="M56" s="4"/>
      <c r="N56" s="5" t="s">
        <v>3</v>
      </c>
      <c r="P56" s="4"/>
    </row>
    <row r="57">
      <c r="A57" s="6" t="s">
        <v>4</v>
      </c>
      <c r="C57" s="7" t="s">
        <v>5</v>
      </c>
      <c r="D57" s="7" t="s">
        <v>6</v>
      </c>
      <c r="E57" s="7" t="s">
        <v>7</v>
      </c>
      <c r="F57" s="7" t="s">
        <v>8</v>
      </c>
      <c r="G57" s="7" t="s">
        <v>9</v>
      </c>
      <c r="H57" s="7" t="s">
        <v>10</v>
      </c>
      <c r="I57" s="8" t="s">
        <v>11</v>
      </c>
      <c r="K57" s="8" t="s">
        <v>12</v>
      </c>
      <c r="M57" s="7" t="s">
        <v>13</v>
      </c>
      <c r="N57" s="8" t="s">
        <v>14</v>
      </c>
      <c r="O57" s="7" t="s">
        <v>15</v>
      </c>
      <c r="P57" s="7" t="s">
        <v>16</v>
      </c>
    </row>
    <row r="58">
      <c r="A58" s="9" t="str">
        <f>IFERROR(__xludf.DUMMYFUNCTION("GOOGLEFINANCE(""currency:EURUSD"", ""price"",DATE(2020,5,18))"),"Date")</f>
        <v>Date</v>
      </c>
      <c r="B58" s="9" t="str">
        <f>IFERROR(__xludf.DUMMYFUNCTION("""COMPUTED_VALUE"""),"Close")</f>
        <v>Close</v>
      </c>
      <c r="C58" s="10" t="s">
        <v>17</v>
      </c>
      <c r="D58" s="11" t="str">
        <f>IFERROR(__xludf.DUMMYFUNCTION("GOOGLEFINANCE($E58, ""name"")"),"S&amp;P 500 Index")</f>
        <v>S&amp;P 500 Index</v>
      </c>
      <c r="E58" s="11" t="s">
        <v>18</v>
      </c>
      <c r="F58" s="50">
        <v>15000.0</v>
      </c>
      <c r="G58" s="12">
        <f>F58</f>
        <v>15000</v>
      </c>
      <c r="H58" s="13">
        <f>round((G58)/J59,2)</f>
        <v>5.08</v>
      </c>
      <c r="I58" s="14" t="str">
        <f>IFERROR(__xludf.DUMMYFUNCTION("GOOGLEFINANCE($E58,""price"",""5/18/2020"")"),"Date")</f>
        <v>Date</v>
      </c>
      <c r="J58" s="15" t="str">
        <f>IFERROR(__xludf.DUMMYFUNCTION("""COMPUTED_VALUE"""),"Close")</f>
        <v>Close</v>
      </c>
      <c r="K58" s="15" t="str">
        <f>IFERROR(__xludf.DUMMYFUNCTION("GOOGLEFINANCE($E58,""price"",""06/08/2020"")"),"Date")</f>
        <v>Date</v>
      </c>
      <c r="L58" s="15" t="str">
        <f>IFERROR(__xludf.DUMMYFUNCTION("""COMPUTED_VALUE"""),"Close")</f>
        <v>Close</v>
      </c>
      <c r="M58" s="16">
        <f>round(L59*H58,2)</f>
        <v>16420.54</v>
      </c>
      <c r="N58" s="17">
        <f>M58-G58</f>
        <v>1420.54</v>
      </c>
      <c r="O58" s="17">
        <f>M58-G58</f>
        <v>1420.54</v>
      </c>
      <c r="P58" s="18">
        <f> round(N58*100/F58,2)</f>
        <v>9.47</v>
      </c>
    </row>
    <row r="59">
      <c r="A59" s="19">
        <f>IFERROR(__xludf.DUMMYFUNCTION("""COMPUTED_VALUE"""),43969.99861111111)</f>
        <v>43969.99861</v>
      </c>
      <c r="B59" s="20">
        <f>IFERROR(__xludf.DUMMYFUNCTION("""COMPUTED_VALUE"""),1.09147)</f>
        <v>1.09147</v>
      </c>
      <c r="I59" s="21">
        <f>IFERROR(__xludf.DUMMYFUNCTION("""COMPUTED_VALUE"""),43969.66666666667)</f>
        <v>43969.66667</v>
      </c>
      <c r="J59" s="22">
        <f>IFERROR(__xludf.DUMMYFUNCTION("""COMPUTED_VALUE"""),2953.91)</f>
        <v>2953.91</v>
      </c>
      <c r="K59" s="21">
        <f>IFERROR(__xludf.DUMMYFUNCTION("""COMPUTED_VALUE"""),43990.66666666667)</f>
        <v>43990.66667</v>
      </c>
      <c r="L59" s="22">
        <f>IFERROR(__xludf.DUMMYFUNCTION("""COMPUTED_VALUE"""),3232.39)</f>
        <v>3232.39</v>
      </c>
    </row>
    <row r="60">
      <c r="A60" s="9" t="str">
        <f>IFERROR(__xludf.DUMMYFUNCTION("GOOGLEFINANCE(""currency:EURUSD"", ""price"",DATE(2020,6,8))"),"Date")</f>
        <v>Date</v>
      </c>
      <c r="B60" s="9" t="str">
        <f>IFERROR(__xludf.DUMMYFUNCTION("""COMPUTED_VALUE"""),"Close")</f>
        <v>Close</v>
      </c>
      <c r="C60" s="10" t="s">
        <v>17</v>
      </c>
      <c r="D60" s="11" t="str">
        <f>IFERROR(__xludf.DUMMYFUNCTION("GOOGLEFINANCE($E60, ""name"")"),"NASDAQ-100")</f>
        <v>NASDAQ-100</v>
      </c>
      <c r="E60" s="11" t="s">
        <v>19</v>
      </c>
      <c r="F60" s="50">
        <v>25000.0</v>
      </c>
      <c r="G60" s="12">
        <f>F60</f>
        <v>25000</v>
      </c>
      <c r="H60" s="13">
        <f>round((G60)/J61,2)</f>
        <v>2.68</v>
      </c>
      <c r="I60" s="15" t="str">
        <f>IFERROR(__xludf.DUMMYFUNCTION("GOOGLEFINANCE($E60,""price"",""5/18/2020"")"),"Date")</f>
        <v>Date</v>
      </c>
      <c r="J60" s="15" t="str">
        <f>IFERROR(__xludf.DUMMYFUNCTION("""COMPUTED_VALUE"""),"Close")</f>
        <v>Close</v>
      </c>
      <c r="K60" s="15" t="str">
        <f>IFERROR(__xludf.DUMMYFUNCTION("GOOGLEFINANCE($E60,""price"",""06/08/2020"")"),"Date")</f>
        <v>Date</v>
      </c>
      <c r="L60" s="15" t="str">
        <f>IFERROR(__xludf.DUMMYFUNCTION("""COMPUTED_VALUE"""),"Close")</f>
        <v>Close</v>
      </c>
      <c r="M60" s="16">
        <f>round(L61*H60,2)</f>
        <v>26536.07</v>
      </c>
      <c r="N60" s="17">
        <f>M60-G60</f>
        <v>1536.07</v>
      </c>
      <c r="O60" s="17">
        <f>M60-G60</f>
        <v>1536.07</v>
      </c>
      <c r="P60" s="18">
        <f> round(N60*100/F60,2)</f>
        <v>6.14</v>
      </c>
    </row>
    <row r="61">
      <c r="A61" s="19">
        <f>IFERROR(__xludf.DUMMYFUNCTION("""COMPUTED_VALUE"""),43990.99861111111)</f>
        <v>43990.99861</v>
      </c>
      <c r="B61" s="20">
        <f>IFERROR(__xludf.DUMMYFUNCTION("""COMPUTED_VALUE"""),1.130525)</f>
        <v>1.130525</v>
      </c>
      <c r="I61" s="21">
        <f>IFERROR(__xludf.DUMMYFUNCTION("""COMPUTED_VALUE"""),43969.66666666667)</f>
        <v>43969.66667</v>
      </c>
      <c r="J61" s="22">
        <f>IFERROR(__xludf.DUMMYFUNCTION("""COMPUTED_VALUE"""),9331.93)</f>
        <v>9331.93</v>
      </c>
      <c r="K61" s="21">
        <f>IFERROR(__xludf.DUMMYFUNCTION("""COMPUTED_VALUE"""),43990.66666666667)</f>
        <v>43990.66667</v>
      </c>
      <c r="L61" s="22">
        <f>IFERROR(__xludf.DUMMYFUNCTION("""COMPUTED_VALUE"""),9901.52)</f>
        <v>9901.52</v>
      </c>
    </row>
    <row r="62">
      <c r="A62" s="6" t="s">
        <v>20</v>
      </c>
      <c r="C62" s="10" t="s">
        <v>21</v>
      </c>
      <c r="D62" s="11" t="str">
        <f>IFERROR(__xludf.DUMMYFUNCTION("GOOGLEFINANCE(""indexdb:DAX"", ""name"")"),"DAX PERFORMANCE-INDEX")</f>
        <v>DAX PERFORMANCE-INDEX</v>
      </c>
      <c r="E62" s="11" t="s">
        <v>22</v>
      </c>
      <c r="F62" s="50">
        <v>20000.0</v>
      </c>
      <c r="G62" s="12">
        <f>F62/B59</f>
        <v>18323.91179</v>
      </c>
      <c r="H62" s="13">
        <f>round((G62)/J63,2)</f>
        <v>1.66</v>
      </c>
      <c r="I62" s="14" t="str">
        <f>IFERROR(__xludf.DUMMYFUNCTION("GOOGLEFINANCE(""indexdb:DAX"",""price"",""5/18/2020"")"),"Date")</f>
        <v>Date</v>
      </c>
      <c r="J62" s="15" t="str">
        <f>IFERROR(__xludf.DUMMYFUNCTION("""COMPUTED_VALUE"""),"Close")</f>
        <v>Close</v>
      </c>
      <c r="K62" s="15" t="str">
        <f>IFERROR(__xludf.DUMMYFUNCTION("GOOGLEFINANCE(""indexdb:DAX"", ""price"",""06/08/2020"")"),"Date")</f>
        <v>Date</v>
      </c>
      <c r="L62" s="15" t="str">
        <f>IFERROR(__xludf.DUMMYFUNCTION("""COMPUTED_VALUE"""),"Close")</f>
        <v>Close</v>
      </c>
      <c r="M62" s="16">
        <f>round(L63*H62,2)</f>
        <v>21280.52</v>
      </c>
      <c r="N62" s="17">
        <f>O62*B61</f>
        <v>3342.519498</v>
      </c>
      <c r="O62" s="17">
        <f>M62-G62</f>
        <v>2956.608211</v>
      </c>
      <c r="P62" s="18">
        <f> round(N62*100/F62,2)</f>
        <v>16.71</v>
      </c>
    </row>
    <row r="63">
      <c r="A63" s="9" t="str">
        <f>IFERROR(__xludf.DUMMYFUNCTION("GOOGLEFINANCE(""currency:JPYUSD"", ""price"",DATE(2020,5,18))"),"Date")</f>
        <v>Date</v>
      </c>
      <c r="B63" s="9" t="str">
        <f>IFERROR(__xludf.DUMMYFUNCTION("""COMPUTED_VALUE"""),"Close")</f>
        <v>Close</v>
      </c>
      <c r="I63" s="21">
        <f>IFERROR(__xludf.DUMMYFUNCTION("""COMPUTED_VALUE"""),43969.83333333333)</f>
        <v>43969.83333</v>
      </c>
      <c r="J63" s="22">
        <f>IFERROR(__xludf.DUMMYFUNCTION("""COMPUTED_VALUE"""),11058.87)</f>
        <v>11058.87</v>
      </c>
      <c r="K63" s="23">
        <f>IFERROR(__xludf.DUMMYFUNCTION("""COMPUTED_VALUE"""),43990.83333333333)</f>
        <v>43990.83333</v>
      </c>
      <c r="L63" s="22">
        <f>IFERROR(__xludf.DUMMYFUNCTION("""COMPUTED_VALUE"""),12819.59)</f>
        <v>12819.59</v>
      </c>
    </row>
    <row r="64">
      <c r="A64" s="19">
        <f>IFERROR(__xludf.DUMMYFUNCTION("""COMPUTED_VALUE"""),43969.99861111111)</f>
        <v>43969.99861</v>
      </c>
      <c r="B64" s="20">
        <f>IFERROR(__xludf.DUMMYFUNCTION("""COMPUTED_VALUE"""),0.009312982)</f>
        <v>0.009312982</v>
      </c>
      <c r="C64" s="10" t="s">
        <v>23</v>
      </c>
      <c r="D64" s="11" t="str">
        <f>IFERROR(__xludf.DUMMYFUNCTION("GOOGLEFINANCE($E64, ""name"")"),"Nikkei 225")</f>
        <v>Nikkei 225</v>
      </c>
      <c r="E64" s="11" t="s">
        <v>24</v>
      </c>
      <c r="F64" s="50">
        <v>30000.0</v>
      </c>
      <c r="G64" s="12">
        <f>30000/B64</f>
        <v>3221309.78</v>
      </c>
      <c r="H64" s="13">
        <f>round((G64)/J65,2)</f>
        <v>160</v>
      </c>
      <c r="I64" s="15" t="str">
        <f>IFERROR(__xludf.DUMMYFUNCTION("GOOGLEFINANCE($E64,""price"",""5/17/2020"")"),"Date")</f>
        <v>Date</v>
      </c>
      <c r="J64" s="15" t="str">
        <f>IFERROR(__xludf.DUMMYFUNCTION("""COMPUTED_VALUE"""),"Close")</f>
        <v>Close</v>
      </c>
      <c r="K64" s="15" t="str">
        <f>IFERROR(__xludf.DUMMYFUNCTION("GOOGLEFINANCE($E64,""price"",""06/07/2020"")"),"Date")</f>
        <v>Date</v>
      </c>
      <c r="L64" s="15" t="str">
        <f>IFERROR(__xludf.DUMMYFUNCTION("""COMPUTED_VALUE"""),"Close")</f>
        <v>Close</v>
      </c>
      <c r="M64" s="16">
        <f>round(L65*H64,2)</f>
        <v>3708496</v>
      </c>
      <c r="N64" s="25">
        <f>O64*B66</f>
        <v>4493.902154</v>
      </c>
      <c r="O64" s="25">
        <f>M64-G64</f>
        <v>487186.2197</v>
      </c>
      <c r="P64" s="26">
        <f> round(N64*100/F64,2)</f>
        <v>14.98</v>
      </c>
    </row>
    <row r="65">
      <c r="A65" s="9" t="str">
        <f>IFERROR(__xludf.DUMMYFUNCTION("GOOGLEFINANCE(""currency:JPYUSD"", ""price"",DATE(2020,6,8))"),"Date")</f>
        <v>Date</v>
      </c>
      <c r="B65" s="9" t="str">
        <f>IFERROR(__xludf.DUMMYFUNCTION("""COMPUTED_VALUE"""),"Close")</f>
        <v>Close</v>
      </c>
      <c r="I65" s="21">
        <f>IFERROR(__xludf.DUMMYFUNCTION("""COMPUTED_VALUE"""),43969.625)</f>
        <v>43969.625</v>
      </c>
      <c r="J65" s="22">
        <f>IFERROR(__xludf.DUMMYFUNCTION("""COMPUTED_VALUE"""),20133.73)</f>
        <v>20133.73</v>
      </c>
      <c r="K65" s="23">
        <f>IFERROR(__xludf.DUMMYFUNCTION("""COMPUTED_VALUE"""),43990.625)</f>
        <v>43990.625</v>
      </c>
      <c r="L65" s="22">
        <f>IFERROR(__xludf.DUMMYFUNCTION("""COMPUTED_VALUE"""),23178.1)</f>
        <v>23178.1</v>
      </c>
    </row>
    <row r="66">
      <c r="A66" s="19">
        <f>IFERROR(__xludf.DUMMYFUNCTION("""COMPUTED_VALUE"""),43990.99861111111)</f>
        <v>43990.99861</v>
      </c>
      <c r="B66" s="20">
        <f>IFERROR(__xludf.DUMMYFUNCTION("""COMPUTED_VALUE"""),0.009224198)</f>
        <v>0.009224198</v>
      </c>
      <c r="C66" s="10" t="s">
        <v>25</v>
      </c>
      <c r="D66" s="11" t="s">
        <v>26</v>
      </c>
      <c r="E66" s="24" t="s">
        <v>27</v>
      </c>
      <c r="F66" s="50">
        <v>0.0</v>
      </c>
      <c r="G66" s="12">
        <f>0/B69</f>
        <v>0</v>
      </c>
      <c r="H66" s="13">
        <f>round((G66)/J67,2)</f>
        <v>0</v>
      </c>
      <c r="I66" s="15" t="s">
        <v>28</v>
      </c>
      <c r="J66" s="15" t="s">
        <v>29</v>
      </c>
      <c r="K66" s="45" t="s">
        <v>28</v>
      </c>
      <c r="L66" s="45" t="s">
        <v>29</v>
      </c>
      <c r="M66" s="16">
        <f>round(L67*H66,2)</f>
        <v>0</v>
      </c>
      <c r="N66" s="46">
        <f>O66*B71</f>
        <v>0</v>
      </c>
      <c r="O66" s="46">
        <f>M66-G66</f>
        <v>0</v>
      </c>
      <c r="P66" s="51" t="s">
        <v>39</v>
      </c>
    </row>
    <row r="67">
      <c r="A67" s="6" t="s">
        <v>30</v>
      </c>
      <c r="I67" s="27">
        <v>43951.666666666664</v>
      </c>
      <c r="J67" s="22">
        <v>2895.51</v>
      </c>
      <c r="K67" s="28">
        <v>43990.625</v>
      </c>
      <c r="L67" s="29">
        <v>2937.57</v>
      </c>
    </row>
    <row r="68">
      <c r="A68" s="30" t="str">
        <f>IFERROR(__xludf.DUMMYFUNCTION("GOOGLEFINANCE(""currency:CNYUSD"", ""price"",DATE(2020,5,18))"),"Date")</f>
        <v>Date</v>
      </c>
      <c r="B68" s="9" t="str">
        <f>IFERROR(__xludf.DUMMYFUNCTION("""COMPUTED_VALUE"""),"Close")</f>
        <v>Close</v>
      </c>
      <c r="C68" s="10" t="s">
        <v>31</v>
      </c>
      <c r="D68" s="31" t="str">
        <f>IFERROR(__xludf.DUMMYFUNCTION("GOOGLEFINANCE($E68, ""name"")"),"S&amp;P GSCI Crude Oil ER")</f>
        <v>S&amp;P GSCI Crude Oil ER</v>
      </c>
      <c r="E68" s="11" t="s">
        <v>32</v>
      </c>
      <c r="F68" s="50">
        <v>0.0</v>
      </c>
      <c r="G68" s="12">
        <f>F68</f>
        <v>0</v>
      </c>
      <c r="H68" s="13">
        <f>round((G68)/J69,2)</f>
        <v>0</v>
      </c>
      <c r="I68" s="15" t="s">
        <v>28</v>
      </c>
      <c r="J68" s="15" t="s">
        <v>29</v>
      </c>
      <c r="K68" s="45" t="s">
        <v>28</v>
      </c>
      <c r="L68" s="45" t="s">
        <v>29</v>
      </c>
      <c r="M68" s="16">
        <f>round(L69*H68,2)</f>
        <v>0</v>
      </c>
      <c r="N68" s="46">
        <f>O68</f>
        <v>0</v>
      </c>
      <c r="O68" s="46">
        <f>M68-G68</f>
        <v>0</v>
      </c>
      <c r="P68" s="51" t="s">
        <v>39</v>
      </c>
    </row>
    <row r="69">
      <c r="A69" s="19">
        <f>IFERROR(__xludf.DUMMYFUNCTION("""COMPUTED_VALUE"""),43969.99861111111)</f>
        <v>43969.99861</v>
      </c>
      <c r="B69" s="20">
        <f>IFERROR(__xludf.DUMMYFUNCTION("""COMPUTED_VALUE"""),0.1406549)</f>
        <v>0.1406549</v>
      </c>
      <c r="I69" s="23">
        <v>43962.666666666664</v>
      </c>
      <c r="J69" s="22">
        <v>40.92</v>
      </c>
      <c r="K69" s="28">
        <v>43990.625</v>
      </c>
      <c r="L69" s="29">
        <v>59.3</v>
      </c>
    </row>
    <row r="70">
      <c r="A70" s="9" t="str">
        <f>IFERROR(__xludf.DUMMYFUNCTION("GOOGLEFINANCE(""currency:CNYUSD"", ""price"",DATE(2020,6,8))"),"Date")</f>
        <v>Date</v>
      </c>
      <c r="B70" s="9" t="str">
        <f>IFERROR(__xludf.DUMMYFUNCTION("""COMPUTED_VALUE"""),"Close")</f>
        <v>Close</v>
      </c>
      <c r="C70" s="10" t="s">
        <v>31</v>
      </c>
      <c r="D70" s="31" t="str">
        <f>IFERROR(__xludf.DUMMYFUNCTION("GOOGLEFINANCE($E70, ""name"")"),"S&amp;P GSCI Gold ER")</f>
        <v>S&amp;P GSCI Gold ER</v>
      </c>
      <c r="E70" s="11" t="s">
        <v>34</v>
      </c>
      <c r="F70" s="50">
        <v>10000.0</v>
      </c>
      <c r="G70" s="12">
        <f>F70</f>
        <v>10000</v>
      </c>
      <c r="H70" s="13">
        <f>round((G70)/J71,2)</f>
        <v>75.47</v>
      </c>
      <c r="I70" s="15" t="s">
        <v>28</v>
      </c>
      <c r="J70" s="15" t="s">
        <v>29</v>
      </c>
      <c r="K70" s="45" t="s">
        <v>28</v>
      </c>
      <c r="L70" s="45" t="s">
        <v>29</v>
      </c>
      <c r="M70" s="16">
        <f>round(L71*H70,2)</f>
        <v>9762.04</v>
      </c>
      <c r="N70" s="32">
        <f>O70</f>
        <v>-237.96</v>
      </c>
      <c r="O70" s="32">
        <f>M70-G70</f>
        <v>-237.96</v>
      </c>
      <c r="P70" s="33">
        <f> round(N70*100/F70,2)</f>
        <v>-2.38</v>
      </c>
    </row>
    <row r="71">
      <c r="A71" s="19">
        <f>IFERROR(__xludf.DUMMYFUNCTION("""COMPUTED_VALUE"""),43990.99861111111)</f>
        <v>43990.99861</v>
      </c>
      <c r="B71" s="20">
        <f>IFERROR(__xludf.DUMMYFUNCTION("""COMPUTED_VALUE"""),0.1414107)</f>
        <v>0.1414107</v>
      </c>
      <c r="I71" s="52">
        <v>43969.666666666664</v>
      </c>
      <c r="J71" s="53">
        <v>132.5</v>
      </c>
      <c r="K71" s="28">
        <v>43990.625</v>
      </c>
      <c r="L71" s="29">
        <v>129.35</v>
      </c>
    </row>
    <row r="72">
      <c r="A72" s="9"/>
      <c r="B72" s="9"/>
      <c r="C72" s="10" t="s">
        <v>35</v>
      </c>
      <c r="D72" s="31" t="str">
        <f>IFERROR(__xludf.DUMMYFUNCTION("GOOGLEFINANCE($E72, ""name"")"),"iShares Barclays 20+ Yr Treas.Bond")</f>
        <v>iShares Barclays 20+ Yr Treas.Bond</v>
      </c>
      <c r="E72" s="11" t="s">
        <v>36</v>
      </c>
      <c r="F72" s="50">
        <v>-15000.0</v>
      </c>
      <c r="G72" s="12">
        <f>F72</f>
        <v>-15000</v>
      </c>
      <c r="H72" s="13">
        <f>round((G72)/J73,2)</f>
        <v>-92</v>
      </c>
      <c r="I72" s="15" t="str">
        <f>IFERROR(__xludf.DUMMYFUNCTION("GOOGLEFINANCE($E72,""price"",""5/18/2020"")"),"Date")</f>
        <v>Date</v>
      </c>
      <c r="J72" s="15" t="str">
        <f>IFERROR(__xludf.DUMMYFUNCTION("""COMPUTED_VALUE"""),"Close")</f>
        <v>Close</v>
      </c>
      <c r="K72" s="15" t="str">
        <f>IFERROR(__xludf.DUMMYFUNCTION("GOOGLEFINANCE($E99,""price"",""06/08/2020"")"),"Date")</f>
        <v>Date</v>
      </c>
      <c r="L72" s="15" t="str">
        <f>IFERROR(__xludf.DUMMYFUNCTION("""COMPUTED_VALUE"""),"Close")</f>
        <v>Close</v>
      </c>
      <c r="M72" s="16">
        <f>round(L73*H72,2)</f>
        <v>-14417.32</v>
      </c>
      <c r="N72" s="25">
        <f>O72</f>
        <v>582.68</v>
      </c>
      <c r="O72" s="25">
        <f>M72-G72</f>
        <v>582.68</v>
      </c>
      <c r="P72" s="26">
        <f> - round(N72*100/F72,2)</f>
        <v>3.88</v>
      </c>
    </row>
    <row r="73">
      <c r="A73" s="9"/>
      <c r="B73" s="9"/>
      <c r="I73" s="21">
        <f>IFERROR(__xludf.DUMMYFUNCTION("""COMPUTED_VALUE"""),43969.66666666667)</f>
        <v>43969.66667</v>
      </c>
      <c r="J73" s="22">
        <f>IFERROR(__xludf.DUMMYFUNCTION("""COMPUTED_VALUE"""),163.05)</f>
        <v>163.05</v>
      </c>
      <c r="K73" s="21">
        <f>IFERROR(__xludf.DUMMYFUNCTION("""COMPUTED_VALUE"""),43990.66666666667)</f>
        <v>43990.66667</v>
      </c>
      <c r="L73" s="22">
        <f>IFERROR(__xludf.DUMMYFUNCTION("""COMPUTED_VALUE"""),156.71)</f>
        <v>156.71</v>
      </c>
    </row>
    <row r="74">
      <c r="A74" s="9"/>
      <c r="B74" s="9"/>
      <c r="C74" s="10" t="s">
        <v>35</v>
      </c>
      <c r="D74" s="31" t="str">
        <f>IFERROR(__xludf.DUMMYFUNCTION("GOOGLEFINANCE($E74, ""name"")"),"iShares iBoxx $ High Yid Corp Bond")</f>
        <v>iShares iBoxx $ High Yid Corp Bond</v>
      </c>
      <c r="E74" s="11" t="s">
        <v>37</v>
      </c>
      <c r="F74" s="50">
        <v>0.0</v>
      </c>
      <c r="G74" s="12">
        <f>F74</f>
        <v>0</v>
      </c>
      <c r="H74" s="13">
        <f>round((G74)/J75,2)</f>
        <v>0</v>
      </c>
      <c r="I74" s="15" t="str">
        <f>IFERROR(__xludf.DUMMYFUNCTION("GOOGLEFINANCE($E74,""price"",""5/11/2020"")"),"Date")</f>
        <v>Date</v>
      </c>
      <c r="J74" s="15" t="str">
        <f>IFERROR(__xludf.DUMMYFUNCTION("""COMPUTED_VALUE"""),"Close")</f>
        <v>Close</v>
      </c>
      <c r="K74" s="15" t="str">
        <f>IFERROR(__xludf.DUMMYFUNCTION("GOOGLEFINANCE($E101,""price"",""06/08/2020"")"),"Date")</f>
        <v>Date</v>
      </c>
      <c r="L74" s="15" t="str">
        <f>IFERROR(__xludf.DUMMYFUNCTION("""COMPUTED_VALUE"""),"Close")</f>
        <v>Close</v>
      </c>
      <c r="M74" s="16">
        <f>round(L75*H74,2)</f>
        <v>0</v>
      </c>
      <c r="N74" s="46">
        <f>O74</f>
        <v>0</v>
      </c>
      <c r="O74" s="46">
        <f>M74-G74</f>
        <v>0</v>
      </c>
      <c r="P74" s="54" t="s">
        <v>39</v>
      </c>
    </row>
    <row r="75">
      <c r="A75" s="9"/>
      <c r="B75" s="9"/>
      <c r="I75" s="21">
        <f>IFERROR(__xludf.DUMMYFUNCTION("""COMPUTED_VALUE"""),43962.66666666667)</f>
        <v>43962.66667</v>
      </c>
      <c r="J75" s="22">
        <f>IFERROR(__xludf.DUMMYFUNCTION("""COMPUTED_VALUE"""),79.39)</f>
        <v>79.39</v>
      </c>
      <c r="K75" s="21">
        <f>IFERROR(__xludf.DUMMYFUNCTION("""COMPUTED_VALUE"""),43990.66666666667)</f>
        <v>43990.66667</v>
      </c>
      <c r="L75" s="22">
        <f>IFERROR(__xludf.DUMMYFUNCTION("""COMPUTED_VALUE"""),84.56)</f>
        <v>84.56</v>
      </c>
    </row>
    <row r="76">
      <c r="A76" s="9"/>
      <c r="B76" s="9"/>
      <c r="C76" s="10" t="s">
        <v>38</v>
      </c>
      <c r="D76" s="37" t="s">
        <v>38</v>
      </c>
      <c r="E76" s="11" t="s">
        <v>39</v>
      </c>
      <c r="F76" s="50">
        <v>416432.0</v>
      </c>
      <c r="G76" s="12">
        <f>F76</f>
        <v>416432</v>
      </c>
      <c r="H76" s="38" t="s">
        <v>39</v>
      </c>
      <c r="I76" s="15" t="s">
        <v>39</v>
      </c>
      <c r="K76" s="15" t="s">
        <v>39</v>
      </c>
      <c r="M76" s="16">
        <f>round(G76*(1+ 7/36500),2)</f>
        <v>416511.86</v>
      </c>
      <c r="N76" s="17">
        <f>O76</f>
        <v>79.86</v>
      </c>
      <c r="O76" s="17">
        <f>M76-G76</f>
        <v>79.86</v>
      </c>
      <c r="P76" s="36">
        <f> round(N76*100/F76,2)</f>
        <v>0.02</v>
      </c>
    </row>
    <row r="77">
      <c r="A77" s="9"/>
      <c r="B77" s="9"/>
    </row>
    <row r="78">
      <c r="A78" s="9"/>
      <c r="B78" s="9"/>
      <c r="C78" s="39" t="s">
        <v>40</v>
      </c>
      <c r="D78" s="40"/>
      <c r="E78" s="40"/>
      <c r="F78" s="38"/>
      <c r="G78" s="40"/>
      <c r="H78" s="40"/>
      <c r="I78" s="40"/>
      <c r="J78" s="40"/>
      <c r="K78" s="40"/>
      <c r="L78" s="40"/>
      <c r="M78" s="40"/>
      <c r="N78" s="42">
        <f>SUM(N58:N77)</f>
        <v>11217.61165</v>
      </c>
      <c r="O78" s="43"/>
      <c r="P78" s="43"/>
    </row>
    <row r="81">
      <c r="H81" s="44"/>
      <c r="J81" s="48"/>
    </row>
    <row r="82">
      <c r="A82" s="1"/>
      <c r="B82" s="1"/>
      <c r="C82" s="1"/>
      <c r="D82" s="1"/>
      <c r="E82" s="1"/>
      <c r="F82" s="49" t="s">
        <v>44</v>
      </c>
      <c r="I82" s="1"/>
      <c r="J82" s="1"/>
      <c r="K82" s="1"/>
      <c r="L82" s="1"/>
      <c r="M82" s="1"/>
      <c r="N82" s="1"/>
      <c r="O82" s="1"/>
      <c r="P82" s="1"/>
    </row>
    <row r="83">
      <c r="A83" s="3" t="s">
        <v>1</v>
      </c>
      <c r="C83" s="4"/>
      <c r="D83" s="4"/>
      <c r="E83" s="4"/>
      <c r="F83" s="5" t="s">
        <v>42</v>
      </c>
      <c r="H83" s="4"/>
      <c r="I83" s="4"/>
      <c r="J83" s="4"/>
      <c r="K83" s="4"/>
      <c r="L83" s="4"/>
      <c r="M83" s="4"/>
      <c r="N83" s="5" t="s">
        <v>3</v>
      </c>
      <c r="P83" s="4"/>
    </row>
    <row r="84">
      <c r="A84" s="6" t="s">
        <v>4</v>
      </c>
      <c r="C84" s="7" t="s">
        <v>5</v>
      </c>
      <c r="D84" s="7" t="s">
        <v>6</v>
      </c>
      <c r="E84" s="7" t="s">
        <v>7</v>
      </c>
      <c r="F84" s="7" t="s">
        <v>8</v>
      </c>
      <c r="G84" s="7" t="s">
        <v>9</v>
      </c>
      <c r="H84" s="7" t="s">
        <v>10</v>
      </c>
      <c r="I84" s="8" t="s">
        <v>11</v>
      </c>
      <c r="K84" s="8" t="s">
        <v>12</v>
      </c>
      <c r="M84" s="7" t="s">
        <v>13</v>
      </c>
      <c r="N84" s="8" t="s">
        <v>14</v>
      </c>
      <c r="O84" s="7" t="s">
        <v>15</v>
      </c>
      <c r="P84" s="7" t="s">
        <v>16</v>
      </c>
    </row>
    <row r="85">
      <c r="A85" s="9" t="str">
        <f>IFERROR(__xludf.DUMMYFUNCTION("GOOGLEFINANCE(""currency:EURUSD"", ""price"",DATE(2020,5,25))"),"Date")</f>
        <v>Date</v>
      </c>
      <c r="B85" s="9" t="str">
        <f>IFERROR(__xludf.DUMMYFUNCTION("""COMPUTED_VALUE"""),"Close")</f>
        <v>Close</v>
      </c>
      <c r="C85" s="10" t="s">
        <v>17</v>
      </c>
      <c r="D85" s="11" t="str">
        <f>IFERROR(__xludf.DUMMYFUNCTION("GOOGLEFINANCE($E85, ""name"")"),"S&amp;P 500 Index")</f>
        <v>S&amp;P 500 Index</v>
      </c>
      <c r="E85" s="11" t="s">
        <v>18</v>
      </c>
      <c r="F85" s="50">
        <v>30000.0</v>
      </c>
      <c r="G85" s="12">
        <f>F85</f>
        <v>30000</v>
      </c>
      <c r="H85" s="13">
        <f>round((G85)/J86,2)</f>
        <v>10.15</v>
      </c>
      <c r="I85" s="15" t="str">
        <f>IFERROR(__xludf.DUMMYFUNCTION("GOOGLEFINANCE($E85,""price"",""05/22/2020"")"),"Date")</f>
        <v>Date</v>
      </c>
      <c r="J85" s="15" t="str">
        <f>IFERROR(__xludf.DUMMYFUNCTION("""COMPUTED_VALUE"""),"Close")</f>
        <v>Close</v>
      </c>
      <c r="K85" s="15" t="str">
        <f>IFERROR(__xludf.DUMMYFUNCTION("GOOGLEFINANCE($E85,""price"",""06/08/2020"")"),"Date")</f>
        <v>Date</v>
      </c>
      <c r="L85" s="15" t="str">
        <f>IFERROR(__xludf.DUMMYFUNCTION("""COMPUTED_VALUE"""),"Close")</f>
        <v>Close</v>
      </c>
      <c r="M85" s="16">
        <f>round(L86*H85,2)</f>
        <v>32808.76</v>
      </c>
      <c r="N85" s="17">
        <f>M85-G85</f>
        <v>2808.76</v>
      </c>
      <c r="O85" s="17">
        <f>M85-G85</f>
        <v>2808.76</v>
      </c>
      <c r="P85" s="18">
        <f> round(N85*100/F85,2)</f>
        <v>9.36</v>
      </c>
    </row>
    <row r="86">
      <c r="A86" s="19">
        <f>IFERROR(__xludf.DUMMYFUNCTION("""COMPUTED_VALUE"""),43976.99861111111)</f>
        <v>43976.99861</v>
      </c>
      <c r="B86" s="20">
        <f>IFERROR(__xludf.DUMMYFUNCTION("""COMPUTED_VALUE"""),1.09007)</f>
        <v>1.09007</v>
      </c>
      <c r="I86" s="21">
        <f>IFERROR(__xludf.DUMMYFUNCTION("""COMPUTED_VALUE"""),43973.66666666667)</f>
        <v>43973.66667</v>
      </c>
      <c r="J86" s="22">
        <f>IFERROR(__xludf.DUMMYFUNCTION("""COMPUTED_VALUE"""),2955.45)</f>
        <v>2955.45</v>
      </c>
      <c r="K86" s="21">
        <f>IFERROR(__xludf.DUMMYFUNCTION("""COMPUTED_VALUE"""),43990.66666666667)</f>
        <v>43990.66667</v>
      </c>
      <c r="L86" s="22">
        <f>IFERROR(__xludf.DUMMYFUNCTION("""COMPUTED_VALUE"""),3232.39)</f>
        <v>3232.39</v>
      </c>
    </row>
    <row r="87">
      <c r="A87" s="9" t="str">
        <f>IFERROR(__xludf.DUMMYFUNCTION("GOOGLEFINANCE(""currency:EURUSD"", ""price"",DATE(2020,6,8))"),"Date")</f>
        <v>Date</v>
      </c>
      <c r="B87" s="9" t="str">
        <f>IFERROR(__xludf.DUMMYFUNCTION("""COMPUTED_VALUE"""),"Close")</f>
        <v>Close</v>
      </c>
      <c r="C87" s="10" t="s">
        <v>17</v>
      </c>
      <c r="D87" s="11" t="str">
        <f>IFERROR(__xludf.DUMMYFUNCTION("GOOGLEFINANCE($E87, ""name"")"),"NASDAQ-100")</f>
        <v>NASDAQ-100</v>
      </c>
      <c r="E87" s="11" t="s">
        <v>19</v>
      </c>
      <c r="F87" s="50">
        <v>75000.0</v>
      </c>
      <c r="G87" s="12">
        <f>F87</f>
        <v>75000</v>
      </c>
      <c r="H87" s="13">
        <f>round((G87)/J88,2)</f>
        <v>7.97</v>
      </c>
      <c r="I87" s="15" t="str">
        <f>IFERROR(__xludf.DUMMYFUNCTION("GOOGLEFINANCE($E87,""price"",""05/22/2020"")"),"Date")</f>
        <v>Date</v>
      </c>
      <c r="J87" s="15" t="str">
        <f>IFERROR(__xludf.DUMMYFUNCTION("""COMPUTED_VALUE"""),"Close")</f>
        <v>Close</v>
      </c>
      <c r="K87" s="15" t="str">
        <f>IFERROR(__xludf.DUMMYFUNCTION("GOOGLEFINANCE($E87,""price"",""06/08/2020"")"),"Date")</f>
        <v>Date</v>
      </c>
      <c r="L87" s="15" t="str">
        <f>IFERROR(__xludf.DUMMYFUNCTION("""COMPUTED_VALUE"""),"Close")</f>
        <v>Close</v>
      </c>
      <c r="M87" s="16">
        <f>round(L88*H87,2)</f>
        <v>78915.11</v>
      </c>
      <c r="N87" s="17">
        <f>M87-G87</f>
        <v>3915.11</v>
      </c>
      <c r="O87" s="17">
        <f>M87-G87</f>
        <v>3915.11</v>
      </c>
      <c r="P87" s="18">
        <f> round(N87*100/F87,2)</f>
        <v>5.22</v>
      </c>
    </row>
    <row r="88">
      <c r="A88" s="19">
        <f>IFERROR(__xludf.DUMMYFUNCTION("""COMPUTED_VALUE"""),43990.99861111111)</f>
        <v>43990.99861</v>
      </c>
      <c r="B88" s="20">
        <f>IFERROR(__xludf.DUMMYFUNCTION("""COMPUTED_VALUE"""),1.130525)</f>
        <v>1.130525</v>
      </c>
      <c r="I88" s="21">
        <f>IFERROR(__xludf.DUMMYFUNCTION("""COMPUTED_VALUE"""),43973.66666666667)</f>
        <v>43973.66667</v>
      </c>
      <c r="J88" s="22">
        <f>IFERROR(__xludf.DUMMYFUNCTION("""COMPUTED_VALUE"""),9413.99)</f>
        <v>9413.99</v>
      </c>
      <c r="K88" s="21">
        <f>IFERROR(__xludf.DUMMYFUNCTION("""COMPUTED_VALUE"""),43990.66666666667)</f>
        <v>43990.66667</v>
      </c>
      <c r="L88" s="22">
        <f>IFERROR(__xludf.DUMMYFUNCTION("""COMPUTED_VALUE"""),9901.52)</f>
        <v>9901.52</v>
      </c>
    </row>
    <row r="89">
      <c r="A89" s="6" t="s">
        <v>20</v>
      </c>
      <c r="C89" s="10" t="s">
        <v>21</v>
      </c>
      <c r="D89" s="11" t="str">
        <f>IFERROR(__xludf.DUMMYFUNCTION("GOOGLEFINANCE(""indexdb:DAX"", ""name"")"),"DAX PERFORMANCE-INDEX")</f>
        <v>DAX PERFORMANCE-INDEX</v>
      </c>
      <c r="E89" s="11" t="s">
        <v>22</v>
      </c>
      <c r="F89" s="50">
        <v>40000.0</v>
      </c>
      <c r="G89" s="12">
        <f>F89/B86</f>
        <v>36694.89115</v>
      </c>
      <c r="H89" s="13">
        <f>round((G89)/J90,2)</f>
        <v>3.31</v>
      </c>
      <c r="I89" s="15" t="str">
        <f>IFERROR(__xludf.DUMMYFUNCTION("GOOGLEFINANCE(""indexdb:DAX"", ""price"",""05/22/2020"")"),"Date")</f>
        <v>Date</v>
      </c>
      <c r="J89" s="15" t="str">
        <f>IFERROR(__xludf.DUMMYFUNCTION("""COMPUTED_VALUE"""),"Close")</f>
        <v>Close</v>
      </c>
      <c r="K89" s="15" t="str">
        <f>IFERROR(__xludf.DUMMYFUNCTION("GOOGLEFINANCE(""indexdb:DAX"", ""price"",""06/08/2020"")"),"Date")</f>
        <v>Date</v>
      </c>
      <c r="L89" s="15" t="str">
        <f>IFERROR(__xludf.DUMMYFUNCTION("""COMPUTED_VALUE"""),"Close")</f>
        <v>Close</v>
      </c>
      <c r="M89" s="16">
        <f>round(L90*H89,2)</f>
        <v>42432.84</v>
      </c>
      <c r="N89" s="17">
        <f>O89*B88</f>
        <v>6486.894619</v>
      </c>
      <c r="O89" s="17">
        <f>M89-G89</f>
        <v>5737.948846</v>
      </c>
      <c r="P89" s="18">
        <f> round(N89*100/F89,2)</f>
        <v>16.22</v>
      </c>
    </row>
    <row r="90">
      <c r="A90" s="9" t="str">
        <f>IFERROR(__xludf.DUMMYFUNCTION("GOOGLEFINANCE(""currency:JPYUSD"", ""price"",DATE(2020,5,25))"),"Date")</f>
        <v>Date</v>
      </c>
      <c r="B90" s="9" t="str">
        <f>IFERROR(__xludf.DUMMYFUNCTION("""COMPUTED_VALUE"""),"Close")</f>
        <v>Close</v>
      </c>
      <c r="I90" s="23">
        <f>IFERROR(__xludf.DUMMYFUNCTION("""COMPUTED_VALUE"""),43973.83333333333)</f>
        <v>43973.83333</v>
      </c>
      <c r="J90" s="22">
        <f>IFERROR(__xludf.DUMMYFUNCTION("""COMPUTED_VALUE"""),11073.87)</f>
        <v>11073.87</v>
      </c>
      <c r="K90" s="23">
        <f>IFERROR(__xludf.DUMMYFUNCTION("""COMPUTED_VALUE"""),43990.83333333333)</f>
        <v>43990.83333</v>
      </c>
      <c r="L90" s="22">
        <f>IFERROR(__xludf.DUMMYFUNCTION("""COMPUTED_VALUE"""),12819.59)</f>
        <v>12819.59</v>
      </c>
    </row>
    <row r="91">
      <c r="A91" s="19">
        <f>IFERROR(__xludf.DUMMYFUNCTION("""COMPUTED_VALUE"""),43976.99861111111)</f>
        <v>43976.99861</v>
      </c>
      <c r="B91" s="20">
        <f>IFERROR(__xludf.DUMMYFUNCTION("""COMPUTED_VALUE"""),0.009286)</f>
        <v>0.009286</v>
      </c>
      <c r="C91" s="10" t="s">
        <v>23</v>
      </c>
      <c r="D91" s="11" t="str">
        <f>IFERROR(__xludf.DUMMYFUNCTION("GOOGLEFINANCE($E91, ""name"")"),"Nikkei 225")</f>
        <v>Nikkei 225</v>
      </c>
      <c r="E91" s="11" t="s">
        <v>24</v>
      </c>
      <c r="F91" s="50">
        <v>30000.0</v>
      </c>
      <c r="G91" s="12">
        <f>30000/B91</f>
        <v>3230669.826</v>
      </c>
      <c r="H91" s="13">
        <f>round((G91)/J92,2)</f>
        <v>158.46</v>
      </c>
      <c r="I91" s="15" t="str">
        <f>IFERROR(__xludf.DUMMYFUNCTION("GOOGLEFINANCE($E91,""price"",""05/21/2020"")"),"Date")</f>
        <v>Date</v>
      </c>
      <c r="J91" s="15" t="str">
        <f>IFERROR(__xludf.DUMMYFUNCTION("""COMPUTED_VALUE"""),"Close")</f>
        <v>Close</v>
      </c>
      <c r="K91" s="15" t="str">
        <f>IFERROR(__xludf.DUMMYFUNCTION("GOOGLEFINANCE($E91,""price"",""06/07/2020"")"),"Date")</f>
        <v>Date</v>
      </c>
      <c r="L91" s="15" t="str">
        <f>IFERROR(__xludf.DUMMYFUNCTION("""COMPUTED_VALUE"""),"Close")</f>
        <v>Close</v>
      </c>
      <c r="M91" s="16">
        <f>round(L92*H91,2)</f>
        <v>3672801.73</v>
      </c>
      <c r="N91" s="25">
        <f>O91*B93</f>
        <v>4078.312229</v>
      </c>
      <c r="O91" s="25">
        <f>M91-G91</f>
        <v>442131.9045</v>
      </c>
      <c r="P91" s="26">
        <f> round(N91*100/F91,2)</f>
        <v>13.59</v>
      </c>
    </row>
    <row r="92">
      <c r="A92" s="9" t="str">
        <f>IFERROR(__xludf.DUMMYFUNCTION("GOOGLEFINANCE(""currency:JPYUSD"", ""price"",DATE(2020,6,8))"),"Date")</f>
        <v>Date</v>
      </c>
      <c r="B92" s="9" t="str">
        <f>IFERROR(__xludf.DUMMYFUNCTION("""COMPUTED_VALUE"""),"Close")</f>
        <v>Close</v>
      </c>
      <c r="I92" s="23">
        <f>IFERROR(__xludf.DUMMYFUNCTION("""COMPUTED_VALUE"""),43973.625)</f>
        <v>43973.625</v>
      </c>
      <c r="J92" s="22">
        <f>IFERROR(__xludf.DUMMYFUNCTION("""COMPUTED_VALUE"""),20388.16)</f>
        <v>20388.16</v>
      </c>
      <c r="K92" s="23">
        <f>IFERROR(__xludf.DUMMYFUNCTION("""COMPUTED_VALUE"""),43990.625)</f>
        <v>43990.625</v>
      </c>
      <c r="L92" s="22">
        <f>IFERROR(__xludf.DUMMYFUNCTION("""COMPUTED_VALUE"""),23178.1)</f>
        <v>23178.1</v>
      </c>
    </row>
    <row r="93">
      <c r="A93" s="19">
        <f>IFERROR(__xludf.DUMMYFUNCTION("""COMPUTED_VALUE"""),43990.99861111111)</f>
        <v>43990.99861</v>
      </c>
      <c r="B93" s="20">
        <f>IFERROR(__xludf.DUMMYFUNCTION("""COMPUTED_VALUE"""),0.009224198)</f>
        <v>0.009224198</v>
      </c>
      <c r="C93" s="10" t="s">
        <v>25</v>
      </c>
      <c r="D93" s="11" t="s">
        <v>26</v>
      </c>
      <c r="E93" s="24" t="s">
        <v>27</v>
      </c>
      <c r="F93" s="50">
        <v>5000.0</v>
      </c>
      <c r="G93" s="12">
        <f>5000/B96</f>
        <v>35683.92889</v>
      </c>
      <c r="H93" s="13">
        <f>round((G93)/J94,2)</f>
        <v>12.67</v>
      </c>
      <c r="I93" s="15" t="s">
        <v>28</v>
      </c>
      <c r="J93" s="15" t="s">
        <v>29</v>
      </c>
      <c r="K93" s="45" t="s">
        <v>28</v>
      </c>
      <c r="L93" s="45" t="s">
        <v>29</v>
      </c>
      <c r="M93" s="16">
        <f>round(L94*H93,2)</f>
        <v>37219.01</v>
      </c>
      <c r="N93" s="25">
        <f>O93*B98</f>
        <v>217.0768949</v>
      </c>
      <c r="O93" s="25">
        <f>M93-G93</f>
        <v>1535.081114</v>
      </c>
      <c r="P93" s="26">
        <f> round(N93*100/F93,2)</f>
        <v>4.34</v>
      </c>
    </row>
    <row r="94">
      <c r="A94" s="6" t="s">
        <v>30</v>
      </c>
      <c r="I94" s="55">
        <v>43976.625</v>
      </c>
      <c r="J94" s="22">
        <v>2816.02</v>
      </c>
      <c r="K94" s="28">
        <v>43990.625</v>
      </c>
      <c r="L94" s="29">
        <v>2937.57</v>
      </c>
    </row>
    <row r="95">
      <c r="A95" s="30" t="str">
        <f>IFERROR(__xludf.DUMMYFUNCTION("GOOGLEFINANCE(""currency:CNYUSD"", ""price"",DATE(2020,5,25))"),"Date")</f>
        <v>Date</v>
      </c>
      <c r="B95" s="9" t="str">
        <f>IFERROR(__xludf.DUMMYFUNCTION("""COMPUTED_VALUE"""),"Close")</f>
        <v>Close</v>
      </c>
      <c r="C95" s="10" t="s">
        <v>31</v>
      </c>
      <c r="D95" s="31" t="str">
        <f>IFERROR(__xludf.DUMMYFUNCTION("GOOGLEFINANCE($E95, ""name"")"),"S&amp;P GSCI Crude Oil ER")</f>
        <v>S&amp;P GSCI Crude Oil ER</v>
      </c>
      <c r="E95" s="11" t="s">
        <v>32</v>
      </c>
      <c r="F95" s="50">
        <v>30000.0</v>
      </c>
      <c r="G95" s="12">
        <f>F95</f>
        <v>30000</v>
      </c>
      <c r="H95" s="13">
        <f>round((G95)/J96,2)</f>
        <v>577.81</v>
      </c>
      <c r="I95" s="15" t="s">
        <v>28</v>
      </c>
      <c r="J95" s="15" t="s">
        <v>29</v>
      </c>
      <c r="K95" s="45" t="s">
        <v>28</v>
      </c>
      <c r="L95" s="45" t="s">
        <v>29</v>
      </c>
      <c r="M95" s="16">
        <f>round(L96*H95,2)</f>
        <v>34264.13</v>
      </c>
      <c r="N95" s="25">
        <f>O95</f>
        <v>4264.13</v>
      </c>
      <c r="O95" s="25">
        <f>M95-G95</f>
        <v>4264.13</v>
      </c>
      <c r="P95" s="26">
        <f> round(N95*100/F95,2)</f>
        <v>14.21</v>
      </c>
    </row>
    <row r="96">
      <c r="A96" s="19">
        <f>IFERROR(__xludf.DUMMYFUNCTION("""COMPUTED_VALUE"""),43976.99861111111)</f>
        <v>43976.99861</v>
      </c>
      <c r="B96" s="20">
        <f>IFERROR(__xludf.DUMMYFUNCTION("""COMPUTED_VALUE"""),0.1401191)</f>
        <v>0.1401191</v>
      </c>
      <c r="I96" s="23">
        <v>43973.625</v>
      </c>
      <c r="J96" s="53">
        <v>51.92</v>
      </c>
      <c r="K96" s="28">
        <v>43990.625</v>
      </c>
      <c r="L96" s="29">
        <v>59.3</v>
      </c>
    </row>
    <row r="97">
      <c r="A97" s="9" t="str">
        <f>IFERROR(__xludf.DUMMYFUNCTION("GOOGLEFINANCE(""currency:CNYUSD"", ""price"",DATE(2020,6,8))"),"Date")</f>
        <v>Date</v>
      </c>
      <c r="B97" s="9" t="str">
        <f>IFERROR(__xludf.DUMMYFUNCTION("""COMPUTED_VALUE"""),"Close")</f>
        <v>Close</v>
      </c>
      <c r="C97" s="10" t="s">
        <v>31</v>
      </c>
      <c r="D97" s="31" t="str">
        <f>IFERROR(__xludf.DUMMYFUNCTION("GOOGLEFINANCE($E97, ""name"")"),"S&amp;P GSCI Gold ER")</f>
        <v>S&amp;P GSCI Gold ER</v>
      </c>
      <c r="E97" s="11" t="s">
        <v>34</v>
      </c>
      <c r="F97" s="50">
        <v>10000.0</v>
      </c>
      <c r="G97" s="12">
        <f>F97</f>
        <v>10000</v>
      </c>
      <c r="H97" s="13">
        <f>round((G97)/J98,2)</f>
        <v>75.18</v>
      </c>
      <c r="I97" s="15" t="s">
        <v>28</v>
      </c>
      <c r="J97" s="15" t="s">
        <v>29</v>
      </c>
      <c r="K97" s="45" t="s">
        <v>28</v>
      </c>
      <c r="L97" s="45" t="s">
        <v>29</v>
      </c>
      <c r="M97" s="16">
        <f>round(L98*H97,2)</f>
        <v>9724.53</v>
      </c>
      <c r="N97" s="32">
        <f>O97</f>
        <v>-275.47</v>
      </c>
      <c r="O97" s="32">
        <f>M97-G97</f>
        <v>-275.47</v>
      </c>
      <c r="P97" s="33">
        <f> round(N97*100/F97,2)</f>
        <v>-2.75</v>
      </c>
    </row>
    <row r="98">
      <c r="A98" s="19">
        <f>IFERROR(__xludf.DUMMYFUNCTION("""COMPUTED_VALUE"""),43990.99861111111)</f>
        <v>43990.99861</v>
      </c>
      <c r="B98" s="20">
        <f>IFERROR(__xludf.DUMMYFUNCTION("""COMPUTED_VALUE"""),0.1414107)</f>
        <v>0.1414107</v>
      </c>
      <c r="I98" s="23">
        <v>43973.625</v>
      </c>
      <c r="J98" s="53">
        <v>133.02</v>
      </c>
      <c r="K98" s="28">
        <v>43990.625</v>
      </c>
      <c r="L98" s="29">
        <v>129.35</v>
      </c>
    </row>
    <row r="99">
      <c r="A99" s="9"/>
      <c r="B99" s="9"/>
      <c r="C99" s="10" t="s">
        <v>35</v>
      </c>
      <c r="D99" s="31" t="str">
        <f>IFERROR(__xludf.DUMMYFUNCTION("GOOGLEFINANCE($E99, ""name"")"),"iShares Barclays 20+ Yr Treas.Bond")</f>
        <v>iShares Barclays 20+ Yr Treas.Bond</v>
      </c>
      <c r="E99" s="11" t="s">
        <v>36</v>
      </c>
      <c r="F99" s="50">
        <v>0.0</v>
      </c>
      <c r="G99" s="12">
        <f>F99</f>
        <v>0</v>
      </c>
      <c r="H99" s="13">
        <f>round((G99)/J100,2)</f>
        <v>0</v>
      </c>
      <c r="I99" s="15" t="str">
        <f>IFERROR(__xludf.DUMMYFUNCTION("GOOGLEFINANCE($E99,""price"",""05/22/2020"")"),"Date")</f>
        <v>Date</v>
      </c>
      <c r="J99" s="15" t="str">
        <f>IFERROR(__xludf.DUMMYFUNCTION("""COMPUTED_VALUE"""),"Close")</f>
        <v>Close</v>
      </c>
      <c r="K99" s="15" t="str">
        <f>IFERROR(__xludf.DUMMYFUNCTION("GOOGLEFINANCE($E126,""price"",""06/08/2020"")"),"Date")</f>
        <v>Date</v>
      </c>
      <c r="L99" s="15" t="str">
        <f>IFERROR(__xludf.DUMMYFUNCTION("""COMPUTED_VALUE"""),"Close")</f>
        <v>Close</v>
      </c>
      <c r="M99" s="16">
        <f>round(L100*H99,2)</f>
        <v>0</v>
      </c>
      <c r="N99" s="46">
        <f>O99</f>
        <v>0</v>
      </c>
      <c r="O99" s="46">
        <f>M99-G99</f>
        <v>0</v>
      </c>
      <c r="P99" s="51" t="s">
        <v>39</v>
      </c>
    </row>
    <row r="100">
      <c r="A100" s="9"/>
      <c r="B100" s="9"/>
      <c r="I100" s="21">
        <f>IFERROR(__xludf.DUMMYFUNCTION("""COMPUTED_VALUE"""),43973.66666666667)</f>
        <v>43973.66667</v>
      </c>
      <c r="J100" s="22">
        <f>IFERROR(__xludf.DUMMYFUNCTION("""COMPUTED_VALUE"""),165.55)</f>
        <v>165.55</v>
      </c>
      <c r="K100" s="21">
        <f>IFERROR(__xludf.DUMMYFUNCTION("""COMPUTED_VALUE"""),43990.66666666667)</f>
        <v>43990.66667</v>
      </c>
      <c r="L100" s="22">
        <f>IFERROR(__xludf.DUMMYFUNCTION("""COMPUTED_VALUE"""),156.71)</f>
        <v>156.71</v>
      </c>
    </row>
    <row r="101">
      <c r="A101" s="9"/>
      <c r="B101" s="9"/>
      <c r="C101" s="10" t="s">
        <v>35</v>
      </c>
      <c r="D101" s="31" t="str">
        <f>IFERROR(__xludf.DUMMYFUNCTION("GOOGLEFINANCE($E101, ""name"")"),"iShares iBoxx $ High Yid Corp Bond")</f>
        <v>iShares iBoxx $ High Yid Corp Bond</v>
      </c>
      <c r="E101" s="11" t="s">
        <v>37</v>
      </c>
      <c r="F101" s="50">
        <v>0.0</v>
      </c>
      <c r="G101" s="12">
        <f>F101</f>
        <v>0</v>
      </c>
      <c r="H101" s="13">
        <f>round((G101)/J102,2)</f>
        <v>0</v>
      </c>
      <c r="I101" s="15" t="str">
        <f>IFERROR(__xludf.DUMMYFUNCTION("GOOGLEFINANCE($E101,""price"",""05/22/2020"")"),"Date")</f>
        <v>Date</v>
      </c>
      <c r="J101" s="15" t="str">
        <f>IFERROR(__xludf.DUMMYFUNCTION("""COMPUTED_VALUE"""),"Close")</f>
        <v>Close</v>
      </c>
      <c r="K101" s="15" t="str">
        <f>IFERROR(__xludf.DUMMYFUNCTION("GOOGLEFINANCE($E128,""price"",""06/08/2020"")"),"Date")</f>
        <v>Date</v>
      </c>
      <c r="L101" s="15" t="str">
        <f>IFERROR(__xludf.DUMMYFUNCTION("""COMPUTED_VALUE"""),"Close")</f>
        <v>Close</v>
      </c>
      <c r="M101" s="16">
        <f>round(L102*H101,2)</f>
        <v>0</v>
      </c>
      <c r="N101" s="46">
        <f>O101</f>
        <v>0</v>
      </c>
      <c r="O101" s="46">
        <f>M101-G101</f>
        <v>0</v>
      </c>
      <c r="P101" s="54" t="s">
        <v>39</v>
      </c>
    </row>
    <row r="102">
      <c r="A102" s="9"/>
      <c r="B102" s="9"/>
      <c r="I102" s="21">
        <f>IFERROR(__xludf.DUMMYFUNCTION("""COMPUTED_VALUE"""),43973.66666666667)</f>
        <v>43973.66667</v>
      </c>
      <c r="J102" s="22">
        <f>IFERROR(__xludf.DUMMYFUNCTION("""COMPUTED_VALUE"""),81.23)</f>
        <v>81.23</v>
      </c>
      <c r="K102" s="21">
        <f>IFERROR(__xludf.DUMMYFUNCTION("""COMPUTED_VALUE"""),43990.66666666667)</f>
        <v>43990.66667</v>
      </c>
      <c r="L102" s="22">
        <f>IFERROR(__xludf.DUMMYFUNCTION("""COMPUTED_VALUE"""),84.56)</f>
        <v>84.56</v>
      </c>
    </row>
    <row r="103">
      <c r="A103" s="9"/>
      <c r="B103" s="9"/>
      <c r="C103" s="10" t="s">
        <v>38</v>
      </c>
      <c r="D103" s="37" t="s">
        <v>38</v>
      </c>
      <c r="E103" s="11" t="s">
        <v>39</v>
      </c>
      <c r="F103" s="50">
        <v>210234.0</v>
      </c>
      <c r="G103" s="12">
        <f>F103</f>
        <v>210234</v>
      </c>
      <c r="H103" s="38" t="s">
        <v>39</v>
      </c>
      <c r="I103" s="15" t="s">
        <v>39</v>
      </c>
      <c r="K103" s="15" t="s">
        <v>39</v>
      </c>
      <c r="M103" s="16">
        <f>round(G103*(1+ 7/36500),2)</f>
        <v>210274.32</v>
      </c>
      <c r="N103" s="17">
        <f>O103</f>
        <v>40.32</v>
      </c>
      <c r="O103" s="17">
        <f>M103-G103</f>
        <v>40.32</v>
      </c>
      <c r="P103" s="36">
        <f> round(N103*100/F103,2)</f>
        <v>0.02</v>
      </c>
    </row>
    <row r="104">
      <c r="A104" s="9"/>
      <c r="B104" s="9"/>
    </row>
    <row r="105">
      <c r="A105" s="9"/>
      <c r="B105" s="9"/>
      <c r="C105" s="39" t="s">
        <v>40</v>
      </c>
      <c r="D105" s="40"/>
      <c r="E105" s="40"/>
      <c r="F105" s="38"/>
      <c r="G105" s="40"/>
      <c r="H105" s="40"/>
      <c r="I105" s="40"/>
      <c r="J105" s="40"/>
      <c r="K105" s="40"/>
      <c r="L105" s="40"/>
      <c r="M105" s="40"/>
      <c r="N105" s="42">
        <f>SUM(N85:N104)</f>
        <v>21535.13374</v>
      </c>
      <c r="O105" s="43"/>
      <c r="P105" s="43"/>
    </row>
    <row r="108">
      <c r="H108" s="44"/>
      <c r="J108" s="48"/>
    </row>
    <row r="109">
      <c r="A109" s="1"/>
      <c r="B109" s="1"/>
      <c r="C109" s="1"/>
      <c r="D109" s="1"/>
      <c r="E109" s="1"/>
      <c r="F109" s="49" t="s">
        <v>45</v>
      </c>
      <c r="I109" s="1"/>
      <c r="J109" s="1"/>
      <c r="K109" s="1"/>
      <c r="L109" s="1"/>
      <c r="M109" s="1"/>
      <c r="N109" s="1"/>
      <c r="O109" s="1"/>
      <c r="P109" s="1"/>
    </row>
    <row r="110">
      <c r="A110" s="3" t="s">
        <v>1</v>
      </c>
      <c r="C110" s="4"/>
      <c r="D110" s="4"/>
      <c r="E110" s="4"/>
      <c r="F110" s="5" t="s">
        <v>42</v>
      </c>
      <c r="H110" s="4"/>
      <c r="I110" s="4"/>
      <c r="J110" s="4"/>
      <c r="K110" s="4"/>
      <c r="L110" s="4"/>
      <c r="M110" s="4"/>
      <c r="N110" s="5" t="s">
        <v>3</v>
      </c>
      <c r="P110" s="4"/>
    </row>
    <row r="111">
      <c r="A111" s="6" t="s">
        <v>4</v>
      </c>
      <c r="C111" s="7" t="s">
        <v>5</v>
      </c>
      <c r="D111" s="7" t="s">
        <v>6</v>
      </c>
      <c r="E111" s="7" t="s">
        <v>7</v>
      </c>
      <c r="F111" s="7" t="s">
        <v>8</v>
      </c>
      <c r="G111" s="7" t="s">
        <v>9</v>
      </c>
      <c r="H111" s="7" t="s">
        <v>10</v>
      </c>
      <c r="I111" s="8" t="s">
        <v>11</v>
      </c>
      <c r="K111" s="8" t="s">
        <v>12</v>
      </c>
      <c r="M111" s="7" t="s">
        <v>13</v>
      </c>
      <c r="N111" s="8" t="s">
        <v>14</v>
      </c>
      <c r="O111" s="7" t="s">
        <v>15</v>
      </c>
      <c r="P111" s="7" t="s">
        <v>16</v>
      </c>
    </row>
    <row r="112">
      <c r="A112" s="9" t="str">
        <f>IFERROR(__xludf.DUMMYFUNCTION("GOOGLEFINANCE(""currency:EURUSD"", ""price"",DATE(2020,6,1))"),"Date")</f>
        <v>Date</v>
      </c>
      <c r="B112" s="9" t="str">
        <f>IFERROR(__xludf.DUMMYFUNCTION("""COMPUTED_VALUE"""),"Close")</f>
        <v>Close</v>
      </c>
      <c r="C112" s="10" t="s">
        <v>17</v>
      </c>
      <c r="D112" s="11" t="str">
        <f>IFERROR(__xludf.DUMMYFUNCTION("GOOGLEFINANCE($E112, ""name"")"),"S&amp;P 500 Index")</f>
        <v>S&amp;P 500 Index</v>
      </c>
      <c r="E112" s="11" t="s">
        <v>18</v>
      </c>
      <c r="F112" s="50">
        <v>25000.0</v>
      </c>
      <c r="G112" s="12">
        <f>F112</f>
        <v>25000</v>
      </c>
      <c r="H112" s="13">
        <f>round((G112)/J113,2)</f>
        <v>8.18</v>
      </c>
      <c r="I112" s="15" t="str">
        <f>IFERROR(__xludf.DUMMYFUNCTION("GOOGLEFINANCE($E112,""price"",""06/01/2020"")"),"Date")</f>
        <v>Date</v>
      </c>
      <c r="J112" s="15" t="str">
        <f>IFERROR(__xludf.DUMMYFUNCTION("""COMPUTED_VALUE"""),"Close")</f>
        <v>Close</v>
      </c>
      <c r="K112" s="15" t="str">
        <f>IFERROR(__xludf.DUMMYFUNCTION("GOOGLEFINANCE($E112,""price"",""06/08/2020"")"),"Date")</f>
        <v>Date</v>
      </c>
      <c r="L112" s="15" t="str">
        <f>IFERROR(__xludf.DUMMYFUNCTION("""COMPUTED_VALUE"""),"Close")</f>
        <v>Close</v>
      </c>
      <c r="M112" s="16">
        <f>round(L113*H112,2)</f>
        <v>26440.95</v>
      </c>
      <c r="N112" s="17">
        <f>M112-G112</f>
        <v>1440.95</v>
      </c>
      <c r="O112" s="17">
        <f>M112-G112</f>
        <v>1440.95</v>
      </c>
      <c r="P112" s="18">
        <f> round(N112*100/F112,2)</f>
        <v>5.76</v>
      </c>
    </row>
    <row r="113">
      <c r="A113" s="19">
        <f>IFERROR(__xludf.DUMMYFUNCTION("""COMPUTED_VALUE"""),43983.99861111111)</f>
        <v>43983.99861</v>
      </c>
      <c r="B113" s="20">
        <f>IFERROR(__xludf.DUMMYFUNCTION("""COMPUTED_VALUE"""),1.11245)</f>
        <v>1.11245</v>
      </c>
      <c r="I113" s="21">
        <f>IFERROR(__xludf.DUMMYFUNCTION("""COMPUTED_VALUE"""),43983.66666666667)</f>
        <v>43983.66667</v>
      </c>
      <c r="J113" s="22">
        <f>IFERROR(__xludf.DUMMYFUNCTION("""COMPUTED_VALUE"""),3055.73)</f>
        <v>3055.73</v>
      </c>
      <c r="K113" s="21">
        <f>IFERROR(__xludf.DUMMYFUNCTION("""COMPUTED_VALUE"""),43990.66666666667)</f>
        <v>43990.66667</v>
      </c>
      <c r="L113" s="22">
        <f>IFERROR(__xludf.DUMMYFUNCTION("""COMPUTED_VALUE"""),3232.39)</f>
        <v>3232.39</v>
      </c>
    </row>
    <row r="114">
      <c r="A114" s="9" t="str">
        <f>IFERROR(__xludf.DUMMYFUNCTION("GOOGLEFINANCE(""currency:EURUSD"", ""price"",DATE(2020,6,8))"),"Date")</f>
        <v>Date</v>
      </c>
      <c r="B114" s="9" t="str">
        <f>IFERROR(__xludf.DUMMYFUNCTION("""COMPUTED_VALUE"""),"Close")</f>
        <v>Close</v>
      </c>
      <c r="C114" s="10" t="s">
        <v>17</v>
      </c>
      <c r="D114" s="11" t="str">
        <f>IFERROR(__xludf.DUMMYFUNCTION("GOOGLEFINANCE($E114, ""name"")"),"NASDAQ-100")</f>
        <v>NASDAQ-100</v>
      </c>
      <c r="E114" s="11" t="s">
        <v>19</v>
      </c>
      <c r="F114" s="50">
        <v>30000.0</v>
      </c>
      <c r="G114" s="12">
        <f>F114</f>
        <v>30000</v>
      </c>
      <c r="H114" s="13">
        <f>round((G114)/J115,2)</f>
        <v>3.13</v>
      </c>
      <c r="I114" s="15" t="str">
        <f>IFERROR(__xludf.DUMMYFUNCTION("GOOGLEFINANCE($E114,""price"",""06/01/2020"")"),"Date")</f>
        <v>Date</v>
      </c>
      <c r="J114" s="15" t="str">
        <f>IFERROR(__xludf.DUMMYFUNCTION("""COMPUTED_VALUE"""),"Close")</f>
        <v>Close</v>
      </c>
      <c r="K114" s="15" t="str">
        <f>IFERROR(__xludf.DUMMYFUNCTION("GOOGLEFINANCE($E114,""price"",""06/08/2020"")"),"Date")</f>
        <v>Date</v>
      </c>
      <c r="L114" s="15" t="str">
        <f>IFERROR(__xludf.DUMMYFUNCTION("""COMPUTED_VALUE"""),"Close")</f>
        <v>Close</v>
      </c>
      <c r="M114" s="16">
        <f>round(L115*H114,2)</f>
        <v>30991.76</v>
      </c>
      <c r="N114" s="17">
        <f>M114-G114</f>
        <v>991.76</v>
      </c>
      <c r="O114" s="17">
        <f>M114-G114</f>
        <v>991.76</v>
      </c>
      <c r="P114" s="18">
        <f> round(N114*100/F114,2)</f>
        <v>3.31</v>
      </c>
    </row>
    <row r="115">
      <c r="A115" s="19">
        <f>IFERROR(__xludf.DUMMYFUNCTION("""COMPUTED_VALUE"""),43990.99861111111)</f>
        <v>43990.99861</v>
      </c>
      <c r="B115" s="20">
        <f>IFERROR(__xludf.DUMMYFUNCTION("""COMPUTED_VALUE"""),1.130525)</f>
        <v>1.130525</v>
      </c>
      <c r="I115" s="21">
        <f>IFERROR(__xludf.DUMMYFUNCTION("""COMPUTED_VALUE"""),43983.66666666667)</f>
        <v>43983.66667</v>
      </c>
      <c r="J115" s="22">
        <f>IFERROR(__xludf.DUMMYFUNCTION("""COMPUTED_VALUE"""),9598.89)</f>
        <v>9598.89</v>
      </c>
      <c r="K115" s="21">
        <f>IFERROR(__xludf.DUMMYFUNCTION("""COMPUTED_VALUE"""),43990.66666666667)</f>
        <v>43990.66667</v>
      </c>
      <c r="L115" s="22">
        <f>IFERROR(__xludf.DUMMYFUNCTION("""COMPUTED_VALUE"""),9901.52)</f>
        <v>9901.52</v>
      </c>
    </row>
    <row r="116">
      <c r="A116" s="6" t="s">
        <v>20</v>
      </c>
      <c r="C116" s="10" t="s">
        <v>21</v>
      </c>
      <c r="D116" s="11" t="str">
        <f>IFERROR(__xludf.DUMMYFUNCTION("GOOGLEFINANCE(""indexdb:DAX"", ""name"")"),"DAX PERFORMANCE-INDEX")</f>
        <v>DAX PERFORMANCE-INDEX</v>
      </c>
      <c r="E116" s="11" t="s">
        <v>22</v>
      </c>
      <c r="F116" s="50">
        <v>30000.0</v>
      </c>
      <c r="G116" s="12">
        <f>F116/B113</f>
        <v>26967.50416</v>
      </c>
      <c r="H116" s="13">
        <f>round((G116)/J117,2)</f>
        <v>2.33</v>
      </c>
      <c r="I116" s="15" t="str">
        <f>IFERROR(__xludf.DUMMYFUNCTION("GOOGLEFINANCE(""indexdb:DAX"", ""price"",""05/29/2020"")"),"Date")</f>
        <v>Date</v>
      </c>
      <c r="J116" s="15" t="str">
        <f>IFERROR(__xludf.DUMMYFUNCTION("""COMPUTED_VALUE"""),"Close")</f>
        <v>Close</v>
      </c>
      <c r="K116" s="15" t="str">
        <f>IFERROR(__xludf.DUMMYFUNCTION("GOOGLEFINANCE(""indexdb:DAX"", ""price"",""06/08/2020"")"),"Date")</f>
        <v>Date</v>
      </c>
      <c r="L116" s="15" t="str">
        <f>IFERROR(__xludf.DUMMYFUNCTION("""COMPUTED_VALUE"""),"Close")</f>
        <v>Close</v>
      </c>
      <c r="M116" s="16">
        <f>round(L117*H116,2)</f>
        <v>29869.64</v>
      </c>
      <c r="N116" s="17">
        <f>O116*B115</f>
        <v>3280.937123</v>
      </c>
      <c r="O116" s="17">
        <f>M116-G116</f>
        <v>2902.135843</v>
      </c>
      <c r="P116" s="18">
        <f> round(N116*100/F116,2)</f>
        <v>10.94</v>
      </c>
    </row>
    <row r="117">
      <c r="A117" s="9" t="str">
        <f>IFERROR(__xludf.DUMMYFUNCTION("GOOGLEFINANCE(""currency:JPYUSD"", ""price"",DATE(2020,6,1))"),"Date")</f>
        <v>Date</v>
      </c>
      <c r="B117" s="9" t="str">
        <f>IFERROR(__xludf.DUMMYFUNCTION("""COMPUTED_VALUE"""),"Close")</f>
        <v>Close</v>
      </c>
      <c r="I117" s="23">
        <f>IFERROR(__xludf.DUMMYFUNCTION("""COMPUTED_VALUE"""),43980.83333333333)</f>
        <v>43980.83333</v>
      </c>
      <c r="J117" s="22">
        <f>IFERROR(__xludf.DUMMYFUNCTION("""COMPUTED_VALUE"""),11586.85)</f>
        <v>11586.85</v>
      </c>
      <c r="K117" s="23">
        <f>IFERROR(__xludf.DUMMYFUNCTION("""COMPUTED_VALUE"""),43990.83333333333)</f>
        <v>43990.83333</v>
      </c>
      <c r="L117" s="22">
        <f>IFERROR(__xludf.DUMMYFUNCTION("""COMPUTED_VALUE"""),12819.59)</f>
        <v>12819.59</v>
      </c>
    </row>
    <row r="118">
      <c r="A118" s="19">
        <f>IFERROR(__xludf.DUMMYFUNCTION("""COMPUTED_VALUE"""),43983.99861111111)</f>
        <v>43983.99861</v>
      </c>
      <c r="B118" s="20">
        <f>IFERROR(__xludf.DUMMYFUNCTION("""COMPUTED_VALUE"""),0.00929755)</f>
        <v>0.00929755</v>
      </c>
      <c r="C118" s="10" t="s">
        <v>23</v>
      </c>
      <c r="D118" s="11" t="str">
        <f>IFERROR(__xludf.DUMMYFUNCTION("GOOGLEFINANCE($E118, ""name"")"),"Nikkei 225")</f>
        <v>Nikkei 225</v>
      </c>
      <c r="E118" s="11" t="s">
        <v>24</v>
      </c>
      <c r="F118" s="50">
        <v>40000.0</v>
      </c>
      <c r="G118" s="12">
        <f>40000/B118</f>
        <v>4302208.646</v>
      </c>
      <c r="H118" s="13">
        <f>round((G118)/J119,2)</f>
        <v>195</v>
      </c>
      <c r="I118" s="15" t="str">
        <f>IFERROR(__xludf.DUMMYFUNCTION("GOOGLEFINANCE($E118,""price"",""05/31/2020"")"),"Date")</f>
        <v>Date</v>
      </c>
      <c r="J118" s="15" t="str">
        <f>IFERROR(__xludf.DUMMYFUNCTION("""COMPUTED_VALUE"""),"Close")</f>
        <v>Close</v>
      </c>
      <c r="K118" s="15" t="str">
        <f>IFERROR(__xludf.DUMMYFUNCTION("GOOGLEFINANCE($E118,""price"",""06/07/2020"")"),"Date")</f>
        <v>Date</v>
      </c>
      <c r="L118" s="15" t="str">
        <f>IFERROR(__xludf.DUMMYFUNCTION("""COMPUTED_VALUE"""),"Close")</f>
        <v>Close</v>
      </c>
      <c r="M118" s="16">
        <f>round(L119*H118,2)</f>
        <v>4519729.5</v>
      </c>
      <c r="N118" s="25">
        <f>O118*B120</f>
        <v>2006.455423</v>
      </c>
      <c r="O118" s="25">
        <f>M118-G118</f>
        <v>217520.8536</v>
      </c>
      <c r="P118" s="26">
        <f> round(N118*100/F118,2)</f>
        <v>5.02</v>
      </c>
    </row>
    <row r="119">
      <c r="A119" s="9" t="str">
        <f>IFERROR(__xludf.DUMMYFUNCTION("GOOGLEFINANCE(""currency:JPYUSD"", ""price"",DATE(2020,6,8))"),"Date")</f>
        <v>Date</v>
      </c>
      <c r="B119" s="9" t="str">
        <f>IFERROR(__xludf.DUMMYFUNCTION("""COMPUTED_VALUE"""),"Close")</f>
        <v>Close</v>
      </c>
      <c r="I119" s="23">
        <f>IFERROR(__xludf.DUMMYFUNCTION("""COMPUTED_VALUE"""),43983.625)</f>
        <v>43983.625</v>
      </c>
      <c r="J119" s="22">
        <f>IFERROR(__xludf.DUMMYFUNCTION("""COMPUTED_VALUE"""),22062.39)</f>
        <v>22062.39</v>
      </c>
      <c r="K119" s="23">
        <f>IFERROR(__xludf.DUMMYFUNCTION("""COMPUTED_VALUE"""),43990.625)</f>
        <v>43990.625</v>
      </c>
      <c r="L119" s="22">
        <f>IFERROR(__xludf.DUMMYFUNCTION("""COMPUTED_VALUE"""),23178.1)</f>
        <v>23178.1</v>
      </c>
    </row>
    <row r="120">
      <c r="A120" s="19">
        <f>IFERROR(__xludf.DUMMYFUNCTION("""COMPUTED_VALUE"""),43990.99861111111)</f>
        <v>43990.99861</v>
      </c>
      <c r="B120" s="20">
        <f>IFERROR(__xludf.DUMMYFUNCTION("""COMPUTED_VALUE"""),0.009224198)</f>
        <v>0.009224198</v>
      </c>
      <c r="C120" s="10" t="s">
        <v>25</v>
      </c>
      <c r="D120" s="11" t="s">
        <v>26</v>
      </c>
      <c r="E120" s="24" t="s">
        <v>27</v>
      </c>
      <c r="F120" s="50">
        <v>0.0</v>
      </c>
      <c r="G120" s="12">
        <f>0/B123</f>
        <v>0</v>
      </c>
      <c r="H120" s="13">
        <f>round((G120)/J121,2)</f>
        <v>0</v>
      </c>
      <c r="I120" s="15" t="s">
        <v>28</v>
      </c>
      <c r="J120" s="15" t="s">
        <v>29</v>
      </c>
      <c r="K120" s="45" t="s">
        <v>28</v>
      </c>
      <c r="L120" s="45" t="s">
        <v>29</v>
      </c>
      <c r="M120" s="16">
        <f>round(L121*H120,2)</f>
        <v>0</v>
      </c>
      <c r="N120" s="46">
        <f>O120*B125</f>
        <v>0</v>
      </c>
      <c r="O120" s="46">
        <f>M120-G120</f>
        <v>0</v>
      </c>
      <c r="P120" s="51" t="s">
        <v>39</v>
      </c>
    </row>
    <row r="121">
      <c r="A121" s="6" t="s">
        <v>30</v>
      </c>
      <c r="I121" s="55">
        <v>43983.625</v>
      </c>
      <c r="J121" s="53">
        <v>2914.42</v>
      </c>
      <c r="K121" s="28">
        <v>43990.625</v>
      </c>
      <c r="L121" s="29">
        <v>2937.57</v>
      </c>
    </row>
    <row r="122">
      <c r="A122" s="30" t="str">
        <f>IFERROR(__xludf.DUMMYFUNCTION("GOOGLEFINANCE(""currency:CNYUSD"", ""price"",DATE(2020,6,1))"),"Date")</f>
        <v>Date</v>
      </c>
      <c r="B122" s="9" t="str">
        <f>IFERROR(__xludf.DUMMYFUNCTION("""COMPUTED_VALUE"""),"Close")</f>
        <v>Close</v>
      </c>
      <c r="C122" s="10" t="s">
        <v>31</v>
      </c>
      <c r="D122" s="31" t="str">
        <f>IFERROR(__xludf.DUMMYFUNCTION("GOOGLEFINANCE($E122, ""name"")"),"S&amp;P GSCI Crude Oil ER")</f>
        <v>S&amp;P GSCI Crude Oil ER</v>
      </c>
      <c r="E122" s="11" t="s">
        <v>32</v>
      </c>
      <c r="F122" s="50">
        <v>30000.0</v>
      </c>
      <c r="G122" s="12">
        <f>F122</f>
        <v>30000</v>
      </c>
      <c r="H122" s="13">
        <f>round((G122)/J123,2)</f>
        <v>543.28</v>
      </c>
      <c r="I122" s="15" t="s">
        <v>28</v>
      </c>
      <c r="J122" s="15" t="s">
        <v>29</v>
      </c>
      <c r="K122" s="45" t="s">
        <v>28</v>
      </c>
      <c r="L122" s="45" t="s">
        <v>29</v>
      </c>
      <c r="M122" s="16">
        <f>round(L123*H122,2)</f>
        <v>32216.5</v>
      </c>
      <c r="N122" s="25">
        <f>O122</f>
        <v>2216.5</v>
      </c>
      <c r="O122" s="25">
        <f>M122-G122</f>
        <v>2216.5</v>
      </c>
      <c r="P122" s="26">
        <f> round(N122*100/F122,2)</f>
        <v>7.39</v>
      </c>
    </row>
    <row r="123">
      <c r="A123" s="19">
        <f>IFERROR(__xludf.DUMMYFUNCTION("""COMPUTED_VALUE"""),43983.99861111111)</f>
        <v>43983.99861</v>
      </c>
      <c r="B123" s="20">
        <f>IFERROR(__xludf.DUMMYFUNCTION("""COMPUTED_VALUE"""),0.140296)</f>
        <v>0.140296</v>
      </c>
      <c r="I123" s="55">
        <v>43983.625</v>
      </c>
      <c r="J123" s="53">
        <v>55.22</v>
      </c>
      <c r="K123" s="28">
        <v>43990.625</v>
      </c>
      <c r="L123" s="29">
        <v>59.3</v>
      </c>
    </row>
    <row r="124">
      <c r="A124" s="9" t="str">
        <f>IFERROR(__xludf.DUMMYFUNCTION("GOOGLEFINANCE(""currency:CNYUSD"", ""price"",DATE(2020,6,8))"),"Date")</f>
        <v>Date</v>
      </c>
      <c r="B124" s="9" t="str">
        <f>IFERROR(__xludf.DUMMYFUNCTION("""COMPUTED_VALUE"""),"Close")</f>
        <v>Close</v>
      </c>
      <c r="C124" s="10" t="s">
        <v>31</v>
      </c>
      <c r="D124" s="31" t="str">
        <f>IFERROR(__xludf.DUMMYFUNCTION("GOOGLEFINANCE($E124, ""name"")"),"S&amp;P GSCI Gold ER")</f>
        <v>S&amp;P GSCI Gold ER</v>
      </c>
      <c r="E124" s="11" t="s">
        <v>34</v>
      </c>
      <c r="F124" s="50">
        <v>0.0</v>
      </c>
      <c r="G124" s="12">
        <f>F124</f>
        <v>0</v>
      </c>
      <c r="H124" s="13">
        <f>round((G124)/J125,2)</f>
        <v>0</v>
      </c>
      <c r="I124" s="15" t="s">
        <v>28</v>
      </c>
      <c r="J124" s="15" t="s">
        <v>29</v>
      </c>
      <c r="K124" s="45" t="s">
        <v>28</v>
      </c>
      <c r="L124" s="45" t="s">
        <v>29</v>
      </c>
      <c r="M124" s="16">
        <f>round(L125*H124,2)</f>
        <v>0</v>
      </c>
      <c r="N124" s="46">
        <f>O124</f>
        <v>0</v>
      </c>
      <c r="O124" s="46">
        <f>M124-G124</f>
        <v>0</v>
      </c>
      <c r="P124" s="51" t="s">
        <v>39</v>
      </c>
    </row>
    <row r="125">
      <c r="A125" s="19">
        <f>IFERROR(__xludf.DUMMYFUNCTION("""COMPUTED_VALUE"""),43990.99861111111)</f>
        <v>43990.99861</v>
      </c>
      <c r="B125" s="20">
        <f>IFERROR(__xludf.DUMMYFUNCTION("""COMPUTED_VALUE"""),0.1414107)</f>
        <v>0.1414107</v>
      </c>
      <c r="I125" s="55">
        <v>43983.625</v>
      </c>
      <c r="J125" s="53">
        <v>132.77</v>
      </c>
      <c r="K125" s="28">
        <v>43990.625</v>
      </c>
      <c r="L125" s="29">
        <v>129.35</v>
      </c>
    </row>
    <row r="126">
      <c r="A126" s="9"/>
      <c r="B126" s="9"/>
      <c r="C126" s="10" t="s">
        <v>35</v>
      </c>
      <c r="D126" s="31" t="str">
        <f>IFERROR(__xludf.DUMMYFUNCTION("GOOGLEFINANCE($E126, ""name"")"),"iShares Barclays 20+ Yr Treas.Bond")</f>
        <v>iShares Barclays 20+ Yr Treas.Bond</v>
      </c>
      <c r="E126" s="11" t="s">
        <v>36</v>
      </c>
      <c r="F126" s="50">
        <v>-15000.0</v>
      </c>
      <c r="G126" s="12">
        <f>F126</f>
        <v>-15000</v>
      </c>
      <c r="H126" s="13">
        <f>round((G126)/J127,2)</f>
        <v>-92.43</v>
      </c>
      <c r="I126" s="15" t="str">
        <f>IFERROR(__xludf.DUMMYFUNCTION("GOOGLEFINANCE($E126,""price"",""06/01/2020"")"),"Date")</f>
        <v>Date</v>
      </c>
      <c r="J126" s="15" t="str">
        <f>IFERROR(__xludf.DUMMYFUNCTION("""COMPUTED_VALUE"""),"Close")</f>
        <v>Close</v>
      </c>
      <c r="K126" s="15" t="str">
        <f>IFERROR(__xludf.DUMMYFUNCTION("GOOGLEFINANCE($E126,""price"",""06/08/2020"")"),"Date")</f>
        <v>Date</v>
      </c>
      <c r="L126" s="15" t="str">
        <f>IFERROR(__xludf.DUMMYFUNCTION("""COMPUTED_VALUE"""),"Close")</f>
        <v>Close</v>
      </c>
      <c r="M126" s="16">
        <f>round(L127*H126,2)</f>
        <v>-14484.71</v>
      </c>
      <c r="N126" s="25">
        <f>O126</f>
        <v>515.29</v>
      </c>
      <c r="O126" s="25">
        <f>M126-G126</f>
        <v>515.29</v>
      </c>
      <c r="P126" s="56">
        <f> - round(N126*100/F126,2)</f>
        <v>3.44</v>
      </c>
    </row>
    <row r="127">
      <c r="A127" s="9"/>
      <c r="B127" s="9"/>
      <c r="I127" s="21">
        <f>IFERROR(__xludf.DUMMYFUNCTION("""COMPUTED_VALUE"""),43983.66666666667)</f>
        <v>43983.66667</v>
      </c>
      <c r="J127" s="22">
        <f>IFERROR(__xludf.DUMMYFUNCTION("""COMPUTED_VALUE"""),162.28)</f>
        <v>162.28</v>
      </c>
      <c r="K127" s="21">
        <f>IFERROR(__xludf.DUMMYFUNCTION("""COMPUTED_VALUE"""),43990.66666666667)</f>
        <v>43990.66667</v>
      </c>
      <c r="L127" s="22">
        <f>IFERROR(__xludf.DUMMYFUNCTION("""COMPUTED_VALUE"""),156.71)</f>
        <v>156.71</v>
      </c>
    </row>
    <row r="128">
      <c r="A128" s="9"/>
      <c r="B128" s="9"/>
      <c r="C128" s="10" t="s">
        <v>35</v>
      </c>
      <c r="D128" s="31" t="str">
        <f>IFERROR(__xludf.DUMMYFUNCTION("GOOGLEFINANCE($E128, ""name"")"),"iShares iBoxx $ High Yid Corp Bond")</f>
        <v>iShares iBoxx $ High Yid Corp Bond</v>
      </c>
      <c r="E128" s="11" t="s">
        <v>37</v>
      </c>
      <c r="F128" s="50">
        <v>0.0</v>
      </c>
      <c r="G128" s="12">
        <f>F128</f>
        <v>0</v>
      </c>
      <c r="H128" s="13">
        <f>round((G128)/J129,2)</f>
        <v>0</v>
      </c>
      <c r="I128" s="15" t="str">
        <f>IFERROR(__xludf.DUMMYFUNCTION("GOOGLEFINANCE($E128,""price"",""06/01/2020"")"),"Date")</f>
        <v>Date</v>
      </c>
      <c r="J128" s="15" t="str">
        <f>IFERROR(__xludf.DUMMYFUNCTION("""COMPUTED_VALUE"""),"Close")</f>
        <v>Close</v>
      </c>
      <c r="K128" s="15" t="str">
        <f>IFERROR(__xludf.DUMMYFUNCTION("GOOGLEFINANCE($E128,""price"",""06/08/2020"")"),"Date")</f>
        <v>Date</v>
      </c>
      <c r="L128" s="15" t="str">
        <f>IFERROR(__xludf.DUMMYFUNCTION("""COMPUTED_VALUE"""),"Close")</f>
        <v>Close</v>
      </c>
      <c r="M128" s="16">
        <f>round(L129*H128,2)</f>
        <v>0</v>
      </c>
      <c r="N128" s="46">
        <f>O128</f>
        <v>0</v>
      </c>
      <c r="O128" s="46">
        <f>M128-G128</f>
        <v>0</v>
      </c>
      <c r="P128" s="54" t="s">
        <v>39</v>
      </c>
    </row>
    <row r="129">
      <c r="A129" s="9"/>
      <c r="B129" s="9"/>
      <c r="I129" s="21">
        <f>IFERROR(__xludf.DUMMYFUNCTION("""COMPUTED_VALUE"""),43983.66666666667)</f>
        <v>43983.66667</v>
      </c>
      <c r="J129" s="22">
        <f>IFERROR(__xludf.DUMMYFUNCTION("""COMPUTED_VALUE"""),82.72)</f>
        <v>82.72</v>
      </c>
      <c r="K129" s="21">
        <f>IFERROR(__xludf.DUMMYFUNCTION("""COMPUTED_VALUE"""),43990.66666666667)</f>
        <v>43990.66667</v>
      </c>
      <c r="L129" s="22">
        <f>IFERROR(__xludf.DUMMYFUNCTION("""COMPUTED_VALUE"""),84.56)</f>
        <v>84.56</v>
      </c>
    </row>
    <row r="130">
      <c r="A130" s="9"/>
      <c r="B130" s="9"/>
      <c r="C130" s="10" t="s">
        <v>38</v>
      </c>
      <c r="D130" s="37" t="s">
        <v>38</v>
      </c>
      <c r="E130" s="11" t="s">
        <v>39</v>
      </c>
      <c r="F130" s="50">
        <v>109097.0</v>
      </c>
      <c r="G130" s="12">
        <f>F130</f>
        <v>109097</v>
      </c>
      <c r="H130" s="38" t="s">
        <v>39</v>
      </c>
      <c r="I130" s="15" t="s">
        <v>39</v>
      </c>
      <c r="K130" s="15" t="s">
        <v>39</v>
      </c>
      <c r="M130" s="16">
        <f>round(G130*(1+ 7/36500),2)</f>
        <v>109117.92</v>
      </c>
      <c r="N130" s="17">
        <f>O130</f>
        <v>20.92</v>
      </c>
      <c r="O130" s="17">
        <f>M130-G130</f>
        <v>20.92</v>
      </c>
      <c r="P130" s="36">
        <f> round(N130*100/F130,2)</f>
        <v>0.02</v>
      </c>
    </row>
    <row r="131">
      <c r="A131" s="9"/>
      <c r="B131" s="9"/>
    </row>
    <row r="132">
      <c r="A132" s="9"/>
      <c r="B132" s="9"/>
      <c r="C132" s="39" t="s">
        <v>40</v>
      </c>
      <c r="D132" s="40"/>
      <c r="E132" s="40"/>
      <c r="F132" s="38"/>
      <c r="G132" s="40"/>
      <c r="H132" s="40"/>
      <c r="I132" s="40"/>
      <c r="J132" s="40"/>
      <c r="K132" s="40"/>
      <c r="L132" s="40"/>
      <c r="M132" s="40"/>
      <c r="N132" s="42">
        <f>SUM(N112:N131)</f>
        <v>10472.81255</v>
      </c>
      <c r="O132" s="43"/>
      <c r="P132" s="43"/>
    </row>
    <row r="136">
      <c r="G136" s="57" t="s">
        <v>46</v>
      </c>
      <c r="I136" s="58">
        <f> N24 + N51 + N78 + N105 + N132 - 'EOW4'!J110 + 1000000</f>
        <v>53633.20891</v>
      </c>
    </row>
    <row r="137">
      <c r="G137" s="59" t="s">
        <v>47</v>
      </c>
      <c r="I137" s="60">
        <f>-160000*0.05*0.01</f>
        <v>-80</v>
      </c>
    </row>
    <row r="138">
      <c r="G138" s="61" t="s">
        <v>48</v>
      </c>
      <c r="I138" s="17">
        <f> 'EOW4'!J110 + I136 + I137</f>
        <v>1107650.013</v>
      </c>
    </row>
  </sheetData>
  <mergeCells count="562"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  <mergeCell ref="H81:I81"/>
    <mergeCell ref="F82:H82"/>
    <mergeCell ref="A83:B83"/>
    <mergeCell ref="F83:G83"/>
    <mergeCell ref="N83:O83"/>
    <mergeCell ref="I84:J84"/>
    <mergeCell ref="K84:L84"/>
    <mergeCell ref="A84:B84"/>
    <mergeCell ref="C85:C86"/>
    <mergeCell ref="D85:D86"/>
    <mergeCell ref="E85:E86"/>
    <mergeCell ref="F85:F86"/>
    <mergeCell ref="G85:G86"/>
    <mergeCell ref="H85:H86"/>
    <mergeCell ref="O85:O86"/>
    <mergeCell ref="M85:M86"/>
    <mergeCell ref="N85:N86"/>
    <mergeCell ref="P85:P86"/>
    <mergeCell ref="D87:D88"/>
    <mergeCell ref="E87:E88"/>
    <mergeCell ref="F87:F88"/>
    <mergeCell ref="A89:B89"/>
    <mergeCell ref="C87:C88"/>
    <mergeCell ref="C89:C90"/>
    <mergeCell ref="D89:D90"/>
    <mergeCell ref="E89:E90"/>
    <mergeCell ref="F89:F90"/>
    <mergeCell ref="G89:G90"/>
    <mergeCell ref="H89:H90"/>
    <mergeCell ref="D93:D94"/>
    <mergeCell ref="E93:E94"/>
    <mergeCell ref="A94:B94"/>
    <mergeCell ref="C95:C96"/>
    <mergeCell ref="D95:D96"/>
    <mergeCell ref="E95:E96"/>
    <mergeCell ref="F93:F94"/>
    <mergeCell ref="G93:G94"/>
    <mergeCell ref="F95:F96"/>
    <mergeCell ref="G95:G96"/>
    <mergeCell ref="H95:H96"/>
    <mergeCell ref="C91:C92"/>
    <mergeCell ref="D91:D92"/>
    <mergeCell ref="E91:E92"/>
    <mergeCell ref="F91:F92"/>
    <mergeCell ref="G91:G92"/>
    <mergeCell ref="H91:H92"/>
    <mergeCell ref="C93:C94"/>
    <mergeCell ref="H93:H94"/>
    <mergeCell ref="M93:M94"/>
    <mergeCell ref="M95:M96"/>
    <mergeCell ref="P95:P96"/>
    <mergeCell ref="M87:M88"/>
    <mergeCell ref="N87:N88"/>
    <mergeCell ref="M89:M90"/>
    <mergeCell ref="N89:N90"/>
    <mergeCell ref="M91:M92"/>
    <mergeCell ref="N91:N92"/>
    <mergeCell ref="N93:N94"/>
    <mergeCell ref="N95:N96"/>
    <mergeCell ref="M112:M113"/>
    <mergeCell ref="M114:M115"/>
    <mergeCell ref="N114:N115"/>
    <mergeCell ref="O114:O115"/>
    <mergeCell ref="P114:P115"/>
    <mergeCell ref="M116:M117"/>
    <mergeCell ref="N116:N117"/>
    <mergeCell ref="M118:M119"/>
    <mergeCell ref="N118:N119"/>
    <mergeCell ref="O118:O119"/>
    <mergeCell ref="P118:P119"/>
    <mergeCell ref="N120:N121"/>
    <mergeCell ref="O120:O121"/>
    <mergeCell ref="P120:P121"/>
    <mergeCell ref="O87:O88"/>
    <mergeCell ref="P87:P88"/>
    <mergeCell ref="O89:O90"/>
    <mergeCell ref="P89:P90"/>
    <mergeCell ref="O91:O92"/>
    <mergeCell ref="P91:P92"/>
    <mergeCell ref="P93:P94"/>
    <mergeCell ref="N99:N100"/>
    <mergeCell ref="O99:O100"/>
    <mergeCell ref="O93:O94"/>
    <mergeCell ref="O95:O96"/>
    <mergeCell ref="M97:M98"/>
    <mergeCell ref="N97:N98"/>
    <mergeCell ref="O97:O98"/>
    <mergeCell ref="P97:P98"/>
    <mergeCell ref="P99:P100"/>
    <mergeCell ref="M99:M100"/>
    <mergeCell ref="M101:M102"/>
    <mergeCell ref="N101:N102"/>
    <mergeCell ref="O101:O102"/>
    <mergeCell ref="P101:P102"/>
    <mergeCell ref="K103:L104"/>
    <mergeCell ref="M103:M104"/>
    <mergeCell ref="P103:P104"/>
    <mergeCell ref="N103:N104"/>
    <mergeCell ref="O103:O104"/>
    <mergeCell ref="N110:O110"/>
    <mergeCell ref="K111:L111"/>
    <mergeCell ref="N112:N113"/>
    <mergeCell ref="O112:O113"/>
    <mergeCell ref="P112:P113"/>
    <mergeCell ref="O116:O117"/>
    <mergeCell ref="P116:P117"/>
    <mergeCell ref="M120:M121"/>
    <mergeCell ref="M122:M123"/>
    <mergeCell ref="N122:N123"/>
    <mergeCell ref="O122:O123"/>
    <mergeCell ref="P122:P123"/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F55:H55"/>
    <mergeCell ref="A56:B56"/>
    <mergeCell ref="F56:G56"/>
    <mergeCell ref="N56:O56"/>
    <mergeCell ref="A57:B57"/>
    <mergeCell ref="K57:L57"/>
    <mergeCell ref="M58:M59"/>
    <mergeCell ref="N58:N59"/>
    <mergeCell ref="O58:O59"/>
    <mergeCell ref="P58:P59"/>
    <mergeCell ref="I57:J57"/>
    <mergeCell ref="C58:C59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M60:M61"/>
    <mergeCell ref="A62:B62"/>
    <mergeCell ref="C60:C61"/>
    <mergeCell ref="C62:C63"/>
    <mergeCell ref="D62:D63"/>
    <mergeCell ref="E62:E63"/>
    <mergeCell ref="F62:F63"/>
    <mergeCell ref="G62:G63"/>
    <mergeCell ref="H62:H63"/>
    <mergeCell ref="M64:M65"/>
    <mergeCell ref="N64:N65"/>
    <mergeCell ref="O64:O65"/>
    <mergeCell ref="P64:P65"/>
    <mergeCell ref="M66:M67"/>
    <mergeCell ref="N66:N67"/>
    <mergeCell ref="O66:O67"/>
    <mergeCell ref="P66:P67"/>
    <mergeCell ref="N60:N61"/>
    <mergeCell ref="O60:O61"/>
    <mergeCell ref="P60:P61"/>
    <mergeCell ref="M62:M63"/>
    <mergeCell ref="N62:N63"/>
    <mergeCell ref="O62:O63"/>
    <mergeCell ref="P62:P63"/>
    <mergeCell ref="D66:D67"/>
    <mergeCell ref="E66:E67"/>
    <mergeCell ref="A67:B67"/>
    <mergeCell ref="M68:M69"/>
    <mergeCell ref="N68:N69"/>
    <mergeCell ref="O68:O69"/>
    <mergeCell ref="P68:P69"/>
    <mergeCell ref="N70:N71"/>
    <mergeCell ref="O70:O71"/>
    <mergeCell ref="P70:P71"/>
    <mergeCell ref="M70:M71"/>
    <mergeCell ref="M72:M73"/>
    <mergeCell ref="N72:N73"/>
    <mergeCell ref="O72:O73"/>
    <mergeCell ref="P72:P73"/>
    <mergeCell ref="M74:M75"/>
    <mergeCell ref="N74:N75"/>
    <mergeCell ref="F66:F67"/>
    <mergeCell ref="G66:G67"/>
    <mergeCell ref="C64:C65"/>
    <mergeCell ref="D64:D65"/>
    <mergeCell ref="E64:E65"/>
    <mergeCell ref="F64:F65"/>
    <mergeCell ref="G64:G65"/>
    <mergeCell ref="H64:H65"/>
    <mergeCell ref="H66:H67"/>
    <mergeCell ref="C66:C67"/>
    <mergeCell ref="C68:C69"/>
    <mergeCell ref="D68:D69"/>
    <mergeCell ref="E68:E69"/>
    <mergeCell ref="F68:F69"/>
    <mergeCell ref="G68:G69"/>
    <mergeCell ref="H68:H69"/>
    <mergeCell ref="C70:C71"/>
    <mergeCell ref="D70:D71"/>
    <mergeCell ref="E70:E71"/>
    <mergeCell ref="F70:F71"/>
    <mergeCell ref="G70:G71"/>
    <mergeCell ref="H70:H71"/>
    <mergeCell ref="C72:C73"/>
    <mergeCell ref="H72:H73"/>
    <mergeCell ref="O74:O75"/>
    <mergeCell ref="P74:P75"/>
    <mergeCell ref="H76:H77"/>
    <mergeCell ref="I76:J77"/>
    <mergeCell ref="K76:L77"/>
    <mergeCell ref="M76:M77"/>
    <mergeCell ref="N76:N77"/>
    <mergeCell ref="O76:O77"/>
    <mergeCell ref="P76:P77"/>
    <mergeCell ref="G87:G88"/>
    <mergeCell ref="H87:H88"/>
    <mergeCell ref="F72:F73"/>
    <mergeCell ref="G72:G73"/>
    <mergeCell ref="F74:F75"/>
    <mergeCell ref="G74:G75"/>
    <mergeCell ref="H74:H75"/>
    <mergeCell ref="F76:F77"/>
    <mergeCell ref="G76:G77"/>
    <mergeCell ref="D72:D73"/>
    <mergeCell ref="E72:E73"/>
    <mergeCell ref="C74:C75"/>
    <mergeCell ref="D74:D75"/>
    <mergeCell ref="E74:E75"/>
    <mergeCell ref="D76:D77"/>
    <mergeCell ref="E76:E77"/>
    <mergeCell ref="C76:C77"/>
    <mergeCell ref="C97:C98"/>
    <mergeCell ref="D97:D98"/>
    <mergeCell ref="E97:E98"/>
    <mergeCell ref="F97:F98"/>
    <mergeCell ref="G97:G98"/>
    <mergeCell ref="H97:H98"/>
    <mergeCell ref="C99:C100"/>
    <mergeCell ref="D99:D100"/>
    <mergeCell ref="E99:E100"/>
    <mergeCell ref="F99:F100"/>
    <mergeCell ref="G99:G100"/>
    <mergeCell ref="H99:H100"/>
    <mergeCell ref="C101:C102"/>
    <mergeCell ref="H101:H102"/>
    <mergeCell ref="F109:H109"/>
    <mergeCell ref="F110:G110"/>
    <mergeCell ref="I111:J111"/>
    <mergeCell ref="F101:F102"/>
    <mergeCell ref="G101:G102"/>
    <mergeCell ref="F103:F104"/>
    <mergeCell ref="G103:G104"/>
    <mergeCell ref="H103:H104"/>
    <mergeCell ref="I103:J104"/>
    <mergeCell ref="H108:I108"/>
    <mergeCell ref="D101:D102"/>
    <mergeCell ref="E101:E102"/>
    <mergeCell ref="C103:C104"/>
    <mergeCell ref="D103:D104"/>
    <mergeCell ref="E103:E104"/>
    <mergeCell ref="A110:B110"/>
    <mergeCell ref="A111:B111"/>
    <mergeCell ref="C122:C123"/>
    <mergeCell ref="D122:D123"/>
    <mergeCell ref="E122:E123"/>
    <mergeCell ref="F122:F123"/>
    <mergeCell ref="G122:G123"/>
    <mergeCell ref="H122:H123"/>
    <mergeCell ref="C124:C125"/>
    <mergeCell ref="H124:H125"/>
    <mergeCell ref="D124:D125"/>
    <mergeCell ref="E124:E125"/>
    <mergeCell ref="C126:C127"/>
    <mergeCell ref="D126:D127"/>
    <mergeCell ref="E126:E127"/>
    <mergeCell ref="F126:F127"/>
    <mergeCell ref="G126:G127"/>
    <mergeCell ref="D130:D131"/>
    <mergeCell ref="E130:E131"/>
    <mergeCell ref="F130:F131"/>
    <mergeCell ref="G130:G131"/>
    <mergeCell ref="I130:J131"/>
    <mergeCell ref="K130:L131"/>
    <mergeCell ref="M130:M131"/>
    <mergeCell ref="N130:N131"/>
    <mergeCell ref="O130:O131"/>
    <mergeCell ref="P130:P131"/>
    <mergeCell ref="H130:H131"/>
    <mergeCell ref="G136:H136"/>
    <mergeCell ref="G137:H137"/>
    <mergeCell ref="G138:H138"/>
    <mergeCell ref="C128:C129"/>
    <mergeCell ref="D128:D129"/>
    <mergeCell ref="E128:E129"/>
    <mergeCell ref="F128:F129"/>
    <mergeCell ref="G128:G129"/>
    <mergeCell ref="H128:H129"/>
    <mergeCell ref="C130:C131"/>
    <mergeCell ref="F114:F115"/>
    <mergeCell ref="G114:G115"/>
    <mergeCell ref="F116:F117"/>
    <mergeCell ref="G116:G117"/>
    <mergeCell ref="H116:H117"/>
    <mergeCell ref="C112:C113"/>
    <mergeCell ref="D112:D113"/>
    <mergeCell ref="E112:E113"/>
    <mergeCell ref="F112:F113"/>
    <mergeCell ref="G112:G113"/>
    <mergeCell ref="H112:H113"/>
    <mergeCell ref="C114:C115"/>
    <mergeCell ref="H114:H115"/>
    <mergeCell ref="D118:D119"/>
    <mergeCell ref="E118:E119"/>
    <mergeCell ref="F118:F119"/>
    <mergeCell ref="G118:G119"/>
    <mergeCell ref="H118:H119"/>
    <mergeCell ref="D114:D115"/>
    <mergeCell ref="E114:E115"/>
    <mergeCell ref="A116:B116"/>
    <mergeCell ref="C116:C117"/>
    <mergeCell ref="D116:D117"/>
    <mergeCell ref="E116:E117"/>
    <mergeCell ref="C118:C119"/>
    <mergeCell ref="C120:C121"/>
    <mergeCell ref="D120:D121"/>
    <mergeCell ref="E120:E121"/>
    <mergeCell ref="F120:F121"/>
    <mergeCell ref="G120:G121"/>
    <mergeCell ref="H120:H121"/>
    <mergeCell ref="A121:B121"/>
    <mergeCell ref="F124:F125"/>
    <mergeCell ref="G124:G125"/>
    <mergeCell ref="M124:M125"/>
    <mergeCell ref="N124:N125"/>
    <mergeCell ref="O124:O125"/>
    <mergeCell ref="P124:P125"/>
    <mergeCell ref="O128:O129"/>
    <mergeCell ref="P128:P129"/>
    <mergeCell ref="H126:H127"/>
    <mergeCell ref="M126:M127"/>
    <mergeCell ref="N126:N127"/>
    <mergeCell ref="O126:O127"/>
    <mergeCell ref="P126:P127"/>
    <mergeCell ref="M128:M129"/>
    <mergeCell ref="N128:N1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4"/>
      <c r="N2" s="5" t="s">
        <v>3</v>
      </c>
      <c r="P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8" t="s">
        <v>12</v>
      </c>
      <c r="M3" s="7" t="s">
        <v>13</v>
      </c>
      <c r="N3" s="8" t="s">
        <v>14</v>
      </c>
      <c r="O3" s="7" t="s">
        <v>15</v>
      </c>
      <c r="P3" s="7" t="s">
        <v>16</v>
      </c>
    </row>
    <row r="4">
      <c r="A4" s="9" t="str">
        <f>IFERROR(__xludf.DUMMYFUNCTION("GOOGLEFINANCE(""currency:EURUSD"", ""price"",DATE(2020,5,4))"),"Date")</f>
        <v>Date</v>
      </c>
      <c r="B4" s="9" t="str">
        <f>IFERROR(__xludf.DUMMYFUNCTION("""COMPUTED_VALUE"""),"Close")</f>
        <v>Close</v>
      </c>
      <c r="C4" s="10" t="s">
        <v>17</v>
      </c>
      <c r="D4" s="11" t="str">
        <f>IFERROR(__xludf.DUMMYFUNCTION("GOOGLEFINANCE($E4, ""name"")"),"S&amp;P 500 Index")</f>
        <v>S&amp;P 500 Index</v>
      </c>
      <c r="E4" s="11" t="s">
        <v>18</v>
      </c>
      <c r="F4" s="12">
        <v>50000.0</v>
      </c>
      <c r="G4" s="12">
        <v>50000.0</v>
      </c>
      <c r="H4" s="13">
        <f>round(G4/J5,2)</f>
        <v>17.59</v>
      </c>
      <c r="I4" s="14" t="str">
        <f>IFERROR(__xludf.DUMMYFUNCTION("GOOGLEFINANCE($E4,""price"",""5/4/2020"")"),"Date")</f>
        <v>Date</v>
      </c>
      <c r="J4" s="15" t="str">
        <f>IFERROR(__xludf.DUMMYFUNCTION("""COMPUTED_VALUE"""),"Close")</f>
        <v>Close</v>
      </c>
      <c r="K4" s="15" t="str">
        <f>IFERROR(__xludf.DUMMYFUNCTION("GOOGLEFINANCE($E4,""price"",""06/01/2020"")"),"Date")</f>
        <v>Date</v>
      </c>
      <c r="L4" s="15" t="str">
        <f>IFERROR(__xludf.DUMMYFUNCTION("""COMPUTED_VALUE"""),"Close")</f>
        <v>Close</v>
      </c>
      <c r="M4" s="16">
        <f>round(L5*H4,2)</f>
        <v>53750.29</v>
      </c>
      <c r="N4" s="17">
        <f>M4-G4</f>
        <v>3750.29</v>
      </c>
      <c r="O4" s="17">
        <f>M4-G4</f>
        <v>3750.29</v>
      </c>
      <c r="P4" s="18">
        <f> round(N4*100/F4,2)</f>
        <v>7.5</v>
      </c>
    </row>
    <row r="5">
      <c r="A5" s="19">
        <f>IFERROR(__xludf.DUMMYFUNCTION("""COMPUTED_VALUE"""),43955.99861111111)</f>
        <v>43955.99861</v>
      </c>
      <c r="B5" s="20">
        <f>IFERROR(__xludf.DUMMYFUNCTION("""COMPUTED_VALUE"""),1.09041)</f>
        <v>1.09041</v>
      </c>
      <c r="I5" s="21">
        <f>IFERROR(__xludf.DUMMYFUNCTION("""COMPUTED_VALUE"""),43955.66666666667)</f>
        <v>43955.66667</v>
      </c>
      <c r="J5" s="22">
        <f>IFERROR(__xludf.DUMMYFUNCTION("""COMPUTED_VALUE"""),2842.74)</f>
        <v>2842.74</v>
      </c>
      <c r="K5" s="21">
        <f>IFERROR(__xludf.DUMMYFUNCTION("""COMPUTED_VALUE"""),43983.66666666667)</f>
        <v>43983.66667</v>
      </c>
      <c r="L5" s="22">
        <f>IFERROR(__xludf.DUMMYFUNCTION("""COMPUTED_VALUE"""),3055.73)</f>
        <v>3055.73</v>
      </c>
    </row>
    <row r="6">
      <c r="A6" s="9" t="str">
        <f>IFERROR(__xludf.DUMMYFUNCTION("GOOGLEFINANCE(""currency:EURUSD"", ""price"",DATE(2020,6,1))"),"Date")</f>
        <v>Date</v>
      </c>
      <c r="B6" s="9" t="str">
        <f>IFERROR(__xludf.DUMMYFUNCTION("""COMPUTED_VALUE"""),"Close")</f>
        <v>Close</v>
      </c>
      <c r="C6" s="10" t="s">
        <v>17</v>
      </c>
      <c r="D6" s="11" t="str">
        <f>IFERROR(__xludf.DUMMYFUNCTION("GOOGLEFINANCE($E6, ""name"")"),"NASDAQ-100")</f>
        <v>NASDAQ-100</v>
      </c>
      <c r="E6" s="11" t="s">
        <v>19</v>
      </c>
      <c r="F6" s="12">
        <v>50000.0</v>
      </c>
      <c r="G6" s="12">
        <v>50000.0</v>
      </c>
      <c r="H6" s="13">
        <f>round(G6/J7,2)</f>
        <v>5.66</v>
      </c>
      <c r="I6" s="15" t="str">
        <f>IFERROR(__xludf.DUMMYFUNCTION("GOOGLEFINANCE($E6,""price"",""5/4/2020"")"),"Date")</f>
        <v>Date</v>
      </c>
      <c r="J6" s="15" t="str">
        <f>IFERROR(__xludf.DUMMYFUNCTION("""COMPUTED_VALUE"""),"Close")</f>
        <v>Close</v>
      </c>
      <c r="K6" s="15" t="str">
        <f>IFERROR(__xludf.DUMMYFUNCTION("GOOGLEFINANCE($E6,""price"",""06/01/2020"")"),"Date")</f>
        <v>Date</v>
      </c>
      <c r="L6" s="15" t="str">
        <f>IFERROR(__xludf.DUMMYFUNCTION("""COMPUTED_VALUE"""),"Close")</f>
        <v>Close</v>
      </c>
      <c r="M6" s="16">
        <f>round(L7*H6,2)</f>
        <v>54329.72</v>
      </c>
      <c r="N6" s="17">
        <f>M6-G6</f>
        <v>4329.72</v>
      </c>
      <c r="O6" s="17">
        <f>M6-G6</f>
        <v>4329.72</v>
      </c>
      <c r="P6" s="18">
        <f> round(N6*100/F6,2)</f>
        <v>8.66</v>
      </c>
    </row>
    <row r="7">
      <c r="A7" s="19">
        <f>IFERROR(__xludf.DUMMYFUNCTION("""COMPUTED_VALUE"""),43983.99861111111)</f>
        <v>43983.99861</v>
      </c>
      <c r="B7" s="20">
        <f>IFERROR(__xludf.DUMMYFUNCTION("""COMPUTED_VALUE"""),1.11245)</f>
        <v>1.11245</v>
      </c>
      <c r="I7" s="21">
        <f>IFERROR(__xludf.DUMMYFUNCTION("""COMPUTED_VALUE"""),43955.66666666667)</f>
        <v>43955.66667</v>
      </c>
      <c r="J7" s="22">
        <f>IFERROR(__xludf.DUMMYFUNCTION("""COMPUTED_VALUE"""),8834.11)</f>
        <v>8834.11</v>
      </c>
      <c r="K7" s="21">
        <f>IFERROR(__xludf.DUMMYFUNCTION("""COMPUTED_VALUE"""),43983.66666666667)</f>
        <v>43983.66667</v>
      </c>
      <c r="L7" s="22">
        <f>IFERROR(__xludf.DUMMYFUNCTION("""COMPUTED_VALUE"""),9598.89)</f>
        <v>9598.89</v>
      </c>
    </row>
    <row r="8">
      <c r="A8" s="6" t="s">
        <v>20</v>
      </c>
      <c r="C8" s="10" t="s">
        <v>21</v>
      </c>
      <c r="D8" s="11" t="str">
        <f>IFERROR(__xludf.DUMMYFUNCTION("GOOGLEFINANCE(""indexdb:DAX"", ""name"")"),"DAX PERFORMANCE-INDEX")</f>
        <v>DAX PERFORMANCE-INDEX</v>
      </c>
      <c r="E8" s="11" t="s">
        <v>22</v>
      </c>
      <c r="F8" s="12">
        <v>50000.0</v>
      </c>
      <c r="G8" s="12">
        <f>50000/B5</f>
        <v>45854.31168</v>
      </c>
      <c r="H8" s="13">
        <f>round(G8/J9,2)</f>
        <v>4.38</v>
      </c>
      <c r="I8" s="14" t="str">
        <f>IFERROR(__xludf.DUMMYFUNCTION("GOOGLEFINANCE(""indexdb:DAX"",""price"",""5/4/2020"")"),"Date")</f>
        <v>Date</v>
      </c>
      <c r="J8" s="15" t="str">
        <f>IFERROR(__xludf.DUMMYFUNCTION("""COMPUTED_VALUE"""),"Close")</f>
        <v>Close</v>
      </c>
      <c r="K8" s="15" t="str">
        <f>IFERROR(__xludf.DUMMYFUNCTION("GOOGLEFINANCE(""indexdb:DAX"", ""price"",""05/29/2020"")"),"Date")</f>
        <v>Date</v>
      </c>
      <c r="L8" s="15" t="str">
        <f>IFERROR(__xludf.DUMMYFUNCTION("""COMPUTED_VALUE"""),"Close")</f>
        <v>Close</v>
      </c>
      <c r="M8" s="16">
        <f>round(L9*H8,2)</f>
        <v>50750.4</v>
      </c>
      <c r="N8" s="17">
        <f>O8*B7</f>
        <v>5446.653451</v>
      </c>
      <c r="O8" s="17">
        <f>M8-G8</f>
        <v>4896.088319</v>
      </c>
      <c r="P8" s="18">
        <f> round(N8*100/F8,2)</f>
        <v>10.89</v>
      </c>
    </row>
    <row r="9">
      <c r="A9" s="9" t="str">
        <f>IFERROR(__xludf.DUMMYFUNCTION("GOOGLEFINANCE(""currency:JPYUSD"", ""price"",DATE(2020,5,4))"),"Date")</f>
        <v>Date</v>
      </c>
      <c r="B9" s="9" t="str">
        <f>IFERROR(__xludf.DUMMYFUNCTION("""COMPUTED_VALUE"""),"Close")</f>
        <v>Close</v>
      </c>
      <c r="I9" s="21">
        <f>IFERROR(__xludf.DUMMYFUNCTION("""COMPUTED_VALUE"""),43955.83333333333)</f>
        <v>43955.83333</v>
      </c>
      <c r="J9" s="22">
        <f>IFERROR(__xludf.DUMMYFUNCTION("""COMPUTED_VALUE"""),10466.8)</f>
        <v>10466.8</v>
      </c>
      <c r="K9" s="23">
        <f>IFERROR(__xludf.DUMMYFUNCTION("""COMPUTED_VALUE"""),43980.83333333333)</f>
        <v>43980.83333</v>
      </c>
      <c r="L9" s="22">
        <f>IFERROR(__xludf.DUMMYFUNCTION("""COMPUTED_VALUE"""),11586.85)</f>
        <v>11586.85</v>
      </c>
    </row>
    <row r="10">
      <c r="A10" s="19">
        <f>IFERROR(__xludf.DUMMYFUNCTION("""COMPUTED_VALUE"""),43955.99861111111)</f>
        <v>43955.99861</v>
      </c>
      <c r="B10" s="20">
        <f>IFERROR(__xludf.DUMMYFUNCTION("""COMPUTED_VALUE"""),0.009372)</f>
        <v>0.009372</v>
      </c>
      <c r="C10" s="10" t="s">
        <v>23</v>
      </c>
      <c r="D10" s="11" t="str">
        <f>IFERROR(__xludf.DUMMYFUNCTION("GOOGLEFINANCE($E10, ""name"")"),"Nikkei 225")</f>
        <v>Nikkei 225</v>
      </c>
      <c r="E10" s="11" t="s">
        <v>24</v>
      </c>
      <c r="F10" s="12">
        <v>20000.0</v>
      </c>
      <c r="G10" s="12">
        <f>20000/B10</f>
        <v>2134016.219</v>
      </c>
      <c r="H10" s="13">
        <f>round(G10/J11,2)</f>
        <v>108.77</v>
      </c>
      <c r="I10" s="15" t="str">
        <f>IFERROR(__xludf.DUMMYFUNCTION("GOOGLEFINANCE($E10,""price"",""4/30/2020"")"),"Date")</f>
        <v>Date</v>
      </c>
      <c r="J10" s="15" t="str">
        <f>IFERROR(__xludf.DUMMYFUNCTION("""COMPUTED_VALUE"""),"Close")</f>
        <v>Close</v>
      </c>
      <c r="K10" s="15" t="str">
        <f>IFERROR(__xludf.DUMMYFUNCTION("GOOGLEFINANCE($E10,""price"",""05/31/2020"")"),"Date")</f>
        <v>Date</v>
      </c>
      <c r="L10" s="15" t="str">
        <f>IFERROR(__xludf.DUMMYFUNCTION("""COMPUTED_VALUE"""),"Close")</f>
        <v>Close</v>
      </c>
      <c r="M10" s="16">
        <f>round(L11*H10,2)</f>
        <v>2399726.16</v>
      </c>
      <c r="N10" s="17">
        <f>O10*B12</f>
        <v>2470.451466</v>
      </c>
      <c r="O10" s="17">
        <f>M10-G10</f>
        <v>265709.9415</v>
      </c>
      <c r="P10" s="18">
        <f> round(N10*100/F10,2)</f>
        <v>12.35</v>
      </c>
    </row>
    <row r="11">
      <c r="A11" s="9" t="str">
        <f>IFERROR(__xludf.DUMMYFUNCTION("GOOGLEFINANCE(""currency:JPYUSD"", ""price"",DATE(2020,6,1))"),"Date")</f>
        <v>Date</v>
      </c>
      <c r="B11" s="9" t="str">
        <f>IFERROR(__xludf.DUMMYFUNCTION("""COMPUTED_VALUE"""),"Close")</f>
        <v>Close</v>
      </c>
      <c r="I11" s="21">
        <f>IFERROR(__xludf.DUMMYFUNCTION("""COMPUTED_VALUE"""),43952.625)</f>
        <v>43952.625</v>
      </c>
      <c r="J11" s="22">
        <f>IFERROR(__xludf.DUMMYFUNCTION("""COMPUTED_VALUE"""),19619.35)</f>
        <v>19619.35</v>
      </c>
      <c r="K11" s="23">
        <f>IFERROR(__xludf.DUMMYFUNCTION("""COMPUTED_VALUE"""),43983.625)</f>
        <v>43983.625</v>
      </c>
      <c r="L11" s="22">
        <f>IFERROR(__xludf.DUMMYFUNCTION("""COMPUTED_VALUE"""),22062.39)</f>
        <v>22062.39</v>
      </c>
    </row>
    <row r="12">
      <c r="A12" s="19">
        <f>IFERROR(__xludf.DUMMYFUNCTION("""COMPUTED_VALUE"""),43983.99861111111)</f>
        <v>43983.99861</v>
      </c>
      <c r="B12" s="20">
        <f>IFERROR(__xludf.DUMMYFUNCTION("""COMPUTED_VALUE"""),0.00929755)</f>
        <v>0.00929755</v>
      </c>
      <c r="C12" s="10" t="s">
        <v>25</v>
      </c>
      <c r="D12" s="11" t="s">
        <v>26</v>
      </c>
      <c r="E12" s="24" t="s">
        <v>27</v>
      </c>
      <c r="F12" s="12">
        <v>20000.0</v>
      </c>
      <c r="G12" s="12">
        <f>20000/B15</f>
        <v>141250.0203</v>
      </c>
      <c r="H12" s="13">
        <f>round(G12/J13,2)</f>
        <v>49.38</v>
      </c>
      <c r="I12" s="15" t="s">
        <v>28</v>
      </c>
      <c r="J12" s="15" t="s">
        <v>29</v>
      </c>
      <c r="K12" s="15" t="s">
        <v>28</v>
      </c>
      <c r="L12" s="15" t="s">
        <v>29</v>
      </c>
      <c r="M12" s="16">
        <f>round(L13*H12,2)</f>
        <v>143914.06</v>
      </c>
      <c r="N12" s="25">
        <f>O12*B17</f>
        <v>373.7541131</v>
      </c>
      <c r="O12" s="25">
        <f>M12-G12</f>
        <v>2664.039695</v>
      </c>
      <c r="P12" s="26">
        <f> round(N12*100/F12,2)</f>
        <v>1.87</v>
      </c>
    </row>
    <row r="13">
      <c r="A13" s="6" t="s">
        <v>30</v>
      </c>
      <c r="I13" s="27">
        <v>43951.666666666664</v>
      </c>
      <c r="J13" s="22">
        <v>2860.41</v>
      </c>
      <c r="K13" s="55">
        <v>43983.625</v>
      </c>
      <c r="L13" s="53">
        <v>2914.42</v>
      </c>
    </row>
    <row r="14">
      <c r="A14" s="30" t="str">
        <f>IFERROR(__xludf.DUMMYFUNCTION("GOOGLEFINANCE(""currency:CNYUSD"", ""price"",DATE(2020,5,4))"),"Date")</f>
        <v>Date</v>
      </c>
      <c r="B14" s="9" t="str">
        <f>IFERROR(__xludf.DUMMYFUNCTION("""COMPUTED_VALUE"""),"Close")</f>
        <v>Close</v>
      </c>
      <c r="C14" s="10" t="s">
        <v>31</v>
      </c>
      <c r="D14" s="31" t="str">
        <f>IFERROR(__xludf.DUMMYFUNCTION("GOOGLEFINANCE($E14, ""name"")"),"S&amp;P GSCI Crude Oil ER")</f>
        <v>S&amp;P GSCI Crude Oil ER</v>
      </c>
      <c r="E14" s="11" t="s">
        <v>32</v>
      </c>
      <c r="F14" s="12">
        <v>10000.0</v>
      </c>
      <c r="G14" s="12">
        <v>10000.0</v>
      </c>
      <c r="H14" s="13">
        <f>round(G14/J15,2)</f>
        <v>268.82</v>
      </c>
      <c r="I14" s="15" t="s">
        <v>28</v>
      </c>
      <c r="J14" s="15" t="s">
        <v>29</v>
      </c>
      <c r="K14" s="15" t="s">
        <v>28</v>
      </c>
      <c r="L14" s="15" t="s">
        <v>29</v>
      </c>
      <c r="M14" s="16">
        <f>round(L15*H14,2)</f>
        <v>14844.24</v>
      </c>
      <c r="N14" s="17">
        <f>O14</f>
        <v>4844.24</v>
      </c>
      <c r="O14" s="17">
        <f>M14-G14</f>
        <v>4844.24</v>
      </c>
      <c r="P14" s="18">
        <f> round(N14*100/F14,2)</f>
        <v>48.44</v>
      </c>
    </row>
    <row r="15">
      <c r="A15" s="19">
        <f>IFERROR(__xludf.DUMMYFUNCTION("""COMPUTED_VALUE"""),43955.99861111111)</f>
        <v>43955.99861</v>
      </c>
      <c r="B15" s="20">
        <f>IFERROR(__xludf.DUMMYFUNCTION("""COMPUTED_VALUE"""),0.1415929)</f>
        <v>0.1415929</v>
      </c>
      <c r="I15" s="15" t="s">
        <v>33</v>
      </c>
      <c r="J15" s="22">
        <v>37.2</v>
      </c>
      <c r="K15" s="55">
        <v>43983.625</v>
      </c>
      <c r="L15" s="53">
        <v>55.22</v>
      </c>
    </row>
    <row r="16">
      <c r="A16" s="9" t="str">
        <f>IFERROR(__xludf.DUMMYFUNCTION("GOOGLEFINANCE(""currency:CNYUSD"", ""price"",DATE(2020,6,1))"),"Date")</f>
        <v>Date</v>
      </c>
      <c r="B16" s="9" t="str">
        <f>IFERROR(__xludf.DUMMYFUNCTION("""COMPUTED_VALUE"""),"Close")</f>
        <v>Close</v>
      </c>
      <c r="C16" s="10" t="s">
        <v>31</v>
      </c>
      <c r="D16" s="31" t="str">
        <f>IFERROR(__xludf.DUMMYFUNCTION("GOOGLEFINANCE($E16, ""name"")"),"S&amp;P GSCI Gold ER")</f>
        <v>S&amp;P GSCI Gold ER</v>
      </c>
      <c r="E16" s="11" t="s">
        <v>34</v>
      </c>
      <c r="F16" s="12">
        <v>50000.0</v>
      </c>
      <c r="G16" s="12">
        <v>50000.0</v>
      </c>
      <c r="H16" s="13">
        <f>round(G16/J17,2)</f>
        <v>382.18</v>
      </c>
      <c r="I16" s="15" t="s">
        <v>28</v>
      </c>
      <c r="J16" s="15" t="s">
        <v>29</v>
      </c>
      <c r="K16" s="15" t="s">
        <v>28</v>
      </c>
      <c r="L16" s="15" t="s">
        <v>29</v>
      </c>
      <c r="M16" s="16">
        <f>round(L17*H16,2)</f>
        <v>50742.04</v>
      </c>
      <c r="N16" s="25">
        <f>O16</f>
        <v>742.04</v>
      </c>
      <c r="O16" s="25">
        <f>M16-G16</f>
        <v>742.04</v>
      </c>
      <c r="P16" s="26">
        <f> round(N16*100/F16,2)</f>
        <v>1.48</v>
      </c>
    </row>
    <row r="17">
      <c r="A17" s="19">
        <f>IFERROR(__xludf.DUMMYFUNCTION("""COMPUTED_VALUE"""),43983.99861111111)</f>
        <v>43983.99861</v>
      </c>
      <c r="B17" s="20">
        <f>IFERROR(__xludf.DUMMYFUNCTION("""COMPUTED_VALUE"""),0.140296)</f>
        <v>0.140296</v>
      </c>
      <c r="I17" s="21">
        <v>43955.666666666664</v>
      </c>
      <c r="J17" s="22">
        <v>130.83</v>
      </c>
      <c r="K17" s="55">
        <v>43983.625</v>
      </c>
      <c r="L17" s="53">
        <v>132.77</v>
      </c>
    </row>
    <row r="18">
      <c r="A18" s="9"/>
      <c r="B18" s="9"/>
      <c r="C18" s="10" t="s">
        <v>35</v>
      </c>
      <c r="D18" s="31" t="str">
        <f>IFERROR(__xludf.DUMMYFUNCTION("GOOGLEFINANCE($E18, ""name"")"),"iShares Barclays 20+ Yr Treas.Bond")</f>
        <v>iShares Barclays 20+ Yr Treas.Bond</v>
      </c>
      <c r="E18" s="11" t="s">
        <v>36</v>
      </c>
      <c r="F18" s="12">
        <v>30000.0</v>
      </c>
      <c r="G18" s="12">
        <v>30000.0</v>
      </c>
      <c r="H18" s="13">
        <f>round(G18/J19,2)</f>
        <v>179.47</v>
      </c>
      <c r="I18" s="15" t="str">
        <f>IFERROR(__xludf.DUMMYFUNCTION("GOOGLEFINANCE($E18,""price"",""5/4/2020"")"),"Date")</f>
        <v>Date</v>
      </c>
      <c r="J18" s="15" t="str">
        <f>IFERROR(__xludf.DUMMYFUNCTION("""COMPUTED_VALUE"""),"Close")</f>
        <v>Close</v>
      </c>
      <c r="K18" s="15" t="str">
        <f>IFERROR(__xludf.DUMMYFUNCTION("GOOGLEFINANCE($E45,""price"",""06/01/2020"")"),"Date")</f>
        <v>Date</v>
      </c>
      <c r="L18" s="15" t="str">
        <f>IFERROR(__xludf.DUMMYFUNCTION("""COMPUTED_VALUE"""),"Close")</f>
        <v>Close</v>
      </c>
      <c r="M18" s="16">
        <f>round(L19*H18,2)</f>
        <v>29124.39</v>
      </c>
      <c r="N18" s="34">
        <f>O18</f>
        <v>-875.61</v>
      </c>
      <c r="O18" s="34">
        <f>M18-G18</f>
        <v>-875.61</v>
      </c>
      <c r="P18" s="35">
        <f> round(N18*100/F18,2)</f>
        <v>-2.92</v>
      </c>
    </row>
    <row r="19">
      <c r="A19" s="9"/>
      <c r="B19" s="9"/>
      <c r="I19" s="21">
        <f>IFERROR(__xludf.DUMMYFUNCTION("""COMPUTED_VALUE"""),43955.66666666667)</f>
        <v>43955.66667</v>
      </c>
      <c r="J19" s="22">
        <f>IFERROR(__xludf.DUMMYFUNCTION("""COMPUTED_VALUE"""),167.16)</f>
        <v>167.16</v>
      </c>
      <c r="K19" s="21">
        <f>IFERROR(__xludf.DUMMYFUNCTION("""COMPUTED_VALUE"""),43983.66666666667)</f>
        <v>43983.66667</v>
      </c>
      <c r="L19" s="22">
        <f>IFERROR(__xludf.DUMMYFUNCTION("""COMPUTED_VALUE"""),162.28)</f>
        <v>162.28</v>
      </c>
    </row>
    <row r="20">
      <c r="A20" s="9"/>
      <c r="B20" s="9"/>
      <c r="C20" s="10" t="s">
        <v>35</v>
      </c>
      <c r="D20" s="31" t="str">
        <f>IFERROR(__xludf.DUMMYFUNCTION("GOOGLEFINANCE($E20, ""name"")"),"iShares iBoxx $ High Yid Corp Bond")</f>
        <v>iShares iBoxx $ High Yid Corp Bond</v>
      </c>
      <c r="E20" s="11" t="s">
        <v>37</v>
      </c>
      <c r="F20" s="12">
        <v>20000.0</v>
      </c>
      <c r="G20" s="12">
        <v>20000.0</v>
      </c>
      <c r="H20" s="13">
        <f>round(G20/J21,2)</f>
        <v>254.55</v>
      </c>
      <c r="I20" s="15" t="str">
        <f>IFERROR(__xludf.DUMMYFUNCTION("GOOGLEFINANCE($E20,""price"",""5/4/2020"")"),"Date")</f>
        <v>Date</v>
      </c>
      <c r="J20" s="15" t="str">
        <f>IFERROR(__xludf.DUMMYFUNCTION("""COMPUTED_VALUE"""),"Close")</f>
        <v>Close</v>
      </c>
      <c r="K20" s="15" t="str">
        <f>IFERROR(__xludf.DUMMYFUNCTION("GOOGLEFINANCE($E47,""price"",""06/01/2020"")"),"Date")</f>
        <v>Date</v>
      </c>
      <c r="L20" s="15" t="str">
        <f>IFERROR(__xludf.DUMMYFUNCTION("""COMPUTED_VALUE"""),"Close")</f>
        <v>Close</v>
      </c>
      <c r="M20" s="16">
        <f>round(L21*H20,2)</f>
        <v>21056.38</v>
      </c>
      <c r="N20" s="17">
        <f>O20</f>
        <v>1056.38</v>
      </c>
      <c r="O20" s="17">
        <f>M20-G20</f>
        <v>1056.38</v>
      </c>
      <c r="P20" s="36">
        <f> round(N20*100/F20,2)</f>
        <v>5.28</v>
      </c>
    </row>
    <row r="21">
      <c r="A21" s="9"/>
      <c r="B21" s="9"/>
      <c r="I21" s="21">
        <f>IFERROR(__xludf.DUMMYFUNCTION("""COMPUTED_VALUE"""),43955.66666666667)</f>
        <v>43955.66667</v>
      </c>
      <c r="J21" s="22">
        <f>IFERROR(__xludf.DUMMYFUNCTION("""COMPUTED_VALUE"""),78.57)</f>
        <v>78.57</v>
      </c>
      <c r="K21" s="21">
        <f>IFERROR(__xludf.DUMMYFUNCTION("""COMPUTED_VALUE"""),43983.66666666667)</f>
        <v>43983.66667</v>
      </c>
      <c r="L21" s="22">
        <f>IFERROR(__xludf.DUMMYFUNCTION("""COMPUTED_VALUE"""),82.72)</f>
        <v>82.72</v>
      </c>
    </row>
    <row r="22">
      <c r="A22" s="9"/>
      <c r="B22" s="9"/>
      <c r="C22" s="10" t="s">
        <v>38</v>
      </c>
      <c r="D22" s="37" t="s">
        <v>38</v>
      </c>
      <c r="E22" s="11" t="s">
        <v>39</v>
      </c>
      <c r="F22" s="12">
        <v>700000.0</v>
      </c>
      <c r="G22" s="12">
        <v>700000.0</v>
      </c>
      <c r="H22" s="38" t="s">
        <v>39</v>
      </c>
      <c r="I22" s="15" t="s">
        <v>39</v>
      </c>
      <c r="K22" s="15" t="s">
        <v>39</v>
      </c>
      <c r="M22" s="16">
        <f>round(G22*(1+ 7/36500),2)</f>
        <v>700134.25</v>
      </c>
      <c r="N22" s="18">
        <v>134.0</v>
      </c>
      <c r="O22" s="17">
        <f>M22-G22</f>
        <v>134.25</v>
      </c>
      <c r="P22" s="36">
        <f> round(N22*100/F22,2)</f>
        <v>0.02</v>
      </c>
    </row>
    <row r="23">
      <c r="A23" s="9"/>
      <c r="B23" s="9"/>
    </row>
    <row r="24">
      <c r="A24" s="9"/>
      <c r="B24" s="9"/>
      <c r="C24" s="39" t="s">
        <v>40</v>
      </c>
      <c r="D24" s="40"/>
      <c r="E24" s="40"/>
      <c r="F24" s="41">
        <f>SUM(F4:F23)</f>
        <v>1000000</v>
      </c>
      <c r="G24" s="40"/>
      <c r="H24" s="40"/>
      <c r="I24" s="40"/>
      <c r="J24" s="40"/>
      <c r="K24" s="40"/>
      <c r="L24" s="40"/>
      <c r="M24" s="40"/>
      <c r="N24" s="42">
        <f>SUM(N4:N23)</f>
        <v>22271.91903</v>
      </c>
      <c r="O24" s="43"/>
      <c r="P24" s="43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>
      <c r="A28" s="1"/>
      <c r="B28" s="1"/>
      <c r="C28" s="1"/>
      <c r="D28" s="1"/>
      <c r="E28" s="1"/>
      <c r="F28" s="2" t="s">
        <v>41</v>
      </c>
      <c r="I28" s="1"/>
      <c r="J28" s="1"/>
      <c r="K28" s="1"/>
      <c r="L28" s="1"/>
      <c r="M28" s="1"/>
      <c r="N28" s="1"/>
      <c r="O28" s="1"/>
      <c r="P28" s="1"/>
    </row>
    <row r="29">
      <c r="A29" s="3" t="s">
        <v>1</v>
      </c>
      <c r="C29" s="4"/>
      <c r="D29" s="4"/>
      <c r="E29" s="4"/>
      <c r="F29" s="5" t="s">
        <v>42</v>
      </c>
      <c r="H29" s="4"/>
      <c r="I29" s="4"/>
      <c r="J29" s="4"/>
      <c r="K29" s="4"/>
      <c r="L29" s="4"/>
      <c r="M29" s="4"/>
      <c r="N29" s="5" t="s">
        <v>3</v>
      </c>
      <c r="P29" s="4"/>
    </row>
    <row r="30">
      <c r="A30" s="6" t="s">
        <v>4</v>
      </c>
      <c r="C30" s="7" t="s">
        <v>5</v>
      </c>
      <c r="D30" s="7" t="s">
        <v>6</v>
      </c>
      <c r="E30" s="7" t="s">
        <v>7</v>
      </c>
      <c r="F30" s="7" t="s">
        <v>8</v>
      </c>
      <c r="G30" s="7" t="s">
        <v>9</v>
      </c>
      <c r="H30" s="7" t="s">
        <v>10</v>
      </c>
      <c r="I30" s="8" t="s">
        <v>11</v>
      </c>
      <c r="K30" s="8" t="s">
        <v>12</v>
      </c>
      <c r="M30" s="7" t="s">
        <v>13</v>
      </c>
      <c r="N30" s="8" t="s">
        <v>14</v>
      </c>
      <c r="O30" s="7" t="s">
        <v>15</v>
      </c>
      <c r="P30" s="7" t="s">
        <v>16</v>
      </c>
    </row>
    <row r="31">
      <c r="A31" s="9" t="str">
        <f>IFERROR(__xludf.DUMMYFUNCTION("GOOGLEFINANCE(""currency:EURUSD"", ""price"",DATE(2020,5,11))"),"Date")</f>
        <v>Date</v>
      </c>
      <c r="B31" s="9" t="str">
        <f>IFERROR(__xludf.DUMMYFUNCTION("""COMPUTED_VALUE"""),"Close")</f>
        <v>Close</v>
      </c>
      <c r="C31" s="10" t="s">
        <v>17</v>
      </c>
      <c r="D31" s="11" t="str">
        <f>IFERROR(__xludf.DUMMYFUNCTION("GOOGLEFINANCE($E31, ""name"")"),"S&amp;P 500 Index")</f>
        <v>S&amp;P 500 Index</v>
      </c>
      <c r="E31" s="11" t="s">
        <v>18</v>
      </c>
      <c r="F31" s="12">
        <v>30000.0</v>
      </c>
      <c r="G31" s="12">
        <f>F31</f>
        <v>30000</v>
      </c>
      <c r="H31" s="13">
        <f>round((G31)/J32,2)</f>
        <v>10.24</v>
      </c>
      <c r="I31" s="14" t="str">
        <f>IFERROR(__xludf.DUMMYFUNCTION("GOOGLEFINANCE($E31,""price"",""5/11/2020"")"),"Date")</f>
        <v>Date</v>
      </c>
      <c r="J31" s="15" t="str">
        <f>IFERROR(__xludf.DUMMYFUNCTION("""COMPUTED_VALUE"""),"Close")</f>
        <v>Close</v>
      </c>
      <c r="K31" s="15" t="str">
        <f>IFERROR(__xludf.DUMMYFUNCTION("GOOGLEFINANCE($E31,""price"",""06/01/2020"")"),"Date")</f>
        <v>Date</v>
      </c>
      <c r="L31" s="15" t="str">
        <f>IFERROR(__xludf.DUMMYFUNCTION("""COMPUTED_VALUE"""),"Close")</f>
        <v>Close</v>
      </c>
      <c r="M31" s="16">
        <f>round(L32*H31,2)</f>
        <v>31290.68</v>
      </c>
      <c r="N31" s="17">
        <f>M31-G31</f>
        <v>1290.68</v>
      </c>
      <c r="O31" s="17">
        <f>M31-G31</f>
        <v>1290.68</v>
      </c>
      <c r="P31" s="18">
        <f> round(N31*100/F31,2)</f>
        <v>4.3</v>
      </c>
    </row>
    <row r="32">
      <c r="A32" s="19">
        <f>IFERROR(__xludf.DUMMYFUNCTION("""COMPUTED_VALUE"""),43962.99861111111)</f>
        <v>43962.99861</v>
      </c>
      <c r="B32" s="20">
        <f>IFERROR(__xludf.DUMMYFUNCTION("""COMPUTED_VALUE"""),1.08105)</f>
        <v>1.08105</v>
      </c>
      <c r="I32" s="21">
        <f>IFERROR(__xludf.DUMMYFUNCTION("""COMPUTED_VALUE"""),43962.66666666667)</f>
        <v>43962.66667</v>
      </c>
      <c r="J32" s="22">
        <f>IFERROR(__xludf.DUMMYFUNCTION("""COMPUTED_VALUE"""),2930.32)</f>
        <v>2930.32</v>
      </c>
      <c r="K32" s="21">
        <f>IFERROR(__xludf.DUMMYFUNCTION("""COMPUTED_VALUE"""),43983.66666666667)</f>
        <v>43983.66667</v>
      </c>
      <c r="L32" s="22">
        <f>IFERROR(__xludf.DUMMYFUNCTION("""COMPUTED_VALUE"""),3055.73)</f>
        <v>3055.73</v>
      </c>
    </row>
    <row r="33">
      <c r="A33" s="9" t="str">
        <f>IFERROR(__xludf.DUMMYFUNCTION("GOOGLEFINANCE(""currency:EURUSD"", ""price"",DATE(2020,6,1))"),"Date")</f>
        <v>Date</v>
      </c>
      <c r="B33" s="9" t="str">
        <f>IFERROR(__xludf.DUMMYFUNCTION("""COMPUTED_VALUE"""),"Close")</f>
        <v>Close</v>
      </c>
      <c r="C33" s="10" t="s">
        <v>17</v>
      </c>
      <c r="D33" s="11" t="str">
        <f>IFERROR(__xludf.DUMMYFUNCTION("GOOGLEFINANCE($E33, ""name"")"),"NASDAQ-100")</f>
        <v>NASDAQ-100</v>
      </c>
      <c r="E33" s="11" t="s">
        <v>19</v>
      </c>
      <c r="F33" s="12">
        <v>50000.0</v>
      </c>
      <c r="G33" s="12">
        <f>F33</f>
        <v>50000</v>
      </c>
      <c r="H33" s="13">
        <f>round((G33)/J34,2)</f>
        <v>5.38</v>
      </c>
      <c r="I33" s="15" t="str">
        <f>IFERROR(__xludf.DUMMYFUNCTION("GOOGLEFINANCE($E33,""price"",""5/11/2020"")"),"Date")</f>
        <v>Date</v>
      </c>
      <c r="J33" s="15" t="str">
        <f>IFERROR(__xludf.DUMMYFUNCTION("""COMPUTED_VALUE"""),"Close")</f>
        <v>Close</v>
      </c>
      <c r="K33" s="15" t="str">
        <f>IFERROR(__xludf.DUMMYFUNCTION("GOOGLEFINANCE($E33,""price"",""06/01/2020"")"),"Date")</f>
        <v>Date</v>
      </c>
      <c r="L33" s="15" t="str">
        <f>IFERROR(__xludf.DUMMYFUNCTION("""COMPUTED_VALUE"""),"Close")</f>
        <v>Close</v>
      </c>
      <c r="M33" s="16">
        <f>round(L34*H33,2)</f>
        <v>51642.03</v>
      </c>
      <c r="N33" s="17">
        <f>M33-G33</f>
        <v>1642.03</v>
      </c>
      <c r="O33" s="17">
        <f>M33-G33</f>
        <v>1642.03</v>
      </c>
      <c r="P33" s="18">
        <f> round(N33*100/F33,2)</f>
        <v>3.28</v>
      </c>
    </row>
    <row r="34">
      <c r="A34" s="19">
        <f>IFERROR(__xludf.DUMMYFUNCTION("""COMPUTED_VALUE"""),43983.99861111111)</f>
        <v>43983.99861</v>
      </c>
      <c r="B34" s="20">
        <f>IFERROR(__xludf.DUMMYFUNCTION("""COMPUTED_VALUE"""),1.11245)</f>
        <v>1.11245</v>
      </c>
      <c r="I34" s="21">
        <f>IFERROR(__xludf.DUMMYFUNCTION("""COMPUTED_VALUE"""),43962.66666666667)</f>
        <v>43962.66667</v>
      </c>
      <c r="J34" s="22">
        <f>IFERROR(__xludf.DUMMYFUNCTION("""COMPUTED_VALUE"""),9298.92)</f>
        <v>9298.92</v>
      </c>
      <c r="K34" s="21">
        <f>IFERROR(__xludf.DUMMYFUNCTION("""COMPUTED_VALUE"""),43983.66666666667)</f>
        <v>43983.66667</v>
      </c>
      <c r="L34" s="22">
        <f>IFERROR(__xludf.DUMMYFUNCTION("""COMPUTED_VALUE"""),9598.89)</f>
        <v>9598.89</v>
      </c>
    </row>
    <row r="35">
      <c r="A35" s="6" t="s">
        <v>20</v>
      </c>
      <c r="C35" s="10" t="s">
        <v>21</v>
      </c>
      <c r="D35" s="11" t="str">
        <f>IFERROR(__xludf.DUMMYFUNCTION("GOOGLEFINANCE(""indexdb:DAX"", ""name"")"),"DAX PERFORMANCE-INDEX")</f>
        <v>DAX PERFORMANCE-INDEX</v>
      </c>
      <c r="E35" s="11" t="s">
        <v>22</v>
      </c>
      <c r="F35" s="12">
        <v>30000.0</v>
      </c>
      <c r="G35" s="12">
        <f>F35/B32</f>
        <v>27750.79784</v>
      </c>
      <c r="H35" s="13">
        <f>round((G35)/J36,2)</f>
        <v>2.56</v>
      </c>
      <c r="I35" s="14" t="str">
        <f>IFERROR(__xludf.DUMMYFUNCTION("GOOGLEFINANCE(""indexdb:DAX"",""price"",""5/11/2020"")"),"Date")</f>
        <v>Date</v>
      </c>
      <c r="J35" s="15" t="str">
        <f>IFERROR(__xludf.DUMMYFUNCTION("""COMPUTED_VALUE"""),"Close")</f>
        <v>Close</v>
      </c>
      <c r="K35" s="15" t="str">
        <f>IFERROR(__xludf.DUMMYFUNCTION("GOOGLEFINANCE(""indexdb:DAX"", ""price"",""05/29/2020"")"),"Date")</f>
        <v>Date</v>
      </c>
      <c r="L35" s="15" t="str">
        <f>IFERROR(__xludf.DUMMYFUNCTION("""COMPUTED_VALUE"""),"Close")</f>
        <v>Close</v>
      </c>
      <c r="M35" s="16">
        <f>round(L36*H35,2)</f>
        <v>29662.34</v>
      </c>
      <c r="N35" s="17">
        <f>O35*B34</f>
        <v>2126.495081</v>
      </c>
      <c r="O35" s="17">
        <f>M35-G35</f>
        <v>1911.542165</v>
      </c>
      <c r="P35" s="18">
        <f> round(N35*100/F35,2)</f>
        <v>7.09</v>
      </c>
    </row>
    <row r="36">
      <c r="A36" s="9" t="str">
        <f>IFERROR(__xludf.DUMMYFUNCTION("GOOGLEFINANCE(""currency:JPYUSD"", ""price"",DATE(2020,5,11))"),"Date")</f>
        <v>Date</v>
      </c>
      <c r="B36" s="9" t="str">
        <f>IFERROR(__xludf.DUMMYFUNCTION("""COMPUTED_VALUE"""),"Close")</f>
        <v>Close</v>
      </c>
      <c r="I36" s="21">
        <f>IFERROR(__xludf.DUMMYFUNCTION("""COMPUTED_VALUE"""),43962.83333333333)</f>
        <v>43962.83333</v>
      </c>
      <c r="J36" s="22">
        <f>IFERROR(__xludf.DUMMYFUNCTION("""COMPUTED_VALUE"""),10824.99)</f>
        <v>10824.99</v>
      </c>
      <c r="K36" s="23">
        <f>IFERROR(__xludf.DUMMYFUNCTION("""COMPUTED_VALUE"""),43980.83333333333)</f>
        <v>43980.83333</v>
      </c>
      <c r="L36" s="22">
        <f>IFERROR(__xludf.DUMMYFUNCTION("""COMPUTED_VALUE"""),11586.85)</f>
        <v>11586.85</v>
      </c>
    </row>
    <row r="37">
      <c r="A37" s="19">
        <f>IFERROR(__xludf.DUMMYFUNCTION("""COMPUTED_VALUE"""),43962.99861111111)</f>
        <v>43962.99861</v>
      </c>
      <c r="B37" s="20">
        <f>IFERROR(__xludf.DUMMYFUNCTION("""COMPUTED_VALUE"""),0.009297)</f>
        <v>0.009297</v>
      </c>
      <c r="C37" s="10" t="s">
        <v>23</v>
      </c>
      <c r="D37" s="11" t="str">
        <f>IFERROR(__xludf.DUMMYFUNCTION("GOOGLEFINANCE($E37, ""name"")"),"Nikkei 225")</f>
        <v>Nikkei 225</v>
      </c>
      <c r="E37" s="11" t="s">
        <v>24</v>
      </c>
      <c r="F37" s="12">
        <v>40000.0</v>
      </c>
      <c r="G37" s="12">
        <f>60000/B37</f>
        <v>6453694.74</v>
      </c>
      <c r="H37" s="13">
        <f>round((G37)/J38,2)</f>
        <v>316.5</v>
      </c>
      <c r="I37" s="15" t="str">
        <f>IFERROR(__xludf.DUMMYFUNCTION("GOOGLEFINANCE($E37,""price"",""5/10/2020"")"),"Date")</f>
        <v>Date</v>
      </c>
      <c r="J37" s="15" t="str">
        <f>IFERROR(__xludf.DUMMYFUNCTION("""COMPUTED_VALUE"""),"Close")</f>
        <v>Close</v>
      </c>
      <c r="K37" s="15" t="str">
        <f>IFERROR(__xludf.DUMMYFUNCTION("GOOGLEFINANCE($E37,""price"",""05/31/2020"")"),"Date")</f>
        <v>Date</v>
      </c>
      <c r="L37" s="15" t="str">
        <f>IFERROR(__xludf.DUMMYFUNCTION("""COMPUTED_VALUE"""),"Close")</f>
        <v>Close</v>
      </c>
      <c r="M37" s="16">
        <f>round(L38*H37,2)</f>
        <v>6982746.44</v>
      </c>
      <c r="N37" s="25">
        <f>O37*B39</f>
        <v>4918.884631</v>
      </c>
      <c r="O37" s="25">
        <f>M37-G37</f>
        <v>529051.6998</v>
      </c>
      <c r="P37" s="26">
        <f> round(N37*100/F37,2)</f>
        <v>12.3</v>
      </c>
    </row>
    <row r="38">
      <c r="A38" s="9" t="str">
        <f>IFERROR(__xludf.DUMMYFUNCTION("GOOGLEFINANCE(""currency:JPYUSD"", ""price"",DATE(2020,6,1))"),"Date")</f>
        <v>Date</v>
      </c>
      <c r="B38" s="9" t="str">
        <f>IFERROR(__xludf.DUMMYFUNCTION("""COMPUTED_VALUE"""),"Close")</f>
        <v>Close</v>
      </c>
      <c r="I38" s="21">
        <f>IFERROR(__xludf.DUMMYFUNCTION("""COMPUTED_VALUE"""),43962.625)</f>
        <v>43962.625</v>
      </c>
      <c r="J38" s="22">
        <f>IFERROR(__xludf.DUMMYFUNCTION("""COMPUTED_VALUE"""),20390.66)</f>
        <v>20390.66</v>
      </c>
      <c r="K38" s="23">
        <f>IFERROR(__xludf.DUMMYFUNCTION("""COMPUTED_VALUE"""),43983.625)</f>
        <v>43983.625</v>
      </c>
      <c r="L38" s="22">
        <f>IFERROR(__xludf.DUMMYFUNCTION("""COMPUTED_VALUE"""),22062.39)</f>
        <v>22062.39</v>
      </c>
    </row>
    <row r="39">
      <c r="A39" s="19">
        <f>IFERROR(__xludf.DUMMYFUNCTION("""COMPUTED_VALUE"""),43983.99861111111)</f>
        <v>43983.99861</v>
      </c>
      <c r="B39" s="20">
        <f>IFERROR(__xludf.DUMMYFUNCTION("""COMPUTED_VALUE"""),0.00929755)</f>
        <v>0.00929755</v>
      </c>
      <c r="C39" s="10" t="s">
        <v>25</v>
      </c>
      <c r="D39" s="11" t="s">
        <v>26</v>
      </c>
      <c r="E39" s="24" t="s">
        <v>27</v>
      </c>
      <c r="F39" s="12">
        <v>30000.0</v>
      </c>
      <c r="G39" s="12">
        <f>50000/B42</f>
        <v>354950.0266</v>
      </c>
      <c r="H39" s="13">
        <f>round((G39)/J40,2)</f>
        <v>122.59</v>
      </c>
      <c r="I39" s="15" t="s">
        <v>28</v>
      </c>
      <c r="J39" s="15" t="s">
        <v>29</v>
      </c>
      <c r="K39" s="15" t="s">
        <v>28</v>
      </c>
      <c r="L39" s="15" t="s">
        <v>29</v>
      </c>
      <c r="M39" s="16">
        <f>round(L40*H39,2)</f>
        <v>357278.75</v>
      </c>
      <c r="N39" s="25">
        <f>O39*B44</f>
        <v>326.7105801</v>
      </c>
      <c r="O39" s="25">
        <f>M39-G39</f>
        <v>2328.723414</v>
      </c>
      <c r="P39" s="26">
        <f> round(N39*100/F39,2)</f>
        <v>1.09</v>
      </c>
    </row>
    <row r="40">
      <c r="A40" s="6" t="s">
        <v>30</v>
      </c>
      <c r="I40" s="27">
        <v>43951.666666666664</v>
      </c>
      <c r="J40" s="22">
        <v>2895.51</v>
      </c>
      <c r="K40" s="55">
        <v>43983.625</v>
      </c>
      <c r="L40" s="53">
        <v>2914.42</v>
      </c>
    </row>
    <row r="41">
      <c r="A41" s="30" t="str">
        <f>IFERROR(__xludf.DUMMYFUNCTION("GOOGLEFINANCE(""currency:CNYUSD"", ""price"",DATE(2020,5,11))"),"Date")</f>
        <v>Date</v>
      </c>
      <c r="B41" s="9" t="str">
        <f>IFERROR(__xludf.DUMMYFUNCTION("""COMPUTED_VALUE"""),"Close")</f>
        <v>Close</v>
      </c>
      <c r="C41" s="10" t="s">
        <v>31</v>
      </c>
      <c r="D41" s="31" t="str">
        <f>IFERROR(__xludf.DUMMYFUNCTION("GOOGLEFINANCE($E41, ""name"")"),"S&amp;P GSCI Crude Oil ER")</f>
        <v>S&amp;P GSCI Crude Oil ER</v>
      </c>
      <c r="E41" s="11" t="s">
        <v>32</v>
      </c>
      <c r="F41" s="12">
        <v>20000.0</v>
      </c>
      <c r="G41" s="12">
        <f>F41</f>
        <v>20000</v>
      </c>
      <c r="H41" s="13">
        <f>round((G41)/J42,2)</f>
        <v>488.76</v>
      </c>
      <c r="I41" s="15" t="s">
        <v>28</v>
      </c>
      <c r="J41" s="15" t="s">
        <v>29</v>
      </c>
      <c r="K41" s="15" t="s">
        <v>28</v>
      </c>
      <c r="L41" s="15" t="s">
        <v>29</v>
      </c>
      <c r="M41" s="16">
        <f>round(L42*H41,2)</f>
        <v>26989.33</v>
      </c>
      <c r="N41" s="17">
        <f>O41</f>
        <v>6989.33</v>
      </c>
      <c r="O41" s="17">
        <f>M41-G41</f>
        <v>6989.33</v>
      </c>
      <c r="P41" s="18">
        <f> round(N41*100/F41,2)</f>
        <v>34.95</v>
      </c>
    </row>
    <row r="42">
      <c r="A42" s="19">
        <f>IFERROR(__xludf.DUMMYFUNCTION("""COMPUTED_VALUE"""),43962.99861111111)</f>
        <v>43962.99861</v>
      </c>
      <c r="B42" s="20">
        <f>IFERROR(__xludf.DUMMYFUNCTION("""COMPUTED_VALUE"""),0.1408649)</f>
        <v>0.1408649</v>
      </c>
      <c r="I42" s="23">
        <v>43962.666666666664</v>
      </c>
      <c r="J42" s="22">
        <v>40.92</v>
      </c>
      <c r="K42" s="55">
        <v>43983.625</v>
      </c>
      <c r="L42" s="53">
        <v>55.22</v>
      </c>
    </row>
    <row r="43">
      <c r="A43" s="9" t="str">
        <f>IFERROR(__xludf.DUMMYFUNCTION("GOOGLEFINANCE(""currency:CNYUSD"", ""price"",DATE(2020,6,1))"),"Date")</f>
        <v>Date</v>
      </c>
      <c r="B43" s="9" t="str">
        <f>IFERROR(__xludf.DUMMYFUNCTION("""COMPUTED_VALUE"""),"Close")</f>
        <v>Close</v>
      </c>
      <c r="C43" s="10" t="s">
        <v>31</v>
      </c>
      <c r="D43" s="31" t="str">
        <f>IFERROR(__xludf.DUMMYFUNCTION("GOOGLEFINANCE($E43, ""name"")"),"S&amp;P GSCI Gold ER")</f>
        <v>S&amp;P GSCI Gold ER</v>
      </c>
      <c r="E43" s="11" t="s">
        <v>34</v>
      </c>
      <c r="F43" s="12">
        <v>0.0</v>
      </c>
      <c r="G43" s="12">
        <f>F43</f>
        <v>0</v>
      </c>
      <c r="H43" s="13">
        <f>round((G43)/J44,2)</f>
        <v>0</v>
      </c>
      <c r="I43" s="15" t="s">
        <v>28</v>
      </c>
      <c r="J43" s="15" t="s">
        <v>29</v>
      </c>
      <c r="K43" s="15" t="s">
        <v>28</v>
      </c>
      <c r="L43" s="15" t="s">
        <v>29</v>
      </c>
      <c r="M43" s="16">
        <f>round(L44*H43,2)</f>
        <v>0</v>
      </c>
      <c r="N43" s="46">
        <f>O43</f>
        <v>0</v>
      </c>
      <c r="O43" s="46">
        <f>M43-G43</f>
        <v>0</v>
      </c>
      <c r="P43" s="47">
        <v>0.0</v>
      </c>
    </row>
    <row r="44">
      <c r="A44" s="19">
        <f>IFERROR(__xludf.DUMMYFUNCTION("""COMPUTED_VALUE"""),43983.99861111111)</f>
        <v>43983.99861</v>
      </c>
      <c r="B44" s="20">
        <f>IFERROR(__xludf.DUMMYFUNCTION("""COMPUTED_VALUE"""),0.140296)</f>
        <v>0.140296</v>
      </c>
      <c r="I44" s="21">
        <v>43955.666666666664</v>
      </c>
      <c r="J44" s="22">
        <v>130.83</v>
      </c>
      <c r="K44" s="55">
        <v>43983.625</v>
      </c>
      <c r="L44" s="53">
        <v>132.77</v>
      </c>
    </row>
    <row r="45">
      <c r="A45" s="9"/>
      <c r="B45" s="9"/>
      <c r="C45" s="10" t="s">
        <v>35</v>
      </c>
      <c r="D45" s="31" t="str">
        <f>IFERROR(__xludf.DUMMYFUNCTION("GOOGLEFINANCE($E45, ""name"")"),"iShares Barclays 20+ Yr Treas.Bond")</f>
        <v>iShares Barclays 20+ Yr Treas.Bond</v>
      </c>
      <c r="E45" s="11" t="s">
        <v>36</v>
      </c>
      <c r="F45" s="12">
        <v>0.0</v>
      </c>
      <c r="G45" s="12">
        <f>F45</f>
        <v>0</v>
      </c>
      <c r="H45" s="13">
        <f>round((G45)/J46,2)</f>
        <v>0</v>
      </c>
      <c r="I45" s="15" t="str">
        <f>IFERROR(__xludf.DUMMYFUNCTION("GOOGLEFINANCE($E45,""price"",""5/4/2020"")"),"Date")</f>
        <v>Date</v>
      </c>
      <c r="J45" s="15" t="str">
        <f>IFERROR(__xludf.DUMMYFUNCTION("""COMPUTED_VALUE"""),"Close")</f>
        <v>Close</v>
      </c>
      <c r="K45" s="15" t="str">
        <f>IFERROR(__xludf.DUMMYFUNCTION("GOOGLEFINANCE($E72,""price"",""06/01/2020"")"),"Date")</f>
        <v>Date</v>
      </c>
      <c r="L45" s="15" t="str">
        <f>IFERROR(__xludf.DUMMYFUNCTION("""COMPUTED_VALUE"""),"Close")</f>
        <v>Close</v>
      </c>
      <c r="M45" s="16">
        <f>round(L46*H45,2)</f>
        <v>0</v>
      </c>
      <c r="N45" s="46">
        <f>O45</f>
        <v>0</v>
      </c>
      <c r="O45" s="46">
        <f>M45-G45</f>
        <v>0</v>
      </c>
      <c r="P45" s="47">
        <v>0.0</v>
      </c>
    </row>
    <row r="46">
      <c r="A46" s="9"/>
      <c r="B46" s="9"/>
      <c r="I46" s="21">
        <f>IFERROR(__xludf.DUMMYFUNCTION("""COMPUTED_VALUE"""),43955.66666666667)</f>
        <v>43955.66667</v>
      </c>
      <c r="J46" s="22">
        <f>IFERROR(__xludf.DUMMYFUNCTION("""COMPUTED_VALUE"""),167.16)</f>
        <v>167.16</v>
      </c>
      <c r="K46" s="21">
        <f>IFERROR(__xludf.DUMMYFUNCTION("""COMPUTED_VALUE"""),43983.66666666667)</f>
        <v>43983.66667</v>
      </c>
      <c r="L46" s="22">
        <f>IFERROR(__xludf.DUMMYFUNCTION("""COMPUTED_VALUE"""),162.28)</f>
        <v>162.28</v>
      </c>
    </row>
    <row r="47">
      <c r="A47" s="9"/>
      <c r="B47" s="9"/>
      <c r="C47" s="10" t="s">
        <v>35</v>
      </c>
      <c r="D47" s="31" t="str">
        <f>IFERROR(__xludf.DUMMYFUNCTION("GOOGLEFINANCE($E47, ""name"")"),"iShares iBoxx $ High Yid Corp Bond")</f>
        <v>iShares iBoxx $ High Yid Corp Bond</v>
      </c>
      <c r="E47" s="11" t="s">
        <v>37</v>
      </c>
      <c r="F47" s="12">
        <v>10000.0</v>
      </c>
      <c r="G47" s="12">
        <f>F47</f>
        <v>10000</v>
      </c>
      <c r="H47" s="13">
        <f>round((G47)/J48,2)</f>
        <v>125.96</v>
      </c>
      <c r="I47" s="15" t="str">
        <f>IFERROR(__xludf.DUMMYFUNCTION("GOOGLEFINANCE($E47,""price"",""5/11/2020"")"),"Date")</f>
        <v>Date</v>
      </c>
      <c r="J47" s="15" t="str">
        <f>IFERROR(__xludf.DUMMYFUNCTION("""COMPUTED_VALUE"""),"Close")</f>
        <v>Close</v>
      </c>
      <c r="K47" s="15" t="str">
        <f>IFERROR(__xludf.DUMMYFUNCTION("GOOGLEFINANCE($E74,""price"",""06/01/2020"")"),"Date")</f>
        <v>Date</v>
      </c>
      <c r="L47" s="15" t="str">
        <f>IFERROR(__xludf.DUMMYFUNCTION("""COMPUTED_VALUE"""),"Close")</f>
        <v>Close</v>
      </c>
      <c r="M47" s="16">
        <f>round(L48*H47,2)</f>
        <v>10419.41</v>
      </c>
      <c r="N47" s="17">
        <f>O47</f>
        <v>419.41</v>
      </c>
      <c r="O47" s="17">
        <f>M47-G47</f>
        <v>419.41</v>
      </c>
      <c r="P47" s="36">
        <f> round(N47*100/F47,2)</f>
        <v>4.19</v>
      </c>
    </row>
    <row r="48">
      <c r="A48" s="9"/>
      <c r="B48" s="9"/>
      <c r="I48" s="21">
        <f>IFERROR(__xludf.DUMMYFUNCTION("""COMPUTED_VALUE"""),43962.66666666667)</f>
        <v>43962.66667</v>
      </c>
      <c r="J48" s="22">
        <f>IFERROR(__xludf.DUMMYFUNCTION("""COMPUTED_VALUE"""),79.39)</f>
        <v>79.39</v>
      </c>
      <c r="K48" s="21">
        <f>IFERROR(__xludf.DUMMYFUNCTION("""COMPUTED_VALUE"""),43983.66666666667)</f>
        <v>43983.66667</v>
      </c>
      <c r="L48" s="22">
        <f>IFERROR(__xludf.DUMMYFUNCTION("""COMPUTED_VALUE"""),82.72)</f>
        <v>82.72</v>
      </c>
    </row>
    <row r="49">
      <c r="A49" s="9"/>
      <c r="B49" s="9"/>
      <c r="C49" s="10" t="s">
        <v>38</v>
      </c>
      <c r="D49" s="37" t="s">
        <v>38</v>
      </c>
      <c r="E49" s="11" t="s">
        <v>39</v>
      </c>
      <c r="F49" s="12">
        <v>497008.0</v>
      </c>
      <c r="G49" s="12">
        <f>F49</f>
        <v>497008</v>
      </c>
      <c r="H49" s="38" t="s">
        <v>39</v>
      </c>
      <c r="I49" s="15" t="s">
        <v>39</v>
      </c>
      <c r="K49" s="15" t="s">
        <v>39</v>
      </c>
      <c r="M49" s="16">
        <f>round(G49*(1+ 7/36500),2)</f>
        <v>497103.32</v>
      </c>
      <c r="N49" s="17">
        <f>O49</f>
        <v>95.32</v>
      </c>
      <c r="O49" s="17">
        <f>M49-G49</f>
        <v>95.32</v>
      </c>
      <c r="P49" s="36">
        <f> round(N49*100/F49,2)</f>
        <v>0.02</v>
      </c>
    </row>
    <row r="50">
      <c r="A50" s="9"/>
      <c r="B50" s="9"/>
    </row>
    <row r="51">
      <c r="A51" s="9"/>
      <c r="B51" s="9"/>
      <c r="C51" s="39" t="s">
        <v>40</v>
      </c>
      <c r="D51" s="40"/>
      <c r="E51" s="40"/>
      <c r="F51" s="38"/>
      <c r="G51" s="40"/>
      <c r="H51" s="40"/>
      <c r="I51" s="40"/>
      <c r="J51" s="40"/>
      <c r="K51" s="40"/>
      <c r="L51" s="40"/>
      <c r="M51" s="40"/>
      <c r="N51" s="42">
        <f>SUM(N31:N50)</f>
        <v>17808.86029</v>
      </c>
      <c r="O51" s="43"/>
      <c r="P51" s="43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K53" s="48"/>
      <c r="L53" s="44"/>
      <c r="M53" s="44"/>
      <c r="N53" s="44"/>
      <c r="O53" s="44"/>
      <c r="P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K54" s="47"/>
      <c r="L54" s="44"/>
      <c r="M54" s="44"/>
      <c r="N54" s="44"/>
      <c r="O54" s="44"/>
      <c r="P54" s="44"/>
    </row>
    <row r="55">
      <c r="A55" s="1"/>
      <c r="B55" s="1"/>
      <c r="C55" s="1"/>
      <c r="D55" s="1"/>
      <c r="E55" s="1"/>
      <c r="F55" s="49" t="s">
        <v>43</v>
      </c>
      <c r="I55" s="1"/>
      <c r="J55" s="1"/>
      <c r="K55" s="1"/>
      <c r="L55" s="1"/>
      <c r="M55" s="1"/>
      <c r="N55" s="1"/>
      <c r="O55" s="1"/>
      <c r="P55" s="1"/>
    </row>
    <row r="56">
      <c r="A56" s="3" t="s">
        <v>1</v>
      </c>
      <c r="C56" s="4"/>
      <c r="D56" s="4"/>
      <c r="E56" s="4"/>
      <c r="F56" s="5" t="s">
        <v>42</v>
      </c>
      <c r="H56" s="4"/>
      <c r="I56" s="4"/>
      <c r="J56" s="4"/>
      <c r="K56" s="4"/>
      <c r="L56" s="4"/>
      <c r="M56" s="4"/>
      <c r="N56" s="5" t="s">
        <v>3</v>
      </c>
      <c r="P56" s="4"/>
    </row>
    <row r="57">
      <c r="A57" s="6" t="s">
        <v>4</v>
      </c>
      <c r="C57" s="7" t="s">
        <v>5</v>
      </c>
      <c r="D57" s="7" t="s">
        <v>6</v>
      </c>
      <c r="E57" s="7" t="s">
        <v>7</v>
      </c>
      <c r="F57" s="7" t="s">
        <v>8</v>
      </c>
      <c r="G57" s="7" t="s">
        <v>9</v>
      </c>
      <c r="H57" s="7" t="s">
        <v>10</v>
      </c>
      <c r="I57" s="8" t="s">
        <v>11</v>
      </c>
      <c r="K57" s="8" t="s">
        <v>12</v>
      </c>
      <c r="M57" s="7" t="s">
        <v>13</v>
      </c>
      <c r="N57" s="8" t="s">
        <v>14</v>
      </c>
      <c r="O57" s="7" t="s">
        <v>15</v>
      </c>
      <c r="P57" s="7" t="s">
        <v>16</v>
      </c>
    </row>
    <row r="58">
      <c r="A58" s="9" t="str">
        <f>IFERROR(__xludf.DUMMYFUNCTION("GOOGLEFINANCE(""currency:EURUSD"", ""price"",DATE(2020,5,18))"),"Date")</f>
        <v>Date</v>
      </c>
      <c r="B58" s="9" t="str">
        <f>IFERROR(__xludf.DUMMYFUNCTION("""COMPUTED_VALUE"""),"Close")</f>
        <v>Close</v>
      </c>
      <c r="C58" s="10" t="s">
        <v>17</v>
      </c>
      <c r="D58" s="11" t="str">
        <f>IFERROR(__xludf.DUMMYFUNCTION("GOOGLEFINANCE($E58, ""name"")"),"S&amp;P 500 Index")</f>
        <v>S&amp;P 500 Index</v>
      </c>
      <c r="E58" s="11" t="s">
        <v>18</v>
      </c>
      <c r="F58" s="50">
        <v>15000.0</v>
      </c>
      <c r="G58" s="12">
        <f>F58</f>
        <v>15000</v>
      </c>
      <c r="H58" s="13">
        <f>round((G58)/J59,2)</f>
        <v>5.08</v>
      </c>
      <c r="I58" s="14" t="str">
        <f>IFERROR(__xludf.DUMMYFUNCTION("GOOGLEFINANCE($E58,""price"",""5/18/2020"")"),"Date")</f>
        <v>Date</v>
      </c>
      <c r="J58" s="15" t="str">
        <f>IFERROR(__xludf.DUMMYFUNCTION("""COMPUTED_VALUE"""),"Close")</f>
        <v>Close</v>
      </c>
      <c r="K58" s="15" t="str">
        <f>IFERROR(__xludf.DUMMYFUNCTION("GOOGLEFINANCE($E58,""price"",""06/01/2020"")"),"Date")</f>
        <v>Date</v>
      </c>
      <c r="L58" s="15" t="str">
        <f>IFERROR(__xludf.DUMMYFUNCTION("""COMPUTED_VALUE"""),"Close")</f>
        <v>Close</v>
      </c>
      <c r="M58" s="16">
        <f>round(L59*H58,2)</f>
        <v>15523.11</v>
      </c>
      <c r="N58" s="17">
        <f>M58-G58</f>
        <v>523.11</v>
      </c>
      <c r="O58" s="17">
        <f>M58-G58</f>
        <v>523.11</v>
      </c>
      <c r="P58" s="18">
        <f> round(N58*100/F58,2)</f>
        <v>3.49</v>
      </c>
    </row>
    <row r="59">
      <c r="A59" s="19">
        <f>IFERROR(__xludf.DUMMYFUNCTION("""COMPUTED_VALUE"""),43969.99861111111)</f>
        <v>43969.99861</v>
      </c>
      <c r="B59" s="20">
        <f>IFERROR(__xludf.DUMMYFUNCTION("""COMPUTED_VALUE"""),1.09147)</f>
        <v>1.09147</v>
      </c>
      <c r="I59" s="21">
        <f>IFERROR(__xludf.DUMMYFUNCTION("""COMPUTED_VALUE"""),43969.66666666667)</f>
        <v>43969.66667</v>
      </c>
      <c r="J59" s="22">
        <f>IFERROR(__xludf.DUMMYFUNCTION("""COMPUTED_VALUE"""),2953.91)</f>
        <v>2953.91</v>
      </c>
      <c r="K59" s="21">
        <f>IFERROR(__xludf.DUMMYFUNCTION("""COMPUTED_VALUE"""),43983.66666666667)</f>
        <v>43983.66667</v>
      </c>
      <c r="L59" s="22">
        <f>IFERROR(__xludf.DUMMYFUNCTION("""COMPUTED_VALUE"""),3055.73)</f>
        <v>3055.73</v>
      </c>
    </row>
    <row r="60">
      <c r="A60" s="9" t="str">
        <f>IFERROR(__xludf.DUMMYFUNCTION("GOOGLEFINANCE(""currency:EURUSD"", ""price"",DATE(2020,6,1))"),"Date")</f>
        <v>Date</v>
      </c>
      <c r="B60" s="9" t="str">
        <f>IFERROR(__xludf.DUMMYFUNCTION("""COMPUTED_VALUE"""),"Close")</f>
        <v>Close</v>
      </c>
      <c r="C60" s="10" t="s">
        <v>17</v>
      </c>
      <c r="D60" s="11" t="str">
        <f>IFERROR(__xludf.DUMMYFUNCTION("GOOGLEFINANCE($E60, ""name"")"),"NASDAQ-100")</f>
        <v>NASDAQ-100</v>
      </c>
      <c r="E60" s="11" t="s">
        <v>19</v>
      </c>
      <c r="F60" s="50">
        <v>25000.0</v>
      </c>
      <c r="G60" s="12">
        <f>F60</f>
        <v>25000</v>
      </c>
      <c r="H60" s="13">
        <f>round((G60)/J61,2)</f>
        <v>2.68</v>
      </c>
      <c r="I60" s="15" t="str">
        <f>IFERROR(__xludf.DUMMYFUNCTION("GOOGLEFINANCE($E60,""price"",""5/18/2020"")"),"Date")</f>
        <v>Date</v>
      </c>
      <c r="J60" s="15" t="str">
        <f>IFERROR(__xludf.DUMMYFUNCTION("""COMPUTED_VALUE"""),"Close")</f>
        <v>Close</v>
      </c>
      <c r="K60" s="15" t="str">
        <f>IFERROR(__xludf.DUMMYFUNCTION("GOOGLEFINANCE($E60,""price"",""06/01/2020"")"),"Date")</f>
        <v>Date</v>
      </c>
      <c r="L60" s="15" t="str">
        <f>IFERROR(__xludf.DUMMYFUNCTION("""COMPUTED_VALUE"""),"Close")</f>
        <v>Close</v>
      </c>
      <c r="M60" s="16">
        <f>round(L61*H60,2)</f>
        <v>25725.03</v>
      </c>
      <c r="N60" s="17">
        <f>M60-G60</f>
        <v>725.03</v>
      </c>
      <c r="O60" s="17">
        <f>M60-G60</f>
        <v>725.03</v>
      </c>
      <c r="P60" s="18">
        <f> round(N60*100/F60,2)</f>
        <v>2.9</v>
      </c>
    </row>
    <row r="61">
      <c r="A61" s="19">
        <f>IFERROR(__xludf.DUMMYFUNCTION("""COMPUTED_VALUE"""),43983.99861111111)</f>
        <v>43983.99861</v>
      </c>
      <c r="B61" s="20">
        <f>IFERROR(__xludf.DUMMYFUNCTION("""COMPUTED_VALUE"""),1.11245)</f>
        <v>1.11245</v>
      </c>
      <c r="I61" s="21">
        <f>IFERROR(__xludf.DUMMYFUNCTION("""COMPUTED_VALUE"""),43969.66666666667)</f>
        <v>43969.66667</v>
      </c>
      <c r="J61" s="22">
        <f>IFERROR(__xludf.DUMMYFUNCTION("""COMPUTED_VALUE"""),9331.93)</f>
        <v>9331.93</v>
      </c>
      <c r="K61" s="21">
        <f>IFERROR(__xludf.DUMMYFUNCTION("""COMPUTED_VALUE"""),43983.66666666667)</f>
        <v>43983.66667</v>
      </c>
      <c r="L61" s="22">
        <f>IFERROR(__xludf.DUMMYFUNCTION("""COMPUTED_VALUE"""),9598.89)</f>
        <v>9598.89</v>
      </c>
    </row>
    <row r="62">
      <c r="A62" s="6" t="s">
        <v>20</v>
      </c>
      <c r="C62" s="10" t="s">
        <v>21</v>
      </c>
      <c r="D62" s="11" t="str">
        <f>IFERROR(__xludf.DUMMYFUNCTION("GOOGLEFINANCE(""indexdb:DAX"", ""name"")"),"DAX PERFORMANCE-INDEX")</f>
        <v>DAX PERFORMANCE-INDEX</v>
      </c>
      <c r="E62" s="11" t="s">
        <v>22</v>
      </c>
      <c r="F62" s="50">
        <v>20000.0</v>
      </c>
      <c r="G62" s="12">
        <f>F62/B59</f>
        <v>18323.91179</v>
      </c>
      <c r="H62" s="13">
        <f>round((G62)/J63,2)</f>
        <v>1.66</v>
      </c>
      <c r="I62" s="14" t="str">
        <f>IFERROR(__xludf.DUMMYFUNCTION("GOOGLEFINANCE(""indexdb:DAX"",""price"",""5/18/2020"")"),"Date")</f>
        <v>Date</v>
      </c>
      <c r="J62" s="15" t="str">
        <f>IFERROR(__xludf.DUMMYFUNCTION("""COMPUTED_VALUE"""),"Close")</f>
        <v>Close</v>
      </c>
      <c r="K62" s="15" t="str">
        <f>IFERROR(__xludf.DUMMYFUNCTION("GOOGLEFINANCE(""indexdb:DAX"", ""price"",""05/29/2020"")"),"Date")</f>
        <v>Date</v>
      </c>
      <c r="L62" s="15" t="str">
        <f>IFERROR(__xludf.DUMMYFUNCTION("""COMPUTED_VALUE"""),"Close")</f>
        <v>Close</v>
      </c>
      <c r="M62" s="16">
        <f>round(L63*H62,2)</f>
        <v>19234.17</v>
      </c>
      <c r="N62" s="17">
        <f>O62*B61</f>
        <v>1012.616747</v>
      </c>
      <c r="O62" s="17">
        <f>M62-G62</f>
        <v>910.2582113</v>
      </c>
      <c r="P62" s="18">
        <f> round(N62*100/F62,2)</f>
        <v>5.06</v>
      </c>
    </row>
    <row r="63">
      <c r="A63" s="9" t="str">
        <f>IFERROR(__xludf.DUMMYFUNCTION("GOOGLEFINANCE(""currency:JPYUSD"", ""price"",DATE(2020,5,18))"),"Date")</f>
        <v>Date</v>
      </c>
      <c r="B63" s="9" t="str">
        <f>IFERROR(__xludf.DUMMYFUNCTION("""COMPUTED_VALUE"""),"Close")</f>
        <v>Close</v>
      </c>
      <c r="I63" s="21">
        <f>IFERROR(__xludf.DUMMYFUNCTION("""COMPUTED_VALUE"""),43969.83333333333)</f>
        <v>43969.83333</v>
      </c>
      <c r="J63" s="22">
        <f>IFERROR(__xludf.DUMMYFUNCTION("""COMPUTED_VALUE"""),11058.87)</f>
        <v>11058.87</v>
      </c>
      <c r="K63" s="23">
        <f>IFERROR(__xludf.DUMMYFUNCTION("""COMPUTED_VALUE"""),43980.83333333333)</f>
        <v>43980.83333</v>
      </c>
      <c r="L63" s="22">
        <f>IFERROR(__xludf.DUMMYFUNCTION("""COMPUTED_VALUE"""),11586.85)</f>
        <v>11586.85</v>
      </c>
    </row>
    <row r="64">
      <c r="A64" s="19">
        <f>IFERROR(__xludf.DUMMYFUNCTION("""COMPUTED_VALUE"""),43969.99861111111)</f>
        <v>43969.99861</v>
      </c>
      <c r="B64" s="20">
        <f>IFERROR(__xludf.DUMMYFUNCTION("""COMPUTED_VALUE"""),0.009312982)</f>
        <v>0.009312982</v>
      </c>
      <c r="C64" s="10" t="s">
        <v>23</v>
      </c>
      <c r="D64" s="11" t="str">
        <f>IFERROR(__xludf.DUMMYFUNCTION("GOOGLEFINANCE($E64, ""name"")"),"Nikkei 225")</f>
        <v>Nikkei 225</v>
      </c>
      <c r="E64" s="11" t="s">
        <v>24</v>
      </c>
      <c r="F64" s="50">
        <v>30000.0</v>
      </c>
      <c r="G64" s="12">
        <f>30000/B64</f>
        <v>3221309.78</v>
      </c>
      <c r="H64" s="13">
        <f>round((G64)/J65,2)</f>
        <v>160</v>
      </c>
      <c r="I64" s="15" t="str">
        <f>IFERROR(__xludf.DUMMYFUNCTION("GOOGLEFINANCE($E64,""price"",""5/17/2020"")"),"Date")</f>
        <v>Date</v>
      </c>
      <c r="J64" s="15" t="str">
        <f>IFERROR(__xludf.DUMMYFUNCTION("""COMPUTED_VALUE"""),"Close")</f>
        <v>Close</v>
      </c>
      <c r="K64" s="15" t="str">
        <f>IFERROR(__xludf.DUMMYFUNCTION("GOOGLEFINANCE($E64,""price"",""05/31/2020"")"),"Date")</f>
        <v>Date</v>
      </c>
      <c r="L64" s="15" t="str">
        <f>IFERROR(__xludf.DUMMYFUNCTION("""COMPUTED_VALUE"""),"Close")</f>
        <v>Close</v>
      </c>
      <c r="M64" s="16">
        <f>round(L65*H64,2)</f>
        <v>3529982.4</v>
      </c>
      <c r="N64" s="25">
        <f>O64*B66</f>
        <v>2869.899116</v>
      </c>
      <c r="O64" s="25">
        <f>M64-G64</f>
        <v>308672.6197</v>
      </c>
      <c r="P64" s="26">
        <f> round(N64*100/F64,2)</f>
        <v>9.57</v>
      </c>
    </row>
    <row r="65">
      <c r="A65" s="9" t="str">
        <f>IFERROR(__xludf.DUMMYFUNCTION("GOOGLEFINANCE(""currency:JPYUSD"", ""price"",DATE(2020,6,1))"),"Date")</f>
        <v>Date</v>
      </c>
      <c r="B65" s="9" t="str">
        <f>IFERROR(__xludf.DUMMYFUNCTION("""COMPUTED_VALUE"""),"Close")</f>
        <v>Close</v>
      </c>
      <c r="I65" s="21">
        <f>IFERROR(__xludf.DUMMYFUNCTION("""COMPUTED_VALUE"""),43969.625)</f>
        <v>43969.625</v>
      </c>
      <c r="J65" s="22">
        <f>IFERROR(__xludf.DUMMYFUNCTION("""COMPUTED_VALUE"""),20133.73)</f>
        <v>20133.73</v>
      </c>
      <c r="K65" s="23">
        <f>IFERROR(__xludf.DUMMYFUNCTION("""COMPUTED_VALUE"""),43983.625)</f>
        <v>43983.625</v>
      </c>
      <c r="L65" s="22">
        <f>IFERROR(__xludf.DUMMYFUNCTION("""COMPUTED_VALUE"""),22062.39)</f>
        <v>22062.39</v>
      </c>
    </row>
    <row r="66">
      <c r="A66" s="19">
        <f>IFERROR(__xludf.DUMMYFUNCTION("""COMPUTED_VALUE"""),43983.99861111111)</f>
        <v>43983.99861</v>
      </c>
      <c r="B66" s="20">
        <f>IFERROR(__xludf.DUMMYFUNCTION("""COMPUTED_VALUE"""),0.00929755)</f>
        <v>0.00929755</v>
      </c>
      <c r="C66" s="10" t="s">
        <v>25</v>
      </c>
      <c r="D66" s="11" t="s">
        <v>26</v>
      </c>
      <c r="E66" s="24" t="s">
        <v>27</v>
      </c>
      <c r="F66" s="50">
        <v>0.0</v>
      </c>
      <c r="G66" s="12">
        <f>0/B69</f>
        <v>0</v>
      </c>
      <c r="H66" s="13">
        <f>round((G66)/J67,2)</f>
        <v>0</v>
      </c>
      <c r="I66" s="15" t="s">
        <v>28</v>
      </c>
      <c r="J66" s="15" t="s">
        <v>29</v>
      </c>
      <c r="K66" s="15" t="s">
        <v>28</v>
      </c>
      <c r="L66" s="15" t="s">
        <v>29</v>
      </c>
      <c r="M66" s="16">
        <f>round(L67*H66,2)</f>
        <v>0</v>
      </c>
      <c r="N66" s="46">
        <f>O66*B71</f>
        <v>0</v>
      </c>
      <c r="O66" s="46">
        <f>M66-G66</f>
        <v>0</v>
      </c>
      <c r="P66" s="51" t="s">
        <v>39</v>
      </c>
    </row>
    <row r="67">
      <c r="A67" s="6" t="s">
        <v>30</v>
      </c>
      <c r="I67" s="27">
        <v>43951.666666666664</v>
      </c>
      <c r="J67" s="22">
        <v>2895.51</v>
      </c>
      <c r="K67" s="55">
        <v>43983.625</v>
      </c>
      <c r="L67" s="53">
        <v>2914.42</v>
      </c>
    </row>
    <row r="68">
      <c r="A68" s="30" t="str">
        <f>IFERROR(__xludf.DUMMYFUNCTION("GOOGLEFINANCE(""currency:CNYUSD"", ""price"",DATE(2020,5,18))"),"Date")</f>
        <v>Date</v>
      </c>
      <c r="B68" s="9" t="str">
        <f>IFERROR(__xludf.DUMMYFUNCTION("""COMPUTED_VALUE"""),"Close")</f>
        <v>Close</v>
      </c>
      <c r="C68" s="10" t="s">
        <v>31</v>
      </c>
      <c r="D68" s="31" t="str">
        <f>IFERROR(__xludf.DUMMYFUNCTION("GOOGLEFINANCE($E68, ""name"")"),"S&amp;P GSCI Crude Oil ER")</f>
        <v>S&amp;P GSCI Crude Oil ER</v>
      </c>
      <c r="E68" s="11" t="s">
        <v>32</v>
      </c>
      <c r="F68" s="50">
        <v>0.0</v>
      </c>
      <c r="G68" s="12">
        <f>F68</f>
        <v>0</v>
      </c>
      <c r="H68" s="13">
        <f>round((G68)/J69,2)</f>
        <v>0</v>
      </c>
      <c r="I68" s="15" t="s">
        <v>28</v>
      </c>
      <c r="J68" s="15" t="s">
        <v>29</v>
      </c>
      <c r="K68" s="15" t="s">
        <v>28</v>
      </c>
      <c r="L68" s="15" t="s">
        <v>29</v>
      </c>
      <c r="M68" s="16">
        <f>round(L69*H68,2)</f>
        <v>0</v>
      </c>
      <c r="N68" s="46">
        <f>O68</f>
        <v>0</v>
      </c>
      <c r="O68" s="46">
        <f>M68-G68</f>
        <v>0</v>
      </c>
      <c r="P68" s="51" t="s">
        <v>39</v>
      </c>
    </row>
    <row r="69">
      <c r="A69" s="19">
        <f>IFERROR(__xludf.DUMMYFUNCTION("""COMPUTED_VALUE"""),43969.99861111111)</f>
        <v>43969.99861</v>
      </c>
      <c r="B69" s="20">
        <f>IFERROR(__xludf.DUMMYFUNCTION("""COMPUTED_VALUE"""),0.1406549)</f>
        <v>0.1406549</v>
      </c>
      <c r="I69" s="23">
        <v>43962.666666666664</v>
      </c>
      <c r="J69" s="22">
        <v>40.92</v>
      </c>
      <c r="K69" s="55">
        <v>43983.625</v>
      </c>
      <c r="L69" s="53">
        <v>55.22</v>
      </c>
    </row>
    <row r="70">
      <c r="A70" s="9" t="str">
        <f>IFERROR(__xludf.DUMMYFUNCTION("GOOGLEFINANCE(""currency:CNYUSD"", ""price"",DATE(2020,6,1))"),"Date")</f>
        <v>Date</v>
      </c>
      <c r="B70" s="9" t="str">
        <f>IFERROR(__xludf.DUMMYFUNCTION("""COMPUTED_VALUE"""),"Close")</f>
        <v>Close</v>
      </c>
      <c r="C70" s="10" t="s">
        <v>31</v>
      </c>
      <c r="D70" s="31" t="str">
        <f>IFERROR(__xludf.DUMMYFUNCTION("GOOGLEFINANCE($E70, ""name"")"),"S&amp;P GSCI Gold ER")</f>
        <v>S&amp;P GSCI Gold ER</v>
      </c>
      <c r="E70" s="11" t="s">
        <v>34</v>
      </c>
      <c r="F70" s="50">
        <v>10000.0</v>
      </c>
      <c r="G70" s="12">
        <f>F70</f>
        <v>10000</v>
      </c>
      <c r="H70" s="13">
        <f>round((G70)/J71,2)</f>
        <v>75.47</v>
      </c>
      <c r="I70" s="15" t="s">
        <v>28</v>
      </c>
      <c r="J70" s="15" t="s">
        <v>29</v>
      </c>
      <c r="K70" s="15" t="s">
        <v>28</v>
      </c>
      <c r="L70" s="15" t="s">
        <v>29</v>
      </c>
      <c r="M70" s="16">
        <f>round(L71*H70,2)</f>
        <v>10020.15</v>
      </c>
      <c r="N70" s="25">
        <f>O70</f>
        <v>20.15</v>
      </c>
      <c r="O70" s="25">
        <f>M70-G70</f>
        <v>20.15</v>
      </c>
      <c r="P70" s="26">
        <v>0.0</v>
      </c>
    </row>
    <row r="71">
      <c r="A71" s="19">
        <f>IFERROR(__xludf.DUMMYFUNCTION("""COMPUTED_VALUE"""),43983.99861111111)</f>
        <v>43983.99861</v>
      </c>
      <c r="B71" s="20">
        <f>IFERROR(__xludf.DUMMYFUNCTION("""COMPUTED_VALUE"""),0.140296)</f>
        <v>0.140296</v>
      </c>
      <c r="I71" s="52">
        <v>43969.666666666664</v>
      </c>
      <c r="J71" s="53">
        <v>132.5</v>
      </c>
      <c r="K71" s="55">
        <v>43983.625</v>
      </c>
      <c r="L71" s="53">
        <v>132.77</v>
      </c>
    </row>
    <row r="72">
      <c r="A72" s="9"/>
      <c r="B72" s="9"/>
      <c r="C72" s="10" t="s">
        <v>35</v>
      </c>
      <c r="D72" s="31" t="str">
        <f>IFERROR(__xludf.DUMMYFUNCTION("GOOGLEFINANCE($E72, ""name"")"),"iShares Barclays 20+ Yr Treas.Bond")</f>
        <v>iShares Barclays 20+ Yr Treas.Bond</v>
      </c>
      <c r="E72" s="11" t="s">
        <v>36</v>
      </c>
      <c r="F72" s="50">
        <v>-15000.0</v>
      </c>
      <c r="G72" s="12">
        <f>F72</f>
        <v>-15000</v>
      </c>
      <c r="H72" s="13">
        <f>round((G72)/J73,2)</f>
        <v>-92</v>
      </c>
      <c r="I72" s="15" t="str">
        <f>IFERROR(__xludf.DUMMYFUNCTION("GOOGLEFINANCE($E72,""price"",""5/18/2020"")"),"Date")</f>
        <v>Date</v>
      </c>
      <c r="J72" s="15" t="str">
        <f>IFERROR(__xludf.DUMMYFUNCTION("""COMPUTED_VALUE"""),"Close")</f>
        <v>Close</v>
      </c>
      <c r="K72" s="15" t="str">
        <f>IFERROR(__xludf.DUMMYFUNCTION("GOOGLEFINANCE($E99,""price"",""06/01/2020"")"),"Date")</f>
        <v>Date</v>
      </c>
      <c r="L72" s="15" t="str">
        <f>IFERROR(__xludf.DUMMYFUNCTION("""COMPUTED_VALUE"""),"Close")</f>
        <v>Close</v>
      </c>
      <c r="M72" s="16">
        <f>round(L73*H72,2)</f>
        <v>-14929.76</v>
      </c>
      <c r="N72" s="25">
        <f>O72</f>
        <v>70.24</v>
      </c>
      <c r="O72" s="25">
        <f>M72-G72</f>
        <v>70.24</v>
      </c>
      <c r="P72" s="26">
        <v>0.0</v>
      </c>
    </row>
    <row r="73">
      <c r="A73" s="9"/>
      <c r="B73" s="9"/>
      <c r="I73" s="21">
        <f>IFERROR(__xludf.DUMMYFUNCTION("""COMPUTED_VALUE"""),43969.66666666667)</f>
        <v>43969.66667</v>
      </c>
      <c r="J73" s="22">
        <f>IFERROR(__xludf.DUMMYFUNCTION("""COMPUTED_VALUE"""),163.05)</f>
        <v>163.05</v>
      </c>
      <c r="K73" s="21">
        <f>IFERROR(__xludf.DUMMYFUNCTION("""COMPUTED_VALUE"""),43983.66666666667)</f>
        <v>43983.66667</v>
      </c>
      <c r="L73" s="22">
        <f>IFERROR(__xludf.DUMMYFUNCTION("""COMPUTED_VALUE"""),162.28)</f>
        <v>162.28</v>
      </c>
    </row>
    <row r="74">
      <c r="A74" s="9"/>
      <c r="B74" s="9"/>
      <c r="C74" s="10" t="s">
        <v>35</v>
      </c>
      <c r="D74" s="31" t="str">
        <f>IFERROR(__xludf.DUMMYFUNCTION("GOOGLEFINANCE($E74, ""name"")"),"iShares iBoxx $ High Yid Corp Bond")</f>
        <v>iShares iBoxx $ High Yid Corp Bond</v>
      </c>
      <c r="E74" s="11" t="s">
        <v>37</v>
      </c>
      <c r="F74" s="50">
        <v>0.0</v>
      </c>
      <c r="G74" s="12">
        <f>F74</f>
        <v>0</v>
      </c>
      <c r="H74" s="13">
        <f>round((G74)/J75,2)</f>
        <v>0</v>
      </c>
      <c r="I74" s="15" t="str">
        <f>IFERROR(__xludf.DUMMYFUNCTION("GOOGLEFINANCE($E74,""price"",""5/11/2020"")"),"Date")</f>
        <v>Date</v>
      </c>
      <c r="J74" s="15" t="str">
        <f>IFERROR(__xludf.DUMMYFUNCTION("""COMPUTED_VALUE"""),"Close")</f>
        <v>Close</v>
      </c>
      <c r="K74" s="15" t="str">
        <f>IFERROR(__xludf.DUMMYFUNCTION("GOOGLEFINANCE($E101,""price"",""06/01/2020"")"),"Date")</f>
        <v>Date</v>
      </c>
      <c r="L74" s="15" t="str">
        <f>IFERROR(__xludf.DUMMYFUNCTION("""COMPUTED_VALUE"""),"Close")</f>
        <v>Close</v>
      </c>
      <c r="M74" s="16">
        <f>round(L75*H74,2)</f>
        <v>0</v>
      </c>
      <c r="N74" s="46">
        <f>O74</f>
        <v>0</v>
      </c>
      <c r="O74" s="46">
        <f>M74-G74</f>
        <v>0</v>
      </c>
      <c r="P74" s="54" t="s">
        <v>39</v>
      </c>
    </row>
    <row r="75">
      <c r="A75" s="9"/>
      <c r="B75" s="9"/>
      <c r="I75" s="21">
        <f>IFERROR(__xludf.DUMMYFUNCTION("""COMPUTED_VALUE"""),43962.66666666667)</f>
        <v>43962.66667</v>
      </c>
      <c r="J75" s="22">
        <f>IFERROR(__xludf.DUMMYFUNCTION("""COMPUTED_VALUE"""),79.39)</f>
        <v>79.39</v>
      </c>
      <c r="K75" s="21">
        <f>IFERROR(__xludf.DUMMYFUNCTION("""COMPUTED_VALUE"""),43983.66666666667)</f>
        <v>43983.66667</v>
      </c>
      <c r="L75" s="22">
        <f>IFERROR(__xludf.DUMMYFUNCTION("""COMPUTED_VALUE"""),82.72)</f>
        <v>82.72</v>
      </c>
    </row>
    <row r="76">
      <c r="A76" s="9"/>
      <c r="B76" s="9"/>
      <c r="C76" s="10" t="s">
        <v>38</v>
      </c>
      <c r="D76" s="37" t="s">
        <v>38</v>
      </c>
      <c r="E76" s="11" t="s">
        <v>39</v>
      </c>
      <c r="F76" s="50">
        <v>416432.0</v>
      </c>
      <c r="G76" s="12">
        <f>F76</f>
        <v>416432</v>
      </c>
      <c r="H76" s="38" t="s">
        <v>39</v>
      </c>
      <c r="I76" s="15" t="s">
        <v>39</v>
      </c>
      <c r="K76" s="15" t="s">
        <v>39</v>
      </c>
      <c r="M76" s="16">
        <f>round(G76*(1+ 7/36500),2)</f>
        <v>416511.86</v>
      </c>
      <c r="N76" s="17">
        <f>O76</f>
        <v>79.86</v>
      </c>
      <c r="O76" s="17">
        <f>M76-G76</f>
        <v>79.86</v>
      </c>
      <c r="P76" s="36">
        <f> round(N76*100/F76,2)</f>
        <v>0.02</v>
      </c>
    </row>
    <row r="77">
      <c r="A77" s="9"/>
      <c r="B77" s="9"/>
    </row>
    <row r="78">
      <c r="A78" s="9"/>
      <c r="B78" s="9"/>
      <c r="C78" s="39" t="s">
        <v>40</v>
      </c>
      <c r="D78" s="40"/>
      <c r="E78" s="40"/>
      <c r="F78" s="38"/>
      <c r="G78" s="40"/>
      <c r="H78" s="40"/>
      <c r="I78" s="40"/>
      <c r="J78" s="40"/>
      <c r="K78" s="40"/>
      <c r="L78" s="40"/>
      <c r="M78" s="40"/>
      <c r="N78" s="42">
        <f>SUM(N58:N77)</f>
        <v>5300.905863</v>
      </c>
      <c r="O78" s="43"/>
      <c r="P78" s="43"/>
    </row>
    <row r="81">
      <c r="H81" s="44"/>
      <c r="J81" s="48"/>
    </row>
    <row r="82">
      <c r="A82" s="1"/>
      <c r="B82" s="1"/>
      <c r="C82" s="1"/>
      <c r="D82" s="1"/>
      <c r="E82" s="1"/>
      <c r="F82" s="49" t="s">
        <v>44</v>
      </c>
      <c r="I82" s="1"/>
      <c r="J82" s="1"/>
      <c r="K82" s="1"/>
      <c r="L82" s="1"/>
      <c r="M82" s="1"/>
      <c r="N82" s="1"/>
      <c r="O82" s="1"/>
      <c r="P82" s="1"/>
    </row>
    <row r="83">
      <c r="A83" s="3" t="s">
        <v>1</v>
      </c>
      <c r="C83" s="4"/>
      <c r="D83" s="4"/>
      <c r="E83" s="4"/>
      <c r="F83" s="5" t="s">
        <v>42</v>
      </c>
      <c r="H83" s="4"/>
      <c r="I83" s="4"/>
      <c r="J83" s="4"/>
      <c r="K83" s="4"/>
      <c r="L83" s="4"/>
      <c r="M83" s="4"/>
      <c r="N83" s="5" t="s">
        <v>3</v>
      </c>
      <c r="P83" s="4"/>
    </row>
    <row r="84">
      <c r="A84" s="6" t="s">
        <v>4</v>
      </c>
      <c r="C84" s="7" t="s">
        <v>5</v>
      </c>
      <c r="D84" s="7" t="s">
        <v>6</v>
      </c>
      <c r="E84" s="7" t="s">
        <v>7</v>
      </c>
      <c r="F84" s="7" t="s">
        <v>8</v>
      </c>
      <c r="G84" s="7" t="s">
        <v>9</v>
      </c>
      <c r="H84" s="7" t="s">
        <v>10</v>
      </c>
      <c r="I84" s="8" t="s">
        <v>11</v>
      </c>
      <c r="K84" s="8" t="s">
        <v>12</v>
      </c>
      <c r="M84" s="7" t="s">
        <v>13</v>
      </c>
      <c r="N84" s="8" t="s">
        <v>14</v>
      </c>
      <c r="O84" s="7" t="s">
        <v>15</v>
      </c>
      <c r="P84" s="7" t="s">
        <v>16</v>
      </c>
    </row>
    <row r="85">
      <c r="A85" s="9" t="str">
        <f>IFERROR(__xludf.DUMMYFUNCTION("GOOGLEFINANCE(""currency:EURUSD"", ""price"",DATE(2020,5,25))"),"Date")</f>
        <v>Date</v>
      </c>
      <c r="B85" s="9" t="str">
        <f>IFERROR(__xludf.DUMMYFUNCTION("""COMPUTED_VALUE"""),"Close")</f>
        <v>Close</v>
      </c>
      <c r="C85" s="10" t="s">
        <v>17</v>
      </c>
      <c r="D85" s="11" t="str">
        <f>IFERROR(__xludf.DUMMYFUNCTION("GOOGLEFINANCE($E85, ""name"")"),"S&amp;P 500 Index")</f>
        <v>S&amp;P 500 Index</v>
      </c>
      <c r="E85" s="11" t="s">
        <v>18</v>
      </c>
      <c r="F85" s="50">
        <v>30000.0</v>
      </c>
      <c r="G85" s="12">
        <f>F85</f>
        <v>30000</v>
      </c>
      <c r="H85" s="13">
        <f>round((G85)/J86,2)</f>
        <v>10.15</v>
      </c>
      <c r="I85" s="15" t="str">
        <f>IFERROR(__xludf.DUMMYFUNCTION("GOOGLEFINANCE($E85,""price"",""05/22/2020"")"),"Date")</f>
        <v>Date</v>
      </c>
      <c r="J85" s="15" t="str">
        <f>IFERROR(__xludf.DUMMYFUNCTION("""COMPUTED_VALUE"""),"Close")</f>
        <v>Close</v>
      </c>
      <c r="K85" s="15" t="str">
        <f>IFERROR(__xludf.DUMMYFUNCTION("GOOGLEFINANCE($E85,""price"",""06/01/2020"")"),"Date")</f>
        <v>Date</v>
      </c>
      <c r="L85" s="15" t="str">
        <f>IFERROR(__xludf.DUMMYFUNCTION("""COMPUTED_VALUE"""),"Close")</f>
        <v>Close</v>
      </c>
      <c r="M85" s="16">
        <f>round(L86*H85,2)</f>
        <v>31015.66</v>
      </c>
      <c r="N85" s="17">
        <f>M85-G85</f>
        <v>1015.66</v>
      </c>
      <c r="O85" s="17">
        <f>M85-G85</f>
        <v>1015.66</v>
      </c>
      <c r="P85" s="18">
        <f> round(N85*100/F85,2)</f>
        <v>3.39</v>
      </c>
    </row>
    <row r="86">
      <c r="A86" s="19">
        <f>IFERROR(__xludf.DUMMYFUNCTION("""COMPUTED_VALUE"""),43976.99861111111)</f>
        <v>43976.99861</v>
      </c>
      <c r="B86" s="20">
        <f>IFERROR(__xludf.DUMMYFUNCTION("""COMPUTED_VALUE"""),1.09007)</f>
        <v>1.09007</v>
      </c>
      <c r="I86" s="21">
        <f>IFERROR(__xludf.DUMMYFUNCTION("""COMPUTED_VALUE"""),43973.66666666667)</f>
        <v>43973.66667</v>
      </c>
      <c r="J86" s="22">
        <f>IFERROR(__xludf.DUMMYFUNCTION("""COMPUTED_VALUE"""),2955.45)</f>
        <v>2955.45</v>
      </c>
      <c r="K86" s="21">
        <f>IFERROR(__xludf.DUMMYFUNCTION("""COMPUTED_VALUE"""),43983.66666666667)</f>
        <v>43983.66667</v>
      </c>
      <c r="L86" s="22">
        <f>IFERROR(__xludf.DUMMYFUNCTION("""COMPUTED_VALUE"""),3055.73)</f>
        <v>3055.73</v>
      </c>
    </row>
    <row r="87">
      <c r="A87" s="9" t="str">
        <f>IFERROR(__xludf.DUMMYFUNCTION("GOOGLEFINANCE(""currency:EURUSD"", ""price"",DATE(2020,6,1))"),"Date")</f>
        <v>Date</v>
      </c>
      <c r="B87" s="9" t="str">
        <f>IFERROR(__xludf.DUMMYFUNCTION("""COMPUTED_VALUE"""),"Close")</f>
        <v>Close</v>
      </c>
      <c r="C87" s="10" t="s">
        <v>17</v>
      </c>
      <c r="D87" s="11" t="str">
        <f>IFERROR(__xludf.DUMMYFUNCTION("GOOGLEFINANCE($E87, ""name"")"),"NASDAQ-100")</f>
        <v>NASDAQ-100</v>
      </c>
      <c r="E87" s="11" t="s">
        <v>19</v>
      </c>
      <c r="F87" s="50">
        <v>75000.0</v>
      </c>
      <c r="G87" s="12">
        <f>F87</f>
        <v>75000</v>
      </c>
      <c r="H87" s="13">
        <f>round((G87)/J88,2)</f>
        <v>7.97</v>
      </c>
      <c r="I87" s="15" t="str">
        <f>IFERROR(__xludf.DUMMYFUNCTION("GOOGLEFINANCE($E87,""price"",""05/22/2020"")"),"Date")</f>
        <v>Date</v>
      </c>
      <c r="J87" s="15" t="str">
        <f>IFERROR(__xludf.DUMMYFUNCTION("""COMPUTED_VALUE"""),"Close")</f>
        <v>Close</v>
      </c>
      <c r="K87" s="15" t="str">
        <f>IFERROR(__xludf.DUMMYFUNCTION("GOOGLEFINANCE($E87,""price"",""06/01/2020"")"),"Date")</f>
        <v>Date</v>
      </c>
      <c r="L87" s="15" t="str">
        <f>IFERROR(__xludf.DUMMYFUNCTION("""COMPUTED_VALUE"""),"Close")</f>
        <v>Close</v>
      </c>
      <c r="M87" s="16">
        <f>round(L88*H87,2)</f>
        <v>76503.15</v>
      </c>
      <c r="N87" s="17">
        <f>M87-G87</f>
        <v>1503.15</v>
      </c>
      <c r="O87" s="17">
        <f>M87-G87</f>
        <v>1503.15</v>
      </c>
      <c r="P87" s="18">
        <f> round(N87*100/F87,2)</f>
        <v>2</v>
      </c>
    </row>
    <row r="88">
      <c r="A88" s="19">
        <f>IFERROR(__xludf.DUMMYFUNCTION("""COMPUTED_VALUE"""),43983.99861111111)</f>
        <v>43983.99861</v>
      </c>
      <c r="B88" s="20">
        <f>IFERROR(__xludf.DUMMYFUNCTION("""COMPUTED_VALUE"""),1.11245)</f>
        <v>1.11245</v>
      </c>
      <c r="I88" s="21">
        <f>IFERROR(__xludf.DUMMYFUNCTION("""COMPUTED_VALUE"""),43973.66666666667)</f>
        <v>43973.66667</v>
      </c>
      <c r="J88" s="22">
        <f>IFERROR(__xludf.DUMMYFUNCTION("""COMPUTED_VALUE"""),9413.99)</f>
        <v>9413.99</v>
      </c>
      <c r="K88" s="21">
        <f>IFERROR(__xludf.DUMMYFUNCTION("""COMPUTED_VALUE"""),43983.66666666667)</f>
        <v>43983.66667</v>
      </c>
      <c r="L88" s="22">
        <f>IFERROR(__xludf.DUMMYFUNCTION("""COMPUTED_VALUE"""),9598.89)</f>
        <v>9598.89</v>
      </c>
    </row>
    <row r="89">
      <c r="A89" s="6" t="s">
        <v>20</v>
      </c>
      <c r="C89" s="10" t="s">
        <v>21</v>
      </c>
      <c r="D89" s="11" t="str">
        <f>IFERROR(__xludf.DUMMYFUNCTION("GOOGLEFINANCE(""indexdb:DAX"", ""name"")"),"DAX PERFORMANCE-INDEX")</f>
        <v>DAX PERFORMANCE-INDEX</v>
      </c>
      <c r="E89" s="11" t="s">
        <v>22</v>
      </c>
      <c r="F89" s="50">
        <v>40000.0</v>
      </c>
      <c r="G89" s="12">
        <f>F89/B86</f>
        <v>36694.89115</v>
      </c>
      <c r="H89" s="13">
        <f>round((G89)/J90,2)</f>
        <v>3.31</v>
      </c>
      <c r="I89" s="15" t="str">
        <f>IFERROR(__xludf.DUMMYFUNCTION("GOOGLEFINANCE(""indexdb:DAX"", ""price"",""05/22/2020"")"),"Date")</f>
        <v>Date</v>
      </c>
      <c r="J89" s="15" t="str">
        <f>IFERROR(__xludf.DUMMYFUNCTION("""COMPUTED_VALUE"""),"Close")</f>
        <v>Close</v>
      </c>
      <c r="K89" s="15" t="str">
        <f>IFERROR(__xludf.DUMMYFUNCTION("GOOGLEFINANCE(""indexdb:DAX"", ""price"",""05/29/2020"")"),"Date")</f>
        <v>Date</v>
      </c>
      <c r="L89" s="15" t="str">
        <f>IFERROR(__xludf.DUMMYFUNCTION("""COMPUTED_VALUE"""),"Close")</f>
        <v>Close</v>
      </c>
      <c r="M89" s="16">
        <f>round(L90*H89,2)</f>
        <v>38352.47</v>
      </c>
      <c r="N89" s="17">
        <f>O89*B88</f>
        <v>1843.973587</v>
      </c>
      <c r="O89" s="17">
        <f>M89-G89</f>
        <v>1657.578846</v>
      </c>
      <c r="P89" s="18">
        <f> round(N89*100/F89,2)</f>
        <v>4.61</v>
      </c>
    </row>
    <row r="90">
      <c r="A90" s="9" t="str">
        <f>IFERROR(__xludf.DUMMYFUNCTION("GOOGLEFINANCE(""currency:JPYUSD"", ""price"",DATE(2020,5,25))"),"Date")</f>
        <v>Date</v>
      </c>
      <c r="B90" s="9" t="str">
        <f>IFERROR(__xludf.DUMMYFUNCTION("""COMPUTED_VALUE"""),"Close")</f>
        <v>Close</v>
      </c>
      <c r="I90" s="23">
        <f>IFERROR(__xludf.DUMMYFUNCTION("""COMPUTED_VALUE"""),43973.83333333333)</f>
        <v>43973.83333</v>
      </c>
      <c r="J90" s="22">
        <f>IFERROR(__xludf.DUMMYFUNCTION("""COMPUTED_VALUE"""),11073.87)</f>
        <v>11073.87</v>
      </c>
      <c r="K90" s="23">
        <f>IFERROR(__xludf.DUMMYFUNCTION("""COMPUTED_VALUE"""),43980.83333333333)</f>
        <v>43980.83333</v>
      </c>
      <c r="L90" s="22">
        <f>IFERROR(__xludf.DUMMYFUNCTION("""COMPUTED_VALUE"""),11586.85)</f>
        <v>11586.85</v>
      </c>
    </row>
    <row r="91">
      <c r="A91" s="19">
        <f>IFERROR(__xludf.DUMMYFUNCTION("""COMPUTED_VALUE"""),43976.99861111111)</f>
        <v>43976.99861</v>
      </c>
      <c r="B91" s="20">
        <f>IFERROR(__xludf.DUMMYFUNCTION("""COMPUTED_VALUE"""),0.009286)</f>
        <v>0.009286</v>
      </c>
      <c r="C91" s="10" t="s">
        <v>23</v>
      </c>
      <c r="D91" s="11" t="str">
        <f>IFERROR(__xludf.DUMMYFUNCTION("GOOGLEFINANCE($E91, ""name"")"),"Nikkei 225")</f>
        <v>Nikkei 225</v>
      </c>
      <c r="E91" s="11" t="s">
        <v>24</v>
      </c>
      <c r="F91" s="50">
        <v>30000.0</v>
      </c>
      <c r="G91" s="12">
        <f>30000/B91</f>
        <v>3230669.826</v>
      </c>
      <c r="H91" s="13">
        <f>round((G91)/J92,2)</f>
        <v>158.46</v>
      </c>
      <c r="I91" s="15" t="str">
        <f>IFERROR(__xludf.DUMMYFUNCTION("GOOGLEFINANCE($E91,""price"",""05/21/2020"")"),"Date")</f>
        <v>Date</v>
      </c>
      <c r="J91" s="15" t="str">
        <f>IFERROR(__xludf.DUMMYFUNCTION("""COMPUTED_VALUE"""),"Close")</f>
        <v>Close</v>
      </c>
      <c r="K91" s="15" t="str">
        <f>IFERROR(__xludf.DUMMYFUNCTION("GOOGLEFINANCE($E91,""price"",""05/31/2020"")"),"Date")</f>
        <v>Date</v>
      </c>
      <c r="L91" s="15" t="str">
        <f>IFERROR(__xludf.DUMMYFUNCTION("""COMPUTED_VALUE"""),"Close")</f>
        <v>Close</v>
      </c>
      <c r="M91" s="16">
        <f>round(L92*H91,2)</f>
        <v>3496006.32</v>
      </c>
      <c r="N91" s="25">
        <f>O91*B93</f>
        <v>2466.979324</v>
      </c>
      <c r="O91" s="25">
        <f>M91-G91</f>
        <v>265336.4945</v>
      </c>
      <c r="P91" s="26">
        <f> round(N91*100/F91,2)</f>
        <v>8.22</v>
      </c>
    </row>
    <row r="92">
      <c r="A92" s="9" t="str">
        <f>IFERROR(__xludf.DUMMYFUNCTION("GOOGLEFINANCE(""currency:JPYUSD"", ""price"",DATE(2020,6,1))"),"Date")</f>
        <v>Date</v>
      </c>
      <c r="B92" s="9" t="str">
        <f>IFERROR(__xludf.DUMMYFUNCTION("""COMPUTED_VALUE"""),"Close")</f>
        <v>Close</v>
      </c>
      <c r="I92" s="23">
        <f>IFERROR(__xludf.DUMMYFUNCTION("""COMPUTED_VALUE"""),43973.625)</f>
        <v>43973.625</v>
      </c>
      <c r="J92" s="22">
        <f>IFERROR(__xludf.DUMMYFUNCTION("""COMPUTED_VALUE"""),20388.16)</f>
        <v>20388.16</v>
      </c>
      <c r="K92" s="23">
        <f>IFERROR(__xludf.DUMMYFUNCTION("""COMPUTED_VALUE"""),43983.625)</f>
        <v>43983.625</v>
      </c>
      <c r="L92" s="22">
        <f>IFERROR(__xludf.DUMMYFUNCTION("""COMPUTED_VALUE"""),22062.39)</f>
        <v>22062.39</v>
      </c>
    </row>
    <row r="93">
      <c r="A93" s="19">
        <f>IFERROR(__xludf.DUMMYFUNCTION("""COMPUTED_VALUE"""),43983.99861111111)</f>
        <v>43983.99861</v>
      </c>
      <c r="B93" s="20">
        <f>IFERROR(__xludf.DUMMYFUNCTION("""COMPUTED_VALUE"""),0.00929755)</f>
        <v>0.00929755</v>
      </c>
      <c r="C93" s="10" t="s">
        <v>25</v>
      </c>
      <c r="D93" s="11" t="s">
        <v>26</v>
      </c>
      <c r="E93" s="24" t="s">
        <v>27</v>
      </c>
      <c r="F93" s="50">
        <v>5000.0</v>
      </c>
      <c r="G93" s="12">
        <f>5000/B96</f>
        <v>35683.92889</v>
      </c>
      <c r="H93" s="13">
        <f>round((G93)/J94,2)</f>
        <v>12.67</v>
      </c>
      <c r="I93" s="15" t="s">
        <v>28</v>
      </c>
      <c r="J93" s="15" t="s">
        <v>29</v>
      </c>
      <c r="K93" s="15" t="s">
        <v>28</v>
      </c>
      <c r="L93" s="15" t="s">
        <v>29</v>
      </c>
      <c r="M93" s="16">
        <f>round(L94*H93,2)</f>
        <v>36925.7</v>
      </c>
      <c r="N93" s="25">
        <f>O93*B98</f>
        <v>174.2155202</v>
      </c>
      <c r="O93" s="25">
        <f>M93-G93</f>
        <v>1241.771114</v>
      </c>
      <c r="P93" s="26">
        <f> round(N93*100/F93,2)</f>
        <v>3.48</v>
      </c>
    </row>
    <row r="94">
      <c r="A94" s="6" t="s">
        <v>30</v>
      </c>
      <c r="I94" s="55">
        <v>43976.625</v>
      </c>
      <c r="J94" s="22">
        <v>2816.02</v>
      </c>
      <c r="K94" s="55">
        <v>43983.625</v>
      </c>
      <c r="L94" s="53">
        <v>2914.42</v>
      </c>
    </row>
    <row r="95">
      <c r="A95" s="30" t="str">
        <f>IFERROR(__xludf.DUMMYFUNCTION("GOOGLEFINANCE(""currency:CNYUSD"", ""price"",DATE(2020,5,25))"),"Date")</f>
        <v>Date</v>
      </c>
      <c r="B95" s="9" t="str">
        <f>IFERROR(__xludf.DUMMYFUNCTION("""COMPUTED_VALUE"""),"Close")</f>
        <v>Close</v>
      </c>
      <c r="C95" s="10" t="s">
        <v>31</v>
      </c>
      <c r="D95" s="31" t="str">
        <f>IFERROR(__xludf.DUMMYFUNCTION("GOOGLEFINANCE($E95, ""name"")"),"S&amp;P GSCI Crude Oil ER")</f>
        <v>S&amp;P GSCI Crude Oil ER</v>
      </c>
      <c r="E95" s="11" t="s">
        <v>32</v>
      </c>
      <c r="F95" s="50">
        <v>30000.0</v>
      </c>
      <c r="G95" s="12">
        <f>F95</f>
        <v>30000</v>
      </c>
      <c r="H95" s="13">
        <f>round((G95)/J96,2)</f>
        <v>577.81</v>
      </c>
      <c r="I95" s="15" t="s">
        <v>28</v>
      </c>
      <c r="J95" s="15" t="s">
        <v>29</v>
      </c>
      <c r="K95" s="15" t="s">
        <v>28</v>
      </c>
      <c r="L95" s="15" t="s">
        <v>29</v>
      </c>
      <c r="M95" s="16">
        <f>round(L96*H95,2)</f>
        <v>31906.67</v>
      </c>
      <c r="N95" s="25">
        <f>O95</f>
        <v>1906.67</v>
      </c>
      <c r="O95" s="25">
        <f>M95-G95</f>
        <v>1906.67</v>
      </c>
      <c r="P95" s="26">
        <f> round(N95*100/F95,2)</f>
        <v>6.36</v>
      </c>
    </row>
    <row r="96">
      <c r="A96" s="19">
        <f>IFERROR(__xludf.DUMMYFUNCTION("""COMPUTED_VALUE"""),43976.99861111111)</f>
        <v>43976.99861</v>
      </c>
      <c r="B96" s="20">
        <f>IFERROR(__xludf.DUMMYFUNCTION("""COMPUTED_VALUE"""),0.1401191)</f>
        <v>0.1401191</v>
      </c>
      <c r="I96" s="23">
        <v>43973.625</v>
      </c>
      <c r="J96" s="53">
        <v>51.92</v>
      </c>
      <c r="K96" s="55">
        <v>43983.625</v>
      </c>
      <c r="L96" s="53">
        <v>55.22</v>
      </c>
    </row>
    <row r="97">
      <c r="A97" s="9" t="str">
        <f>IFERROR(__xludf.DUMMYFUNCTION("GOOGLEFINANCE(""currency:CNYUSD"", ""price"",DATE(2020,6,1))"),"Date")</f>
        <v>Date</v>
      </c>
      <c r="B97" s="9" t="str">
        <f>IFERROR(__xludf.DUMMYFUNCTION("""COMPUTED_VALUE"""),"Close")</f>
        <v>Close</v>
      </c>
      <c r="C97" s="10" t="s">
        <v>31</v>
      </c>
      <c r="D97" s="31" t="str">
        <f>IFERROR(__xludf.DUMMYFUNCTION("GOOGLEFINANCE($E97, ""name"")"),"S&amp;P GSCI Gold ER")</f>
        <v>S&amp;P GSCI Gold ER</v>
      </c>
      <c r="E97" s="11" t="s">
        <v>34</v>
      </c>
      <c r="F97" s="50">
        <v>10000.0</v>
      </c>
      <c r="G97" s="12">
        <f>F97</f>
        <v>10000</v>
      </c>
      <c r="H97" s="13">
        <f>round((G97)/J98,2)</f>
        <v>75.18</v>
      </c>
      <c r="I97" s="15" t="s">
        <v>28</v>
      </c>
      <c r="J97" s="15" t="s">
        <v>29</v>
      </c>
      <c r="K97" s="15" t="s">
        <v>28</v>
      </c>
      <c r="L97" s="15" t="s">
        <v>29</v>
      </c>
      <c r="M97" s="16">
        <f>round(L98*H97,2)</f>
        <v>9981.65</v>
      </c>
      <c r="N97" s="32">
        <f>O97</f>
        <v>-18.35</v>
      </c>
      <c r="O97" s="32">
        <f>M97-G97</f>
        <v>-18.35</v>
      </c>
      <c r="P97" s="33">
        <f> round(N97*100/F97,2)</f>
        <v>-0.18</v>
      </c>
    </row>
    <row r="98">
      <c r="A98" s="19">
        <f>IFERROR(__xludf.DUMMYFUNCTION("""COMPUTED_VALUE"""),43983.99861111111)</f>
        <v>43983.99861</v>
      </c>
      <c r="B98" s="20">
        <f>IFERROR(__xludf.DUMMYFUNCTION("""COMPUTED_VALUE"""),0.140296)</f>
        <v>0.140296</v>
      </c>
      <c r="I98" s="23">
        <v>43973.625</v>
      </c>
      <c r="J98" s="53">
        <v>133.02</v>
      </c>
      <c r="K98" s="55">
        <v>43983.625</v>
      </c>
      <c r="L98" s="53">
        <v>132.77</v>
      </c>
    </row>
    <row r="99">
      <c r="A99" s="9"/>
      <c r="B99" s="9"/>
      <c r="C99" s="10" t="s">
        <v>35</v>
      </c>
      <c r="D99" s="31" t="str">
        <f>IFERROR(__xludf.DUMMYFUNCTION("GOOGLEFINANCE($E99, ""name"")"),"iShares Barclays 20+ Yr Treas.Bond")</f>
        <v>iShares Barclays 20+ Yr Treas.Bond</v>
      </c>
      <c r="E99" s="11" t="s">
        <v>36</v>
      </c>
      <c r="F99" s="50">
        <v>0.0</v>
      </c>
      <c r="G99" s="12">
        <f>F99</f>
        <v>0</v>
      </c>
      <c r="H99" s="13">
        <f>round((G99)/J100,2)</f>
        <v>0</v>
      </c>
      <c r="I99" s="15" t="str">
        <f>IFERROR(__xludf.DUMMYFUNCTION("GOOGLEFINANCE($E99,""price"",""05/22/2020"")"),"Date")</f>
        <v>Date</v>
      </c>
      <c r="J99" s="15" t="str">
        <f>IFERROR(__xludf.DUMMYFUNCTION("""COMPUTED_VALUE"""),"Close")</f>
        <v>Close</v>
      </c>
      <c r="K99" s="15" t="str">
        <f>IFERROR(__xludf.DUMMYFUNCTION("GOOGLEFINANCE($E99,""price"",""06/01/2020"")"),"Date")</f>
        <v>Date</v>
      </c>
      <c r="L99" s="15" t="str">
        <f>IFERROR(__xludf.DUMMYFUNCTION("""COMPUTED_VALUE"""),"Close")</f>
        <v>Close</v>
      </c>
      <c r="M99" s="16">
        <f>round(L100*H99,2)</f>
        <v>0</v>
      </c>
      <c r="N99" s="46">
        <f>O99</f>
        <v>0</v>
      </c>
      <c r="O99" s="46">
        <f>M99-G99</f>
        <v>0</v>
      </c>
      <c r="P99" s="51" t="s">
        <v>39</v>
      </c>
    </row>
    <row r="100">
      <c r="A100" s="9"/>
      <c r="B100" s="9"/>
      <c r="I100" s="21">
        <f>IFERROR(__xludf.DUMMYFUNCTION("""COMPUTED_VALUE"""),43973.66666666667)</f>
        <v>43973.66667</v>
      </c>
      <c r="J100" s="22">
        <f>IFERROR(__xludf.DUMMYFUNCTION("""COMPUTED_VALUE"""),165.55)</f>
        <v>165.55</v>
      </c>
      <c r="K100" s="21">
        <f>IFERROR(__xludf.DUMMYFUNCTION("""COMPUTED_VALUE"""),43983.66666666667)</f>
        <v>43983.66667</v>
      </c>
      <c r="L100" s="22">
        <f>IFERROR(__xludf.DUMMYFUNCTION("""COMPUTED_VALUE"""),162.28)</f>
        <v>162.28</v>
      </c>
    </row>
    <row r="101">
      <c r="A101" s="9"/>
      <c r="B101" s="9"/>
      <c r="C101" s="10" t="s">
        <v>35</v>
      </c>
      <c r="D101" s="31" t="str">
        <f>IFERROR(__xludf.DUMMYFUNCTION("GOOGLEFINANCE($E101, ""name"")"),"iShares iBoxx $ High Yid Corp Bond")</f>
        <v>iShares iBoxx $ High Yid Corp Bond</v>
      </c>
      <c r="E101" s="11" t="s">
        <v>37</v>
      </c>
      <c r="F101" s="50">
        <v>0.0</v>
      </c>
      <c r="G101" s="12">
        <f>F101</f>
        <v>0</v>
      </c>
      <c r="H101" s="13">
        <f>round((G101)/J102,2)</f>
        <v>0</v>
      </c>
      <c r="I101" s="15" t="str">
        <f>IFERROR(__xludf.DUMMYFUNCTION("GOOGLEFINANCE($E101,""price"",""05/22/2020"")"),"Date")</f>
        <v>Date</v>
      </c>
      <c r="J101" s="15" t="str">
        <f>IFERROR(__xludf.DUMMYFUNCTION("""COMPUTED_VALUE"""),"Close")</f>
        <v>Close</v>
      </c>
      <c r="K101" s="15" t="str">
        <f>IFERROR(__xludf.DUMMYFUNCTION("GOOGLEFINANCE($E101,""price"",""06/01/2020"")"),"Date")</f>
        <v>Date</v>
      </c>
      <c r="L101" s="15" t="str">
        <f>IFERROR(__xludf.DUMMYFUNCTION("""COMPUTED_VALUE"""),"Close")</f>
        <v>Close</v>
      </c>
      <c r="M101" s="16">
        <f>round(L102*H101,2)</f>
        <v>0</v>
      </c>
      <c r="N101" s="46">
        <f>O101</f>
        <v>0</v>
      </c>
      <c r="O101" s="46">
        <f>M101-G101</f>
        <v>0</v>
      </c>
      <c r="P101" s="54" t="s">
        <v>39</v>
      </c>
    </row>
    <row r="102">
      <c r="A102" s="9"/>
      <c r="B102" s="9"/>
      <c r="I102" s="21">
        <f>IFERROR(__xludf.DUMMYFUNCTION("""COMPUTED_VALUE"""),43973.66666666667)</f>
        <v>43973.66667</v>
      </c>
      <c r="J102" s="22">
        <f>IFERROR(__xludf.DUMMYFUNCTION("""COMPUTED_VALUE"""),81.23)</f>
        <v>81.23</v>
      </c>
      <c r="K102" s="21">
        <f>IFERROR(__xludf.DUMMYFUNCTION("""COMPUTED_VALUE"""),43983.66666666667)</f>
        <v>43983.66667</v>
      </c>
      <c r="L102" s="22">
        <f>IFERROR(__xludf.DUMMYFUNCTION("""COMPUTED_VALUE"""),82.72)</f>
        <v>82.72</v>
      </c>
    </row>
    <row r="103">
      <c r="A103" s="9"/>
      <c r="B103" s="9"/>
      <c r="C103" s="10" t="s">
        <v>38</v>
      </c>
      <c r="D103" s="37" t="s">
        <v>38</v>
      </c>
      <c r="E103" s="11" t="s">
        <v>39</v>
      </c>
      <c r="F103" s="50">
        <v>210234.0</v>
      </c>
      <c r="G103" s="12">
        <f>F103</f>
        <v>210234</v>
      </c>
      <c r="H103" s="38" t="s">
        <v>39</v>
      </c>
      <c r="I103" s="15" t="s">
        <v>39</v>
      </c>
      <c r="K103" s="15" t="s">
        <v>39</v>
      </c>
      <c r="M103" s="16">
        <f>round(G103*(1+ 7/36500),2)</f>
        <v>210274.32</v>
      </c>
      <c r="N103" s="17">
        <f>O103</f>
        <v>40.32</v>
      </c>
      <c r="O103" s="17">
        <f>M103-G103</f>
        <v>40.32</v>
      </c>
      <c r="P103" s="36">
        <f> round(N103*100/F103,2)</f>
        <v>0.02</v>
      </c>
    </row>
    <row r="104">
      <c r="A104" s="9"/>
      <c r="B104" s="9"/>
    </row>
    <row r="105">
      <c r="A105" s="9"/>
      <c r="B105" s="9"/>
      <c r="C105" s="39" t="s">
        <v>40</v>
      </c>
      <c r="D105" s="40"/>
      <c r="E105" s="40"/>
      <c r="F105" s="38"/>
      <c r="G105" s="40"/>
      <c r="H105" s="40"/>
      <c r="I105" s="40"/>
      <c r="J105" s="40"/>
      <c r="K105" s="40"/>
      <c r="L105" s="40"/>
      <c r="M105" s="40"/>
      <c r="N105" s="42">
        <f>SUM(N85:N104)</f>
        <v>8932.618432</v>
      </c>
      <c r="O105" s="43"/>
      <c r="P105" s="43"/>
    </row>
    <row r="108">
      <c r="H108" s="57" t="s">
        <v>46</v>
      </c>
      <c r="J108" s="58">
        <f> N24 + N51 + N78 + N105 - 'EOW 1'!M26 - 'EOW 2'!K53 - 'EOW3'!J81</f>
        <v>28975.6093</v>
      </c>
    </row>
    <row r="109">
      <c r="H109" s="59" t="s">
        <v>47</v>
      </c>
      <c r="J109" s="60">
        <f>-225000*0.05*0.01</f>
        <v>-112.5</v>
      </c>
    </row>
    <row r="110">
      <c r="H110" s="61" t="s">
        <v>48</v>
      </c>
      <c r="J110" s="17">
        <f> 'EOW3'!J83 + J108 + J109</f>
        <v>1054096.804</v>
      </c>
    </row>
  </sheetData>
  <mergeCells count="450"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  <mergeCell ref="H81:I81"/>
    <mergeCell ref="F82:H82"/>
    <mergeCell ref="A83:B83"/>
    <mergeCell ref="F83:G83"/>
    <mergeCell ref="N83:O83"/>
    <mergeCell ref="I84:J84"/>
    <mergeCell ref="K84:L84"/>
    <mergeCell ref="A84:B84"/>
    <mergeCell ref="C85:C86"/>
    <mergeCell ref="D85:D86"/>
    <mergeCell ref="E85:E86"/>
    <mergeCell ref="F85:F86"/>
    <mergeCell ref="G85:G86"/>
    <mergeCell ref="H85:H86"/>
    <mergeCell ref="O85:O86"/>
    <mergeCell ref="M85:M86"/>
    <mergeCell ref="N85:N86"/>
    <mergeCell ref="P85:P86"/>
    <mergeCell ref="D87:D88"/>
    <mergeCell ref="E87:E88"/>
    <mergeCell ref="F87:F88"/>
    <mergeCell ref="A89:B89"/>
    <mergeCell ref="C87:C88"/>
    <mergeCell ref="C89:C90"/>
    <mergeCell ref="D89:D90"/>
    <mergeCell ref="E89:E90"/>
    <mergeCell ref="F89:F90"/>
    <mergeCell ref="G89:G90"/>
    <mergeCell ref="H89:H90"/>
    <mergeCell ref="D93:D94"/>
    <mergeCell ref="E93:E94"/>
    <mergeCell ref="A94:B94"/>
    <mergeCell ref="C95:C96"/>
    <mergeCell ref="D95:D96"/>
    <mergeCell ref="E95:E96"/>
    <mergeCell ref="F93:F94"/>
    <mergeCell ref="G93:G94"/>
    <mergeCell ref="F95:F96"/>
    <mergeCell ref="G95:G96"/>
    <mergeCell ref="H95:H96"/>
    <mergeCell ref="C91:C92"/>
    <mergeCell ref="D91:D92"/>
    <mergeCell ref="E91:E92"/>
    <mergeCell ref="F91:F92"/>
    <mergeCell ref="G91:G92"/>
    <mergeCell ref="H91:H92"/>
    <mergeCell ref="C93:C94"/>
    <mergeCell ref="H93:H94"/>
    <mergeCell ref="M93:M94"/>
    <mergeCell ref="M95:M96"/>
    <mergeCell ref="P95:P96"/>
    <mergeCell ref="M87:M88"/>
    <mergeCell ref="N87:N88"/>
    <mergeCell ref="M89:M90"/>
    <mergeCell ref="N89:N90"/>
    <mergeCell ref="M91:M92"/>
    <mergeCell ref="N91:N92"/>
    <mergeCell ref="N93:N94"/>
    <mergeCell ref="N95:N96"/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F55:H55"/>
    <mergeCell ref="A56:B56"/>
    <mergeCell ref="F56:G56"/>
    <mergeCell ref="N56:O56"/>
    <mergeCell ref="A57:B57"/>
    <mergeCell ref="K57:L57"/>
    <mergeCell ref="M58:M59"/>
    <mergeCell ref="N58:N59"/>
    <mergeCell ref="O58:O59"/>
    <mergeCell ref="P58:P59"/>
    <mergeCell ref="I57:J57"/>
    <mergeCell ref="C58:C59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M60:M61"/>
    <mergeCell ref="A62:B62"/>
    <mergeCell ref="C60:C61"/>
    <mergeCell ref="C62:C63"/>
    <mergeCell ref="D62:D63"/>
    <mergeCell ref="E62:E63"/>
    <mergeCell ref="F62:F63"/>
    <mergeCell ref="G62:G63"/>
    <mergeCell ref="H62:H63"/>
    <mergeCell ref="M64:M65"/>
    <mergeCell ref="N64:N65"/>
    <mergeCell ref="O64:O65"/>
    <mergeCell ref="P64:P65"/>
    <mergeCell ref="M66:M67"/>
    <mergeCell ref="N66:N67"/>
    <mergeCell ref="O66:O67"/>
    <mergeCell ref="P66:P67"/>
    <mergeCell ref="N60:N61"/>
    <mergeCell ref="O60:O61"/>
    <mergeCell ref="P60:P61"/>
    <mergeCell ref="M62:M63"/>
    <mergeCell ref="N62:N63"/>
    <mergeCell ref="O62:O63"/>
    <mergeCell ref="P62:P63"/>
    <mergeCell ref="D66:D67"/>
    <mergeCell ref="E66:E67"/>
    <mergeCell ref="A67:B67"/>
    <mergeCell ref="M68:M69"/>
    <mergeCell ref="N68:N69"/>
    <mergeCell ref="O68:O69"/>
    <mergeCell ref="P68:P69"/>
    <mergeCell ref="N70:N71"/>
    <mergeCell ref="O70:O71"/>
    <mergeCell ref="P70:P71"/>
    <mergeCell ref="M70:M71"/>
    <mergeCell ref="M72:M73"/>
    <mergeCell ref="N72:N73"/>
    <mergeCell ref="O72:O73"/>
    <mergeCell ref="P72:P73"/>
    <mergeCell ref="M74:M75"/>
    <mergeCell ref="N74:N75"/>
    <mergeCell ref="F72:F73"/>
    <mergeCell ref="G72:G73"/>
    <mergeCell ref="F74:F75"/>
    <mergeCell ref="G74:G75"/>
    <mergeCell ref="H74:H75"/>
    <mergeCell ref="F76:F77"/>
    <mergeCell ref="G76:G77"/>
    <mergeCell ref="D72:D73"/>
    <mergeCell ref="E72:E73"/>
    <mergeCell ref="C74:C75"/>
    <mergeCell ref="D74:D75"/>
    <mergeCell ref="E74:E75"/>
    <mergeCell ref="D76:D77"/>
    <mergeCell ref="E76:E77"/>
    <mergeCell ref="C76:C77"/>
    <mergeCell ref="C97:C98"/>
    <mergeCell ref="D97:D98"/>
    <mergeCell ref="E97:E98"/>
    <mergeCell ref="F97:F98"/>
    <mergeCell ref="G97:G98"/>
    <mergeCell ref="H97:H98"/>
    <mergeCell ref="D101:D102"/>
    <mergeCell ref="E101:E102"/>
    <mergeCell ref="C103:C104"/>
    <mergeCell ref="D103:D104"/>
    <mergeCell ref="E103:E104"/>
    <mergeCell ref="C99:C100"/>
    <mergeCell ref="D99:D100"/>
    <mergeCell ref="E99:E100"/>
    <mergeCell ref="F99:F100"/>
    <mergeCell ref="G99:G100"/>
    <mergeCell ref="H99:H100"/>
    <mergeCell ref="C101:C102"/>
    <mergeCell ref="H101:H102"/>
    <mergeCell ref="H109:I109"/>
    <mergeCell ref="H110:I110"/>
    <mergeCell ref="F101:F102"/>
    <mergeCell ref="G101:G102"/>
    <mergeCell ref="F103:F104"/>
    <mergeCell ref="G103:G104"/>
    <mergeCell ref="H103:H104"/>
    <mergeCell ref="I103:J104"/>
    <mergeCell ref="H108:I108"/>
    <mergeCell ref="F66:F67"/>
    <mergeCell ref="G66:G67"/>
    <mergeCell ref="C64:C65"/>
    <mergeCell ref="D64:D65"/>
    <mergeCell ref="E64:E65"/>
    <mergeCell ref="F64:F65"/>
    <mergeCell ref="G64:G65"/>
    <mergeCell ref="H64:H65"/>
    <mergeCell ref="H66:H67"/>
    <mergeCell ref="C66:C67"/>
    <mergeCell ref="C68:C69"/>
    <mergeCell ref="D68:D69"/>
    <mergeCell ref="E68:E69"/>
    <mergeCell ref="F68:F69"/>
    <mergeCell ref="G68:G69"/>
    <mergeCell ref="H68:H69"/>
    <mergeCell ref="C70:C71"/>
    <mergeCell ref="D70:D71"/>
    <mergeCell ref="E70:E71"/>
    <mergeCell ref="F70:F71"/>
    <mergeCell ref="G70:G71"/>
    <mergeCell ref="H70:H71"/>
    <mergeCell ref="C72:C73"/>
    <mergeCell ref="H72:H73"/>
    <mergeCell ref="O74:O75"/>
    <mergeCell ref="P74:P75"/>
    <mergeCell ref="H76:H77"/>
    <mergeCell ref="I76:J77"/>
    <mergeCell ref="K76:L77"/>
    <mergeCell ref="M76:M77"/>
    <mergeCell ref="N76:N77"/>
    <mergeCell ref="O76:O77"/>
    <mergeCell ref="P76:P77"/>
    <mergeCell ref="G87:G88"/>
    <mergeCell ref="H87:H88"/>
    <mergeCell ref="O87:O88"/>
    <mergeCell ref="P87:P88"/>
    <mergeCell ref="O89:O90"/>
    <mergeCell ref="P89:P90"/>
    <mergeCell ref="O91:O92"/>
    <mergeCell ref="P91:P92"/>
    <mergeCell ref="P93:P94"/>
    <mergeCell ref="N99:N100"/>
    <mergeCell ref="O99:O100"/>
    <mergeCell ref="O93:O94"/>
    <mergeCell ref="O95:O96"/>
    <mergeCell ref="M97:M98"/>
    <mergeCell ref="N97:N98"/>
    <mergeCell ref="O97:O98"/>
    <mergeCell ref="P97:P98"/>
    <mergeCell ref="P99:P100"/>
    <mergeCell ref="N103:N104"/>
    <mergeCell ref="O103:O104"/>
    <mergeCell ref="M99:M100"/>
    <mergeCell ref="M101:M102"/>
    <mergeCell ref="N101:N102"/>
    <mergeCell ref="O101:O102"/>
    <mergeCell ref="P101:P102"/>
    <mergeCell ref="K103:L104"/>
    <mergeCell ref="M103:M104"/>
    <mergeCell ref="P103:P10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  <c r="P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4"/>
      <c r="N2" s="5" t="s">
        <v>3</v>
      </c>
      <c r="P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8" t="s">
        <v>12</v>
      </c>
      <c r="M3" s="7" t="s">
        <v>13</v>
      </c>
      <c r="N3" s="8" t="s">
        <v>14</v>
      </c>
      <c r="O3" s="7" t="s">
        <v>15</v>
      </c>
      <c r="P3" s="7" t="s">
        <v>16</v>
      </c>
    </row>
    <row r="4">
      <c r="A4" s="9" t="str">
        <f>IFERROR(__xludf.DUMMYFUNCTION("GOOGLEFINANCE(""currency:EURUSD"", ""price"",DATE(2020,5,4))"),"Date")</f>
        <v>Date</v>
      </c>
      <c r="B4" s="9" t="str">
        <f>IFERROR(__xludf.DUMMYFUNCTION("""COMPUTED_VALUE"""),"Close")</f>
        <v>Close</v>
      </c>
      <c r="C4" s="10" t="s">
        <v>17</v>
      </c>
      <c r="D4" s="11" t="str">
        <f>IFERROR(__xludf.DUMMYFUNCTION("GOOGLEFINANCE($E4, ""name"")"),"S&amp;P 500 Index")</f>
        <v>S&amp;P 500 Index</v>
      </c>
      <c r="E4" s="11" t="s">
        <v>18</v>
      </c>
      <c r="F4" s="12">
        <v>50000.0</v>
      </c>
      <c r="G4" s="12">
        <v>50000.0</v>
      </c>
      <c r="H4" s="13">
        <f>round(G4/J5,2)</f>
        <v>17.59</v>
      </c>
      <c r="I4" s="14" t="str">
        <f>IFERROR(__xludf.DUMMYFUNCTION("GOOGLEFINANCE($E4,""price"",""5/4/2020"")"),"Date")</f>
        <v>Date</v>
      </c>
      <c r="J4" s="15" t="str">
        <f>IFERROR(__xludf.DUMMYFUNCTION("""COMPUTED_VALUE"""),"Close")</f>
        <v>Close</v>
      </c>
      <c r="K4" s="15" t="str">
        <f>IFERROR(__xludf.DUMMYFUNCTION("GOOGLEFINANCE($E4,""price"",""05/22/2020"")"),"Date")</f>
        <v>Date</v>
      </c>
      <c r="L4" s="15" t="str">
        <f>IFERROR(__xludf.DUMMYFUNCTION("""COMPUTED_VALUE"""),"Close")</f>
        <v>Close</v>
      </c>
      <c r="M4" s="16">
        <f>round(L5*H4,2)</f>
        <v>51986.37</v>
      </c>
      <c r="N4" s="17">
        <f>M4-G4</f>
        <v>1986.37</v>
      </c>
      <c r="O4" s="17">
        <f>M4-G4</f>
        <v>1986.37</v>
      </c>
      <c r="P4" s="18">
        <f> round(N4*100/F4,2)</f>
        <v>3.97</v>
      </c>
    </row>
    <row r="5">
      <c r="A5" s="19">
        <f>IFERROR(__xludf.DUMMYFUNCTION("""COMPUTED_VALUE"""),43955.99861111111)</f>
        <v>43955.99861</v>
      </c>
      <c r="B5" s="20">
        <f>IFERROR(__xludf.DUMMYFUNCTION("""COMPUTED_VALUE"""),1.09041)</f>
        <v>1.09041</v>
      </c>
      <c r="I5" s="21">
        <f>IFERROR(__xludf.DUMMYFUNCTION("""COMPUTED_VALUE"""),43955.66666666667)</f>
        <v>43955.66667</v>
      </c>
      <c r="J5" s="22">
        <f>IFERROR(__xludf.DUMMYFUNCTION("""COMPUTED_VALUE"""),2842.74)</f>
        <v>2842.74</v>
      </c>
      <c r="K5" s="21">
        <f>IFERROR(__xludf.DUMMYFUNCTION("""COMPUTED_VALUE"""),43973.66666666667)</f>
        <v>43973.66667</v>
      </c>
      <c r="L5" s="22">
        <f>IFERROR(__xludf.DUMMYFUNCTION("""COMPUTED_VALUE"""),2955.45)</f>
        <v>2955.45</v>
      </c>
    </row>
    <row r="6">
      <c r="A6" s="9" t="str">
        <f>IFERROR(__xludf.DUMMYFUNCTION("GOOGLEFINANCE(""currency:EURUSD"", ""price"",DATE(2020,5,25))"),"Date")</f>
        <v>Date</v>
      </c>
      <c r="B6" s="9" t="str">
        <f>IFERROR(__xludf.DUMMYFUNCTION("""COMPUTED_VALUE"""),"Close")</f>
        <v>Close</v>
      </c>
      <c r="C6" s="10" t="s">
        <v>17</v>
      </c>
      <c r="D6" s="11" t="str">
        <f>IFERROR(__xludf.DUMMYFUNCTION("GOOGLEFINANCE($E6, ""name"")"),"NASDAQ-100")</f>
        <v>NASDAQ-100</v>
      </c>
      <c r="E6" s="11" t="s">
        <v>19</v>
      </c>
      <c r="F6" s="12">
        <v>50000.0</v>
      </c>
      <c r="G6" s="12">
        <v>50000.0</v>
      </c>
      <c r="H6" s="13">
        <f>round(G6/J7,2)</f>
        <v>5.66</v>
      </c>
      <c r="I6" s="15" t="str">
        <f>IFERROR(__xludf.DUMMYFUNCTION("GOOGLEFINANCE($E6,""price"",""5/4/2020"")"),"Date")</f>
        <v>Date</v>
      </c>
      <c r="J6" s="15" t="str">
        <f>IFERROR(__xludf.DUMMYFUNCTION("""COMPUTED_VALUE"""),"Close")</f>
        <v>Close</v>
      </c>
      <c r="K6" s="15" t="str">
        <f>IFERROR(__xludf.DUMMYFUNCTION("GOOGLEFINANCE($E6,""price"",""05/22/2020"")"),"Date")</f>
        <v>Date</v>
      </c>
      <c r="L6" s="15" t="str">
        <f>IFERROR(__xludf.DUMMYFUNCTION("""COMPUTED_VALUE"""),"Close")</f>
        <v>Close</v>
      </c>
      <c r="M6" s="16">
        <f>round(L7*H6,2)</f>
        <v>53283.18</v>
      </c>
      <c r="N6" s="17">
        <f>M6-G6</f>
        <v>3283.18</v>
      </c>
      <c r="O6" s="17">
        <f>M6-G6</f>
        <v>3283.18</v>
      </c>
      <c r="P6" s="18">
        <f> round(N6*100/F6,2)</f>
        <v>6.57</v>
      </c>
    </row>
    <row r="7">
      <c r="A7" s="19">
        <f>IFERROR(__xludf.DUMMYFUNCTION("""COMPUTED_VALUE"""),43976.99861111111)</f>
        <v>43976.99861</v>
      </c>
      <c r="B7" s="20">
        <f>IFERROR(__xludf.DUMMYFUNCTION("""COMPUTED_VALUE"""),1.09007)</f>
        <v>1.09007</v>
      </c>
      <c r="I7" s="21">
        <f>IFERROR(__xludf.DUMMYFUNCTION("""COMPUTED_VALUE"""),43955.66666666667)</f>
        <v>43955.66667</v>
      </c>
      <c r="J7" s="22">
        <f>IFERROR(__xludf.DUMMYFUNCTION("""COMPUTED_VALUE"""),8834.11)</f>
        <v>8834.11</v>
      </c>
      <c r="K7" s="21">
        <f>IFERROR(__xludf.DUMMYFUNCTION("""COMPUTED_VALUE"""),43973.66666666667)</f>
        <v>43973.66667</v>
      </c>
      <c r="L7" s="22">
        <f>IFERROR(__xludf.DUMMYFUNCTION("""COMPUTED_VALUE"""),9413.99)</f>
        <v>9413.99</v>
      </c>
    </row>
    <row r="8">
      <c r="A8" s="6" t="s">
        <v>20</v>
      </c>
      <c r="C8" s="10" t="s">
        <v>21</v>
      </c>
      <c r="D8" s="11" t="str">
        <f>IFERROR(__xludf.DUMMYFUNCTION("GOOGLEFINANCE(""indexdb:DAX"", ""name"")"),"DAX PERFORMANCE-INDEX")</f>
        <v>DAX PERFORMANCE-INDEX</v>
      </c>
      <c r="E8" s="11" t="s">
        <v>22</v>
      </c>
      <c r="F8" s="12">
        <v>50000.0</v>
      </c>
      <c r="G8" s="12">
        <f>50000/B5</f>
        <v>45854.31168</v>
      </c>
      <c r="H8" s="13">
        <f>round(G8/J9,2)</f>
        <v>4.38</v>
      </c>
      <c r="I8" s="14" t="str">
        <f>IFERROR(__xludf.DUMMYFUNCTION("GOOGLEFINANCE(""indexdb:DAX"",""price"",""5/4/2020"")"),"Date")</f>
        <v>Date</v>
      </c>
      <c r="J8" s="15" t="str">
        <f>IFERROR(__xludf.DUMMYFUNCTION("""COMPUTED_VALUE"""),"Close")</f>
        <v>Close</v>
      </c>
      <c r="K8" s="15" t="str">
        <f>IFERROR(__xludf.DUMMYFUNCTION("GOOGLEFINANCE(""indexdb:DAX"", ""price"",""05/25/2020"")"),"Date")</f>
        <v>Date</v>
      </c>
      <c r="L8" s="15" t="str">
        <f>IFERROR(__xludf.DUMMYFUNCTION("""COMPUTED_VALUE"""),"Close")</f>
        <v>Close</v>
      </c>
      <c r="M8" s="16">
        <f>round(L9*H8,2)</f>
        <v>49893.81</v>
      </c>
      <c r="N8" s="17">
        <f>O8*B7</f>
        <v>4403.335933</v>
      </c>
      <c r="O8" s="17">
        <f>M8-G8</f>
        <v>4039.498319</v>
      </c>
      <c r="P8" s="18">
        <f> round(N8*100/F8,2)</f>
        <v>8.81</v>
      </c>
    </row>
    <row r="9">
      <c r="A9" s="9" t="str">
        <f>IFERROR(__xludf.DUMMYFUNCTION("GOOGLEFINANCE(""currency:JPYUSD"", ""price"",DATE(2020,5,4))"),"Date")</f>
        <v>Date</v>
      </c>
      <c r="B9" s="9" t="str">
        <f>IFERROR(__xludf.DUMMYFUNCTION("""COMPUTED_VALUE"""),"Close")</f>
        <v>Close</v>
      </c>
      <c r="I9" s="21">
        <f>IFERROR(__xludf.DUMMYFUNCTION("""COMPUTED_VALUE"""),43955.83333333333)</f>
        <v>43955.83333</v>
      </c>
      <c r="J9" s="22">
        <f>IFERROR(__xludf.DUMMYFUNCTION("""COMPUTED_VALUE"""),10466.8)</f>
        <v>10466.8</v>
      </c>
      <c r="K9" s="23">
        <f>IFERROR(__xludf.DUMMYFUNCTION("""COMPUTED_VALUE"""),43976.83333333333)</f>
        <v>43976.83333</v>
      </c>
      <c r="L9" s="22">
        <f>IFERROR(__xludf.DUMMYFUNCTION("""COMPUTED_VALUE"""),11391.28)</f>
        <v>11391.28</v>
      </c>
    </row>
    <row r="10">
      <c r="A10" s="19">
        <f>IFERROR(__xludf.DUMMYFUNCTION("""COMPUTED_VALUE"""),43955.99861111111)</f>
        <v>43955.99861</v>
      </c>
      <c r="B10" s="20">
        <f>IFERROR(__xludf.DUMMYFUNCTION("""COMPUTED_VALUE"""),0.009372)</f>
        <v>0.009372</v>
      </c>
      <c r="C10" s="10" t="s">
        <v>23</v>
      </c>
      <c r="D10" s="11" t="str">
        <f>IFERROR(__xludf.DUMMYFUNCTION("GOOGLEFINANCE($E10, ""name"")"),"Nikkei 225")</f>
        <v>Nikkei 225</v>
      </c>
      <c r="E10" s="11" t="s">
        <v>24</v>
      </c>
      <c r="F10" s="12">
        <v>20000.0</v>
      </c>
      <c r="G10" s="12">
        <f>20000/B10</f>
        <v>2134016.219</v>
      </c>
      <c r="H10" s="13">
        <f>round(G10/J11,2)</f>
        <v>108.77</v>
      </c>
      <c r="I10" s="15" t="str">
        <f>IFERROR(__xludf.DUMMYFUNCTION("GOOGLEFINANCE($E10,""price"",""4/30/2020"")"),"Date")</f>
        <v>Date</v>
      </c>
      <c r="J10" s="15" t="str">
        <f>IFERROR(__xludf.DUMMYFUNCTION("""COMPUTED_VALUE"""),"Close")</f>
        <v>Close</v>
      </c>
      <c r="K10" s="15" t="str">
        <f>IFERROR(__xludf.DUMMYFUNCTION("GOOGLEFINANCE($E10,""price"",""05/24/2020"")"),"Date")</f>
        <v>Date</v>
      </c>
      <c r="L10" s="15" t="str">
        <f>IFERROR(__xludf.DUMMYFUNCTION("""COMPUTED_VALUE"""),"Close")</f>
        <v>Close</v>
      </c>
      <c r="M10" s="16">
        <f>round(L11*H10,2)</f>
        <v>2256069.27</v>
      </c>
      <c r="N10" s="17">
        <f>O10*B12</f>
        <v>1133.384636</v>
      </c>
      <c r="O10" s="17">
        <f>M10-G10</f>
        <v>122053.0515</v>
      </c>
      <c r="P10" s="18">
        <f> round(N10*100/F10,2)</f>
        <v>5.67</v>
      </c>
    </row>
    <row r="11">
      <c r="A11" s="9" t="str">
        <f>IFERROR(__xludf.DUMMYFUNCTION("GOOGLEFINANCE(""currency:JPYUSD"", ""price"",DATE(2020,5,25))"),"Date")</f>
        <v>Date</v>
      </c>
      <c r="B11" s="9" t="str">
        <f>IFERROR(__xludf.DUMMYFUNCTION("""COMPUTED_VALUE"""),"Close")</f>
        <v>Close</v>
      </c>
      <c r="I11" s="21">
        <f>IFERROR(__xludf.DUMMYFUNCTION("""COMPUTED_VALUE"""),43952.625)</f>
        <v>43952.625</v>
      </c>
      <c r="J11" s="22">
        <f>IFERROR(__xludf.DUMMYFUNCTION("""COMPUTED_VALUE"""),19619.35)</f>
        <v>19619.35</v>
      </c>
      <c r="K11" s="23">
        <f>IFERROR(__xludf.DUMMYFUNCTION("""COMPUTED_VALUE"""),43976.625)</f>
        <v>43976.625</v>
      </c>
      <c r="L11" s="22">
        <f>IFERROR(__xludf.DUMMYFUNCTION("""COMPUTED_VALUE"""),20741.65)</f>
        <v>20741.65</v>
      </c>
    </row>
    <row r="12">
      <c r="A12" s="19">
        <f>IFERROR(__xludf.DUMMYFUNCTION("""COMPUTED_VALUE"""),43976.99861111111)</f>
        <v>43976.99861</v>
      </c>
      <c r="B12" s="20">
        <f>IFERROR(__xludf.DUMMYFUNCTION("""COMPUTED_VALUE"""),0.009286)</f>
        <v>0.009286</v>
      </c>
      <c r="C12" s="10" t="s">
        <v>25</v>
      </c>
      <c r="D12" s="11" t="s">
        <v>26</v>
      </c>
      <c r="E12" s="24" t="s">
        <v>27</v>
      </c>
      <c r="F12" s="12">
        <v>20000.0</v>
      </c>
      <c r="G12" s="12">
        <f>20000/B15</f>
        <v>141250.0203</v>
      </c>
      <c r="H12" s="13">
        <f>round(G12/J13,2)</f>
        <v>49.38</v>
      </c>
      <c r="I12" s="15" t="s">
        <v>28</v>
      </c>
      <c r="J12" s="15" t="s">
        <v>29</v>
      </c>
      <c r="K12" s="15" t="s">
        <v>28</v>
      </c>
      <c r="L12" s="15" t="s">
        <v>29</v>
      </c>
      <c r="M12" s="16">
        <f>round(L13*H12,2)</f>
        <v>139115.31</v>
      </c>
      <c r="N12" s="34">
        <f>O12*B17</f>
        <v>-299.1136867</v>
      </c>
      <c r="O12" s="34">
        <f>M12-G12</f>
        <v>-2134.710305</v>
      </c>
      <c r="P12" s="35">
        <f> round(N12*100/F12,2)</f>
        <v>-1.5</v>
      </c>
    </row>
    <row r="13">
      <c r="A13" s="6" t="s">
        <v>30</v>
      </c>
      <c r="I13" s="27">
        <v>43951.666666666664</v>
      </c>
      <c r="J13" s="22">
        <v>2860.41</v>
      </c>
      <c r="K13" s="23">
        <v>43976.625</v>
      </c>
      <c r="L13" s="53">
        <v>2817.24</v>
      </c>
    </row>
    <row r="14">
      <c r="A14" s="30" t="str">
        <f>IFERROR(__xludf.DUMMYFUNCTION("GOOGLEFINANCE(""currency:CNYUSD"", ""price"",DATE(2020,5,4))"),"Date")</f>
        <v>Date</v>
      </c>
      <c r="B14" s="9" t="str">
        <f>IFERROR(__xludf.DUMMYFUNCTION("""COMPUTED_VALUE"""),"Close")</f>
        <v>Close</v>
      </c>
      <c r="C14" s="10" t="s">
        <v>31</v>
      </c>
      <c r="D14" s="31" t="str">
        <f>IFERROR(__xludf.DUMMYFUNCTION("GOOGLEFINANCE($E14, ""name"")"),"S&amp;P GSCI Crude Oil ER")</f>
        <v>S&amp;P GSCI Crude Oil ER</v>
      </c>
      <c r="E14" s="11" t="s">
        <v>32</v>
      </c>
      <c r="F14" s="12">
        <v>10000.0</v>
      </c>
      <c r="G14" s="12">
        <v>10000.0</v>
      </c>
      <c r="H14" s="13">
        <f>round(G14/J15,2)</f>
        <v>268.82</v>
      </c>
      <c r="I14" s="15" t="s">
        <v>28</v>
      </c>
      <c r="J14" s="15" t="s">
        <v>29</v>
      </c>
      <c r="K14" s="15" t="s">
        <v>28</v>
      </c>
      <c r="L14" s="15" t="s">
        <v>29</v>
      </c>
      <c r="M14" s="16">
        <f>round(L15*H14,2)</f>
        <v>13957.13</v>
      </c>
      <c r="N14" s="17">
        <f>O14</f>
        <v>3957.13</v>
      </c>
      <c r="O14" s="17">
        <f>M14-G14</f>
        <v>3957.13</v>
      </c>
      <c r="P14" s="18">
        <f> round(N14*100/F14,2)</f>
        <v>39.57</v>
      </c>
    </row>
    <row r="15">
      <c r="A15" s="19">
        <f>IFERROR(__xludf.DUMMYFUNCTION("""COMPUTED_VALUE"""),43955.99861111111)</f>
        <v>43955.99861</v>
      </c>
      <c r="B15" s="20">
        <f>IFERROR(__xludf.DUMMYFUNCTION("""COMPUTED_VALUE"""),0.1415929)</f>
        <v>0.1415929</v>
      </c>
      <c r="I15" s="15" t="s">
        <v>33</v>
      </c>
      <c r="J15" s="22">
        <v>37.2</v>
      </c>
      <c r="K15" s="21">
        <v>43973.66666666667</v>
      </c>
      <c r="L15" s="53">
        <v>51.92</v>
      </c>
    </row>
    <row r="16">
      <c r="A16" s="9" t="str">
        <f>IFERROR(__xludf.DUMMYFUNCTION("GOOGLEFINANCE(""currency:CNYUSD"", ""price"",DATE(2020,5,25))"),"Date")</f>
        <v>Date</v>
      </c>
      <c r="B16" s="9" t="str">
        <f>IFERROR(__xludf.DUMMYFUNCTION("""COMPUTED_VALUE"""),"Close")</f>
        <v>Close</v>
      </c>
      <c r="C16" s="10" t="s">
        <v>31</v>
      </c>
      <c r="D16" s="31" t="str">
        <f>IFERROR(__xludf.DUMMYFUNCTION("GOOGLEFINANCE($E16, ""name"")"),"S&amp;P GSCI Gold ER")</f>
        <v>S&amp;P GSCI Gold ER</v>
      </c>
      <c r="E16" s="11" t="s">
        <v>34</v>
      </c>
      <c r="F16" s="12">
        <v>50000.0</v>
      </c>
      <c r="G16" s="12">
        <v>50000.0</v>
      </c>
      <c r="H16" s="13">
        <f>round(G16/J17,2)</f>
        <v>382.18</v>
      </c>
      <c r="I16" s="15" t="s">
        <v>28</v>
      </c>
      <c r="J16" s="15" t="s">
        <v>29</v>
      </c>
      <c r="K16" s="15" t="s">
        <v>28</v>
      </c>
      <c r="L16" s="15" t="s">
        <v>29</v>
      </c>
      <c r="M16" s="16">
        <f>round(L17*H16,2)</f>
        <v>50837.58</v>
      </c>
      <c r="N16" s="17">
        <f>O16</f>
        <v>837.58</v>
      </c>
      <c r="O16" s="17">
        <f>M16-G16</f>
        <v>837.58</v>
      </c>
      <c r="P16" s="18">
        <f> round(N16*100/F16,2)</f>
        <v>1.68</v>
      </c>
    </row>
    <row r="17">
      <c r="A17" s="19">
        <f>IFERROR(__xludf.DUMMYFUNCTION("""COMPUTED_VALUE"""),43976.99861111111)</f>
        <v>43976.99861</v>
      </c>
      <c r="B17" s="20">
        <f>IFERROR(__xludf.DUMMYFUNCTION("""COMPUTED_VALUE"""),0.1401191)</f>
        <v>0.1401191</v>
      </c>
      <c r="I17" s="21">
        <v>43955.666666666664</v>
      </c>
      <c r="J17" s="22">
        <v>130.83</v>
      </c>
      <c r="K17" s="21">
        <v>43973.66666666667</v>
      </c>
      <c r="L17" s="53">
        <v>133.02</v>
      </c>
    </row>
    <row r="18">
      <c r="A18" s="9"/>
      <c r="B18" s="9"/>
      <c r="C18" s="10" t="s">
        <v>35</v>
      </c>
      <c r="D18" s="31" t="str">
        <f>IFERROR(__xludf.DUMMYFUNCTION("GOOGLEFINANCE($E18, ""name"")"),"iShares Barclays 20+ Yr Treas.Bond")</f>
        <v>iShares Barclays 20+ Yr Treas.Bond</v>
      </c>
      <c r="E18" s="11" t="s">
        <v>36</v>
      </c>
      <c r="F18" s="12">
        <v>30000.0</v>
      </c>
      <c r="G18" s="12">
        <v>30000.0</v>
      </c>
      <c r="H18" s="13">
        <f>round(G18/J19,2)</f>
        <v>179.47</v>
      </c>
      <c r="I18" s="15" t="str">
        <f>IFERROR(__xludf.DUMMYFUNCTION("GOOGLEFINANCE($E18,""price"",""5/4/2020"")"),"Date")</f>
        <v>Date</v>
      </c>
      <c r="J18" s="15" t="str">
        <f>IFERROR(__xludf.DUMMYFUNCTION("""COMPUTED_VALUE"""),"Close")</f>
        <v>Close</v>
      </c>
      <c r="K18" s="15" t="str">
        <f>IFERROR(__xludf.DUMMYFUNCTION("GOOGLEFINANCE($E45,""price"",""05/22/2020"")"),"Date")</f>
        <v>Date</v>
      </c>
      <c r="L18" s="15" t="str">
        <f>IFERROR(__xludf.DUMMYFUNCTION("""COMPUTED_VALUE"""),"Close")</f>
        <v>Close</v>
      </c>
      <c r="M18" s="16">
        <f>round(L19*H18,2)</f>
        <v>29711.26</v>
      </c>
      <c r="N18" s="34">
        <f>O18</f>
        <v>-288.74</v>
      </c>
      <c r="O18" s="34">
        <f>M18-G18</f>
        <v>-288.74</v>
      </c>
      <c r="P18" s="35">
        <f> round(N18*100/F18,2)</f>
        <v>-0.96</v>
      </c>
    </row>
    <row r="19">
      <c r="A19" s="9"/>
      <c r="B19" s="9"/>
      <c r="I19" s="21">
        <f>IFERROR(__xludf.DUMMYFUNCTION("""COMPUTED_VALUE"""),43955.66666666667)</f>
        <v>43955.66667</v>
      </c>
      <c r="J19" s="22">
        <f>IFERROR(__xludf.DUMMYFUNCTION("""COMPUTED_VALUE"""),167.16)</f>
        <v>167.16</v>
      </c>
      <c r="K19" s="21">
        <f>IFERROR(__xludf.DUMMYFUNCTION("""COMPUTED_VALUE"""),43973.66666666667)</f>
        <v>43973.66667</v>
      </c>
      <c r="L19" s="22">
        <f>IFERROR(__xludf.DUMMYFUNCTION("""COMPUTED_VALUE"""),165.55)</f>
        <v>165.55</v>
      </c>
    </row>
    <row r="20">
      <c r="A20" s="9"/>
      <c r="B20" s="9"/>
      <c r="C20" s="10" t="s">
        <v>35</v>
      </c>
      <c r="D20" s="31" t="str">
        <f>IFERROR(__xludf.DUMMYFUNCTION("GOOGLEFINANCE($E20, ""name"")"),"iShares iBoxx $ High Yid Corp Bond")</f>
        <v>iShares iBoxx $ High Yid Corp Bond</v>
      </c>
      <c r="E20" s="11" t="s">
        <v>37</v>
      </c>
      <c r="F20" s="12">
        <v>20000.0</v>
      </c>
      <c r="G20" s="12">
        <v>20000.0</v>
      </c>
      <c r="H20" s="13">
        <f>round(G20/J21,2)</f>
        <v>254.55</v>
      </c>
      <c r="I20" s="15" t="str">
        <f>IFERROR(__xludf.DUMMYFUNCTION("GOOGLEFINANCE($E20,""price"",""5/4/2020"")"),"Date")</f>
        <v>Date</v>
      </c>
      <c r="J20" s="15" t="str">
        <f>IFERROR(__xludf.DUMMYFUNCTION("""COMPUTED_VALUE"""),"Close")</f>
        <v>Close</v>
      </c>
      <c r="K20" s="15" t="str">
        <f>IFERROR(__xludf.DUMMYFUNCTION("GOOGLEFINANCE($E47,""price"",""05/22/2020"")"),"Date")</f>
        <v>Date</v>
      </c>
      <c r="L20" s="15" t="str">
        <f>IFERROR(__xludf.DUMMYFUNCTION("""COMPUTED_VALUE"""),"Close")</f>
        <v>Close</v>
      </c>
      <c r="M20" s="16">
        <f>round(L21*H20,2)</f>
        <v>20677.1</v>
      </c>
      <c r="N20" s="17">
        <f>O20</f>
        <v>677.1</v>
      </c>
      <c r="O20" s="17">
        <f>M20-G20</f>
        <v>677.1</v>
      </c>
      <c r="P20" s="36">
        <f> round(N20*100/F20,2)</f>
        <v>3.39</v>
      </c>
    </row>
    <row r="21">
      <c r="A21" s="9"/>
      <c r="B21" s="9"/>
      <c r="I21" s="21">
        <f>IFERROR(__xludf.DUMMYFUNCTION("""COMPUTED_VALUE"""),43955.66666666667)</f>
        <v>43955.66667</v>
      </c>
      <c r="J21" s="22">
        <f>IFERROR(__xludf.DUMMYFUNCTION("""COMPUTED_VALUE"""),78.57)</f>
        <v>78.57</v>
      </c>
      <c r="K21" s="21">
        <f>IFERROR(__xludf.DUMMYFUNCTION("""COMPUTED_VALUE"""),43973.66666666667)</f>
        <v>43973.66667</v>
      </c>
      <c r="L21" s="22">
        <f>IFERROR(__xludf.DUMMYFUNCTION("""COMPUTED_VALUE"""),81.23)</f>
        <v>81.23</v>
      </c>
    </row>
    <row r="22">
      <c r="A22" s="9"/>
      <c r="B22" s="9"/>
      <c r="C22" s="10" t="s">
        <v>38</v>
      </c>
      <c r="D22" s="37" t="s">
        <v>38</v>
      </c>
      <c r="E22" s="11" t="s">
        <v>39</v>
      </c>
      <c r="F22" s="12">
        <v>700000.0</v>
      </c>
      <c r="G22" s="12">
        <v>700000.0</v>
      </c>
      <c r="H22" s="38" t="s">
        <v>39</v>
      </c>
      <c r="I22" s="15" t="s">
        <v>39</v>
      </c>
      <c r="K22" s="15" t="s">
        <v>39</v>
      </c>
      <c r="M22" s="16">
        <f>round(G22*(1+ 7/36500),2)</f>
        <v>700134.25</v>
      </c>
      <c r="N22" s="18">
        <v>134.0</v>
      </c>
      <c r="O22" s="17">
        <f>M22-G22</f>
        <v>134.25</v>
      </c>
      <c r="P22" s="36">
        <f> round(N22*100/F22,2)</f>
        <v>0.02</v>
      </c>
    </row>
    <row r="23">
      <c r="A23" s="9"/>
      <c r="B23" s="9"/>
    </row>
    <row r="24">
      <c r="A24" s="9"/>
      <c r="B24" s="9"/>
      <c r="C24" s="39" t="s">
        <v>40</v>
      </c>
      <c r="D24" s="40"/>
      <c r="E24" s="40"/>
      <c r="F24" s="41">
        <f>SUM(F4:F23)</f>
        <v>1000000</v>
      </c>
      <c r="G24" s="40"/>
      <c r="H24" s="40"/>
      <c r="I24" s="40"/>
      <c r="J24" s="40"/>
      <c r="K24" s="40"/>
      <c r="L24" s="40"/>
      <c r="M24" s="40"/>
      <c r="N24" s="42">
        <f>SUM(N4:N23)</f>
        <v>15824.22688</v>
      </c>
      <c r="O24" s="43"/>
      <c r="P24" s="43"/>
    </row>
    <row r="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>
      <c r="A28" s="1"/>
      <c r="B28" s="1"/>
      <c r="C28" s="1"/>
      <c r="D28" s="1"/>
      <c r="E28" s="1"/>
      <c r="F28" s="2" t="s">
        <v>41</v>
      </c>
      <c r="I28" s="1"/>
      <c r="J28" s="1"/>
      <c r="K28" s="1"/>
      <c r="L28" s="1"/>
      <c r="M28" s="1"/>
      <c r="N28" s="1"/>
      <c r="O28" s="1"/>
      <c r="P28" s="1"/>
    </row>
    <row r="29">
      <c r="A29" s="3" t="s">
        <v>1</v>
      </c>
      <c r="C29" s="4"/>
      <c r="D29" s="4"/>
      <c r="E29" s="4"/>
      <c r="F29" s="5" t="s">
        <v>42</v>
      </c>
      <c r="H29" s="4"/>
      <c r="I29" s="4"/>
      <c r="J29" s="4"/>
      <c r="K29" s="4"/>
      <c r="L29" s="4"/>
      <c r="M29" s="4"/>
      <c r="N29" s="5" t="s">
        <v>3</v>
      </c>
      <c r="P29" s="4"/>
    </row>
    <row r="30">
      <c r="A30" s="6" t="s">
        <v>4</v>
      </c>
      <c r="C30" s="7" t="s">
        <v>5</v>
      </c>
      <c r="D30" s="7" t="s">
        <v>6</v>
      </c>
      <c r="E30" s="7" t="s">
        <v>7</v>
      </c>
      <c r="F30" s="7" t="s">
        <v>8</v>
      </c>
      <c r="G30" s="7" t="s">
        <v>9</v>
      </c>
      <c r="H30" s="7" t="s">
        <v>10</v>
      </c>
      <c r="I30" s="8" t="s">
        <v>11</v>
      </c>
      <c r="K30" s="8" t="s">
        <v>12</v>
      </c>
      <c r="M30" s="7" t="s">
        <v>13</v>
      </c>
      <c r="N30" s="8" t="s">
        <v>14</v>
      </c>
      <c r="O30" s="7" t="s">
        <v>15</v>
      </c>
      <c r="P30" s="7" t="s">
        <v>16</v>
      </c>
    </row>
    <row r="31">
      <c r="A31" s="9" t="str">
        <f>IFERROR(__xludf.DUMMYFUNCTION("GOOGLEFINANCE(""currency:EURUSD"", ""price"",DATE(2020,5,11))"),"Date")</f>
        <v>Date</v>
      </c>
      <c r="B31" s="9" t="str">
        <f>IFERROR(__xludf.DUMMYFUNCTION("""COMPUTED_VALUE"""),"Close")</f>
        <v>Close</v>
      </c>
      <c r="C31" s="10" t="s">
        <v>17</v>
      </c>
      <c r="D31" s="11" t="str">
        <f>IFERROR(__xludf.DUMMYFUNCTION("GOOGLEFINANCE($E31, ""name"")"),"S&amp;P 500 Index")</f>
        <v>S&amp;P 500 Index</v>
      </c>
      <c r="E31" s="11" t="s">
        <v>18</v>
      </c>
      <c r="F31" s="12">
        <v>30000.0</v>
      </c>
      <c r="G31" s="12">
        <f>F31</f>
        <v>30000</v>
      </c>
      <c r="H31" s="13">
        <f>round((G31)/J32,2)</f>
        <v>10.24</v>
      </c>
      <c r="I31" s="14" t="str">
        <f>IFERROR(__xludf.DUMMYFUNCTION("GOOGLEFINANCE($E31,""price"",""5/11/2020"")"),"Date")</f>
        <v>Date</v>
      </c>
      <c r="J31" s="15" t="str">
        <f>IFERROR(__xludf.DUMMYFUNCTION("""COMPUTED_VALUE"""),"Close")</f>
        <v>Close</v>
      </c>
      <c r="K31" s="15" t="str">
        <f>IFERROR(__xludf.DUMMYFUNCTION("GOOGLEFINANCE($E31,""price"",""05/22/2020"")"),"Date")</f>
        <v>Date</v>
      </c>
      <c r="L31" s="15" t="str">
        <f>IFERROR(__xludf.DUMMYFUNCTION("""COMPUTED_VALUE"""),"Close")</f>
        <v>Close</v>
      </c>
      <c r="M31" s="16">
        <f>round(L32*H31,2)</f>
        <v>30263.81</v>
      </c>
      <c r="N31" s="17">
        <f>M31-G31</f>
        <v>263.81</v>
      </c>
      <c r="O31" s="17">
        <f>M31-G31</f>
        <v>263.81</v>
      </c>
      <c r="P31" s="18">
        <f> round(N31*100/F31,2)</f>
        <v>0.88</v>
      </c>
    </row>
    <row r="32">
      <c r="A32" s="19">
        <f>IFERROR(__xludf.DUMMYFUNCTION("""COMPUTED_VALUE"""),43962.99861111111)</f>
        <v>43962.99861</v>
      </c>
      <c r="B32" s="20">
        <f>IFERROR(__xludf.DUMMYFUNCTION("""COMPUTED_VALUE"""),1.08105)</f>
        <v>1.08105</v>
      </c>
      <c r="I32" s="21">
        <f>IFERROR(__xludf.DUMMYFUNCTION("""COMPUTED_VALUE"""),43962.66666666667)</f>
        <v>43962.66667</v>
      </c>
      <c r="J32" s="22">
        <f>IFERROR(__xludf.DUMMYFUNCTION("""COMPUTED_VALUE"""),2930.32)</f>
        <v>2930.32</v>
      </c>
      <c r="K32" s="21">
        <f>IFERROR(__xludf.DUMMYFUNCTION("""COMPUTED_VALUE"""),43973.66666666667)</f>
        <v>43973.66667</v>
      </c>
      <c r="L32" s="22">
        <f>IFERROR(__xludf.DUMMYFUNCTION("""COMPUTED_VALUE"""),2955.45)</f>
        <v>2955.45</v>
      </c>
    </row>
    <row r="33">
      <c r="A33" s="9" t="str">
        <f>IFERROR(__xludf.DUMMYFUNCTION("GOOGLEFINANCE(""currency:EURUSD"", ""price"",DATE(2020,5,25))"),"Date")</f>
        <v>Date</v>
      </c>
      <c r="B33" s="9" t="str">
        <f>IFERROR(__xludf.DUMMYFUNCTION("""COMPUTED_VALUE"""),"Close")</f>
        <v>Close</v>
      </c>
      <c r="C33" s="10" t="s">
        <v>17</v>
      </c>
      <c r="D33" s="11" t="str">
        <f>IFERROR(__xludf.DUMMYFUNCTION("GOOGLEFINANCE($E33, ""name"")"),"NASDAQ-100")</f>
        <v>NASDAQ-100</v>
      </c>
      <c r="E33" s="11" t="s">
        <v>19</v>
      </c>
      <c r="F33" s="12">
        <v>50000.0</v>
      </c>
      <c r="G33" s="12">
        <f>F33</f>
        <v>50000</v>
      </c>
      <c r="H33" s="13">
        <f>round((G33)/J34,2)</f>
        <v>5.38</v>
      </c>
      <c r="I33" s="15" t="str">
        <f>IFERROR(__xludf.DUMMYFUNCTION("GOOGLEFINANCE($E33,""price"",""5/11/2020"")"),"Date")</f>
        <v>Date</v>
      </c>
      <c r="J33" s="15" t="str">
        <f>IFERROR(__xludf.DUMMYFUNCTION("""COMPUTED_VALUE"""),"Close")</f>
        <v>Close</v>
      </c>
      <c r="K33" s="15" t="str">
        <f>IFERROR(__xludf.DUMMYFUNCTION("GOOGLEFINANCE($E33,""price"",""05/22/2020"")"),"Date")</f>
        <v>Date</v>
      </c>
      <c r="L33" s="15" t="str">
        <f>IFERROR(__xludf.DUMMYFUNCTION("""COMPUTED_VALUE"""),"Close")</f>
        <v>Close</v>
      </c>
      <c r="M33" s="16">
        <f>round(L34*H33,2)</f>
        <v>50647.27</v>
      </c>
      <c r="N33" s="17">
        <f>M33-G33</f>
        <v>647.27</v>
      </c>
      <c r="O33" s="17">
        <f>M33-G33</f>
        <v>647.27</v>
      </c>
      <c r="P33" s="18">
        <f> round(N33*100/F33,2)</f>
        <v>1.29</v>
      </c>
    </row>
    <row r="34">
      <c r="A34" s="19">
        <f>IFERROR(__xludf.DUMMYFUNCTION("""COMPUTED_VALUE"""),43976.99861111111)</f>
        <v>43976.99861</v>
      </c>
      <c r="B34" s="20">
        <f>IFERROR(__xludf.DUMMYFUNCTION("""COMPUTED_VALUE"""),1.09007)</f>
        <v>1.09007</v>
      </c>
      <c r="I34" s="21">
        <f>IFERROR(__xludf.DUMMYFUNCTION("""COMPUTED_VALUE"""),43962.66666666667)</f>
        <v>43962.66667</v>
      </c>
      <c r="J34" s="22">
        <f>IFERROR(__xludf.DUMMYFUNCTION("""COMPUTED_VALUE"""),9298.92)</f>
        <v>9298.92</v>
      </c>
      <c r="K34" s="21">
        <f>IFERROR(__xludf.DUMMYFUNCTION("""COMPUTED_VALUE"""),43973.66666666667)</f>
        <v>43973.66667</v>
      </c>
      <c r="L34" s="22">
        <f>IFERROR(__xludf.DUMMYFUNCTION("""COMPUTED_VALUE"""),9413.99)</f>
        <v>9413.99</v>
      </c>
    </row>
    <row r="35">
      <c r="A35" s="6" t="s">
        <v>20</v>
      </c>
      <c r="C35" s="10" t="s">
        <v>21</v>
      </c>
      <c r="D35" s="11" t="str">
        <f>IFERROR(__xludf.DUMMYFUNCTION("GOOGLEFINANCE(""indexdb:DAX"", ""name"")"),"DAX PERFORMANCE-INDEX")</f>
        <v>DAX PERFORMANCE-INDEX</v>
      </c>
      <c r="E35" s="11" t="s">
        <v>22</v>
      </c>
      <c r="F35" s="12">
        <v>30000.0</v>
      </c>
      <c r="G35" s="12">
        <f>F35/B32</f>
        <v>27750.79784</v>
      </c>
      <c r="H35" s="13">
        <f>round((G35)/J36,2)</f>
        <v>2.56</v>
      </c>
      <c r="I35" s="14" t="str">
        <f>IFERROR(__xludf.DUMMYFUNCTION("GOOGLEFINANCE(""indexdb:DAX"",""price"",""5/11/2020"")"),"Date")</f>
        <v>Date</v>
      </c>
      <c r="J35" s="15" t="str">
        <f>IFERROR(__xludf.DUMMYFUNCTION("""COMPUTED_VALUE"""),"Close")</f>
        <v>Close</v>
      </c>
      <c r="K35" s="15" t="str">
        <f>IFERROR(__xludf.DUMMYFUNCTION("GOOGLEFINANCE(""indexdb:DAX"", ""price"",""05/25/2020"")"),"Date")</f>
        <v>Date</v>
      </c>
      <c r="L35" s="15" t="str">
        <f>IFERROR(__xludf.DUMMYFUNCTION("""COMPUTED_VALUE"""),"Close")</f>
        <v>Close</v>
      </c>
      <c r="M35" s="16">
        <f>round(L36*H35,2)</f>
        <v>29161.68</v>
      </c>
      <c r="N35" s="17">
        <f>O35*B34</f>
        <v>1537.960321</v>
      </c>
      <c r="O35" s="17">
        <f>M35-G35</f>
        <v>1410.882165</v>
      </c>
      <c r="P35" s="18">
        <f> round(N35*100/F35,2)</f>
        <v>5.13</v>
      </c>
    </row>
    <row r="36">
      <c r="A36" s="9" t="str">
        <f>IFERROR(__xludf.DUMMYFUNCTION("GOOGLEFINANCE(""currency:JPYUSD"", ""price"",DATE(2020,5,11))"),"Date")</f>
        <v>Date</v>
      </c>
      <c r="B36" s="9" t="str">
        <f>IFERROR(__xludf.DUMMYFUNCTION("""COMPUTED_VALUE"""),"Close")</f>
        <v>Close</v>
      </c>
      <c r="I36" s="21">
        <f>IFERROR(__xludf.DUMMYFUNCTION("""COMPUTED_VALUE"""),43962.83333333333)</f>
        <v>43962.83333</v>
      </c>
      <c r="J36" s="22">
        <f>IFERROR(__xludf.DUMMYFUNCTION("""COMPUTED_VALUE"""),10824.99)</f>
        <v>10824.99</v>
      </c>
      <c r="K36" s="23">
        <f>IFERROR(__xludf.DUMMYFUNCTION("""COMPUTED_VALUE"""),43976.83333333333)</f>
        <v>43976.83333</v>
      </c>
      <c r="L36" s="22">
        <f>IFERROR(__xludf.DUMMYFUNCTION("""COMPUTED_VALUE"""),11391.28)</f>
        <v>11391.28</v>
      </c>
    </row>
    <row r="37">
      <c r="A37" s="19">
        <f>IFERROR(__xludf.DUMMYFUNCTION("""COMPUTED_VALUE"""),43962.99861111111)</f>
        <v>43962.99861</v>
      </c>
      <c r="B37" s="20">
        <f>IFERROR(__xludf.DUMMYFUNCTION("""COMPUTED_VALUE"""),0.009297)</f>
        <v>0.009297</v>
      </c>
      <c r="C37" s="10" t="s">
        <v>23</v>
      </c>
      <c r="D37" s="11" t="str">
        <f>IFERROR(__xludf.DUMMYFUNCTION("GOOGLEFINANCE($E37, ""name"")"),"Nikkei 225")</f>
        <v>Nikkei 225</v>
      </c>
      <c r="E37" s="11" t="s">
        <v>24</v>
      </c>
      <c r="F37" s="12">
        <v>40000.0</v>
      </c>
      <c r="G37" s="12">
        <f>60000/B37</f>
        <v>6453694.74</v>
      </c>
      <c r="H37" s="13">
        <f>round((G37)/J38,2)</f>
        <v>316.5</v>
      </c>
      <c r="I37" s="15" t="str">
        <f>IFERROR(__xludf.DUMMYFUNCTION("GOOGLEFINANCE($E37,""price"",""5/10/2020"")"),"Date")</f>
        <v>Date</v>
      </c>
      <c r="J37" s="15" t="str">
        <f>IFERROR(__xludf.DUMMYFUNCTION("""COMPUTED_VALUE"""),"Close")</f>
        <v>Close</v>
      </c>
      <c r="K37" s="15" t="str">
        <f>IFERROR(__xludf.DUMMYFUNCTION("GOOGLEFINANCE($E37,""price"",""05/24/2020"")"),"Date")</f>
        <v>Date</v>
      </c>
      <c r="L37" s="15" t="str">
        <f>IFERROR(__xludf.DUMMYFUNCTION("""COMPUTED_VALUE"""),"Close")</f>
        <v>Close</v>
      </c>
      <c r="M37" s="16">
        <f>round(L38*H37,2)</f>
        <v>6564732.23</v>
      </c>
      <c r="N37" s="25">
        <f>O37*B39</f>
        <v>1031.09413</v>
      </c>
      <c r="O37" s="25">
        <f>M37-G37</f>
        <v>111037.4898</v>
      </c>
      <c r="P37" s="26">
        <f> round(N37*100/F37,2)</f>
        <v>2.58</v>
      </c>
    </row>
    <row r="38">
      <c r="A38" s="9" t="str">
        <f>IFERROR(__xludf.DUMMYFUNCTION("GOOGLEFINANCE(""currency:JPYUSD"", ""price"",DATE(2020,5,25))"),"Date")</f>
        <v>Date</v>
      </c>
      <c r="B38" s="9" t="str">
        <f>IFERROR(__xludf.DUMMYFUNCTION("""COMPUTED_VALUE"""),"Close")</f>
        <v>Close</v>
      </c>
      <c r="I38" s="21">
        <f>IFERROR(__xludf.DUMMYFUNCTION("""COMPUTED_VALUE"""),43962.625)</f>
        <v>43962.625</v>
      </c>
      <c r="J38" s="22">
        <f>IFERROR(__xludf.DUMMYFUNCTION("""COMPUTED_VALUE"""),20390.66)</f>
        <v>20390.66</v>
      </c>
      <c r="K38" s="23">
        <f>IFERROR(__xludf.DUMMYFUNCTION("""COMPUTED_VALUE"""),43976.625)</f>
        <v>43976.625</v>
      </c>
      <c r="L38" s="22">
        <f>IFERROR(__xludf.DUMMYFUNCTION("""COMPUTED_VALUE"""),20741.65)</f>
        <v>20741.65</v>
      </c>
    </row>
    <row r="39">
      <c r="A39" s="19">
        <f>IFERROR(__xludf.DUMMYFUNCTION("""COMPUTED_VALUE"""),43976.99861111111)</f>
        <v>43976.99861</v>
      </c>
      <c r="B39" s="20">
        <f>IFERROR(__xludf.DUMMYFUNCTION("""COMPUTED_VALUE"""),0.009286)</f>
        <v>0.009286</v>
      </c>
      <c r="C39" s="10" t="s">
        <v>25</v>
      </c>
      <c r="D39" s="11" t="s">
        <v>26</v>
      </c>
      <c r="E39" s="24" t="s">
        <v>27</v>
      </c>
      <c r="F39" s="12">
        <v>30000.0</v>
      </c>
      <c r="G39" s="12">
        <f>50000/B42</f>
        <v>354950.0266</v>
      </c>
      <c r="H39" s="13">
        <f>round((G39)/J40,2)</f>
        <v>122.59</v>
      </c>
      <c r="I39" s="15" t="s">
        <v>28</v>
      </c>
      <c r="J39" s="15" t="s">
        <v>29</v>
      </c>
      <c r="K39" s="15" t="s">
        <v>28</v>
      </c>
      <c r="L39" s="15" t="s">
        <v>29</v>
      </c>
      <c r="M39" s="16">
        <f>round(L40*H39,2)</f>
        <v>345365.45</v>
      </c>
      <c r="N39" s="34">
        <f>O39*B44</f>
        <v>-1342.982245</v>
      </c>
      <c r="O39" s="34">
        <f>M39-G39</f>
        <v>-9584.576586</v>
      </c>
      <c r="P39" s="35">
        <f> round(N39*100/F39,2)</f>
        <v>-4.48</v>
      </c>
    </row>
    <row r="40">
      <c r="A40" s="6" t="s">
        <v>30</v>
      </c>
      <c r="I40" s="27">
        <v>43951.666666666664</v>
      </c>
      <c r="J40" s="22">
        <v>2895.51</v>
      </c>
      <c r="K40" s="23">
        <v>43976.625</v>
      </c>
      <c r="L40" s="53">
        <v>2817.24</v>
      </c>
    </row>
    <row r="41">
      <c r="A41" s="30" t="str">
        <f>IFERROR(__xludf.DUMMYFUNCTION("GOOGLEFINANCE(""currency:CNYUSD"", ""price"",DATE(2020,5,11))"),"Date")</f>
        <v>Date</v>
      </c>
      <c r="B41" s="9" t="str">
        <f>IFERROR(__xludf.DUMMYFUNCTION("""COMPUTED_VALUE"""),"Close")</f>
        <v>Close</v>
      </c>
      <c r="C41" s="10" t="s">
        <v>31</v>
      </c>
      <c r="D41" s="31" t="str">
        <f>IFERROR(__xludf.DUMMYFUNCTION("GOOGLEFINANCE($E41, ""name"")"),"S&amp;P GSCI Crude Oil ER")</f>
        <v>S&amp;P GSCI Crude Oil ER</v>
      </c>
      <c r="E41" s="11" t="s">
        <v>32</v>
      </c>
      <c r="F41" s="12">
        <v>20000.0</v>
      </c>
      <c r="G41" s="12">
        <f>F41</f>
        <v>20000</v>
      </c>
      <c r="H41" s="13">
        <f>round((G41)/J42,2)</f>
        <v>488.76</v>
      </c>
      <c r="I41" s="15" t="s">
        <v>28</v>
      </c>
      <c r="J41" s="15" t="s">
        <v>29</v>
      </c>
      <c r="K41" s="15" t="s">
        <v>28</v>
      </c>
      <c r="L41" s="15" t="s">
        <v>29</v>
      </c>
      <c r="M41" s="16">
        <f>round(L42*H41,2)</f>
        <v>25376.42</v>
      </c>
      <c r="N41" s="17">
        <f>O41</f>
        <v>5376.42</v>
      </c>
      <c r="O41" s="17">
        <f>M41-G41</f>
        <v>5376.42</v>
      </c>
      <c r="P41" s="18">
        <f> round(N41*100/F41,2)</f>
        <v>26.88</v>
      </c>
    </row>
    <row r="42">
      <c r="A42" s="19">
        <f>IFERROR(__xludf.DUMMYFUNCTION("""COMPUTED_VALUE"""),43962.99861111111)</f>
        <v>43962.99861</v>
      </c>
      <c r="B42" s="20">
        <f>IFERROR(__xludf.DUMMYFUNCTION("""COMPUTED_VALUE"""),0.1408649)</f>
        <v>0.1408649</v>
      </c>
      <c r="I42" s="23">
        <v>43962.666666666664</v>
      </c>
      <c r="J42" s="22">
        <v>40.92</v>
      </c>
      <c r="K42" s="21">
        <v>43973.66666666667</v>
      </c>
      <c r="L42" s="53">
        <v>51.92</v>
      </c>
    </row>
    <row r="43">
      <c r="A43" s="9" t="str">
        <f>IFERROR(__xludf.DUMMYFUNCTION("GOOGLEFINANCE(""currency:CNYUSD"", ""price"",DATE(2020,5,25))"),"Date")</f>
        <v>Date</v>
      </c>
      <c r="B43" s="9" t="str">
        <f>IFERROR(__xludf.DUMMYFUNCTION("""COMPUTED_VALUE"""),"Close")</f>
        <v>Close</v>
      </c>
      <c r="C43" s="10" t="s">
        <v>31</v>
      </c>
      <c r="D43" s="31" t="str">
        <f>IFERROR(__xludf.DUMMYFUNCTION("GOOGLEFINANCE($E43, ""name"")"),"S&amp;P GSCI Gold ER")</f>
        <v>S&amp;P GSCI Gold ER</v>
      </c>
      <c r="E43" s="11" t="s">
        <v>34</v>
      </c>
      <c r="F43" s="12">
        <v>0.0</v>
      </c>
      <c r="G43" s="12">
        <f>F43</f>
        <v>0</v>
      </c>
      <c r="H43" s="13">
        <f>round((G43)/J44,2)</f>
        <v>0</v>
      </c>
      <c r="I43" s="15" t="s">
        <v>28</v>
      </c>
      <c r="J43" s="15" t="s">
        <v>29</v>
      </c>
      <c r="K43" s="15" t="s">
        <v>28</v>
      </c>
      <c r="L43" s="15" t="s">
        <v>29</v>
      </c>
      <c r="M43" s="16">
        <f>round(L44*H43,2)</f>
        <v>0</v>
      </c>
      <c r="N43" s="17">
        <f>O43</f>
        <v>0</v>
      </c>
      <c r="O43" s="17">
        <f>M43-G43</f>
        <v>0</v>
      </c>
      <c r="P43" s="18">
        <v>0.0</v>
      </c>
    </row>
    <row r="44">
      <c r="A44" s="19">
        <f>IFERROR(__xludf.DUMMYFUNCTION("""COMPUTED_VALUE"""),43976.99861111111)</f>
        <v>43976.99861</v>
      </c>
      <c r="B44" s="20">
        <f>IFERROR(__xludf.DUMMYFUNCTION("""COMPUTED_VALUE"""),0.1401191)</f>
        <v>0.1401191</v>
      </c>
      <c r="I44" s="21">
        <v>43955.666666666664</v>
      </c>
      <c r="J44" s="22">
        <v>130.83</v>
      </c>
      <c r="K44" s="21">
        <v>43973.66666666667</v>
      </c>
      <c r="L44" s="53">
        <v>133.02</v>
      </c>
    </row>
    <row r="45">
      <c r="A45" s="9"/>
      <c r="B45" s="9"/>
      <c r="C45" s="10" t="s">
        <v>35</v>
      </c>
      <c r="D45" s="31" t="str">
        <f>IFERROR(__xludf.DUMMYFUNCTION("GOOGLEFINANCE($E45, ""name"")"),"iShares Barclays 20+ Yr Treas.Bond")</f>
        <v>iShares Barclays 20+ Yr Treas.Bond</v>
      </c>
      <c r="E45" s="11" t="s">
        <v>36</v>
      </c>
      <c r="F45" s="12">
        <v>0.0</v>
      </c>
      <c r="G45" s="12">
        <f>F45</f>
        <v>0</v>
      </c>
      <c r="H45" s="13">
        <f>round((G45)/J46,2)</f>
        <v>0</v>
      </c>
      <c r="I45" s="15" t="str">
        <f>IFERROR(__xludf.DUMMYFUNCTION("GOOGLEFINANCE($E45,""price"",""5/4/2020"")"),"Date")</f>
        <v>Date</v>
      </c>
      <c r="J45" s="15" t="str">
        <f>IFERROR(__xludf.DUMMYFUNCTION("""COMPUTED_VALUE"""),"Close")</f>
        <v>Close</v>
      </c>
      <c r="K45" s="15" t="str">
        <f>IFERROR(__xludf.DUMMYFUNCTION("GOOGLEFINANCE($E72,""price"",""05/22/2020"")"),"Date")</f>
        <v>Date</v>
      </c>
      <c r="L45" s="15" t="str">
        <f>IFERROR(__xludf.DUMMYFUNCTION("""COMPUTED_VALUE"""),"Close")</f>
        <v>Close</v>
      </c>
      <c r="M45" s="16">
        <f>round(L46*H45,2)</f>
        <v>0</v>
      </c>
      <c r="N45" s="17">
        <f>O45</f>
        <v>0</v>
      </c>
      <c r="O45" s="17">
        <f>M45-G45</f>
        <v>0</v>
      </c>
      <c r="P45" s="18">
        <v>0.0</v>
      </c>
    </row>
    <row r="46">
      <c r="A46" s="9"/>
      <c r="B46" s="9"/>
      <c r="I46" s="21">
        <f>IFERROR(__xludf.DUMMYFUNCTION("""COMPUTED_VALUE"""),43955.66666666667)</f>
        <v>43955.66667</v>
      </c>
      <c r="J46" s="22">
        <f>IFERROR(__xludf.DUMMYFUNCTION("""COMPUTED_VALUE"""),167.16)</f>
        <v>167.16</v>
      </c>
      <c r="K46" s="21">
        <f>IFERROR(__xludf.DUMMYFUNCTION("""COMPUTED_VALUE"""),43973.66666666667)</f>
        <v>43973.66667</v>
      </c>
      <c r="L46" s="22">
        <f>IFERROR(__xludf.DUMMYFUNCTION("""COMPUTED_VALUE"""),165.55)</f>
        <v>165.55</v>
      </c>
    </row>
    <row r="47">
      <c r="A47" s="9"/>
      <c r="B47" s="9"/>
      <c r="C47" s="10" t="s">
        <v>35</v>
      </c>
      <c r="D47" s="31" t="str">
        <f>IFERROR(__xludf.DUMMYFUNCTION("GOOGLEFINANCE($E47, ""name"")"),"iShares iBoxx $ High Yid Corp Bond")</f>
        <v>iShares iBoxx $ High Yid Corp Bond</v>
      </c>
      <c r="E47" s="11" t="s">
        <v>37</v>
      </c>
      <c r="F47" s="12">
        <v>10000.0</v>
      </c>
      <c r="G47" s="12">
        <f>F47</f>
        <v>10000</v>
      </c>
      <c r="H47" s="13">
        <f>round((G47)/J48,2)</f>
        <v>125.96</v>
      </c>
      <c r="I47" s="15" t="str">
        <f>IFERROR(__xludf.DUMMYFUNCTION("GOOGLEFINANCE($E47,""price"",""5/11/2020"")"),"Date")</f>
        <v>Date</v>
      </c>
      <c r="J47" s="15" t="str">
        <f>IFERROR(__xludf.DUMMYFUNCTION("""COMPUTED_VALUE"""),"Close")</f>
        <v>Close</v>
      </c>
      <c r="K47" s="15" t="str">
        <f>IFERROR(__xludf.DUMMYFUNCTION("GOOGLEFINANCE($E74,""price"",""05/22/2020"")"),"Date")</f>
        <v>Date</v>
      </c>
      <c r="L47" s="15" t="str">
        <f>IFERROR(__xludf.DUMMYFUNCTION("""COMPUTED_VALUE"""),"Close")</f>
        <v>Close</v>
      </c>
      <c r="M47" s="16">
        <f>round(L48*H47,2)</f>
        <v>10231.73</v>
      </c>
      <c r="N47" s="17">
        <f>O47</f>
        <v>231.73</v>
      </c>
      <c r="O47" s="17">
        <f>M47-G47</f>
        <v>231.73</v>
      </c>
      <c r="P47" s="36">
        <f> round(N47*100/F47,2)</f>
        <v>2.32</v>
      </c>
    </row>
    <row r="48">
      <c r="A48" s="9"/>
      <c r="B48" s="9"/>
      <c r="I48" s="21">
        <f>IFERROR(__xludf.DUMMYFUNCTION("""COMPUTED_VALUE"""),43962.66666666667)</f>
        <v>43962.66667</v>
      </c>
      <c r="J48" s="22">
        <f>IFERROR(__xludf.DUMMYFUNCTION("""COMPUTED_VALUE"""),79.39)</f>
        <v>79.39</v>
      </c>
      <c r="K48" s="21">
        <f>IFERROR(__xludf.DUMMYFUNCTION("""COMPUTED_VALUE"""),43973.66666666667)</f>
        <v>43973.66667</v>
      </c>
      <c r="L48" s="22">
        <f>IFERROR(__xludf.DUMMYFUNCTION("""COMPUTED_VALUE"""),81.23)</f>
        <v>81.23</v>
      </c>
    </row>
    <row r="49">
      <c r="A49" s="9"/>
      <c r="B49" s="9"/>
      <c r="C49" s="10" t="s">
        <v>38</v>
      </c>
      <c r="D49" s="37" t="s">
        <v>38</v>
      </c>
      <c r="E49" s="11" t="s">
        <v>39</v>
      </c>
      <c r="F49" s="12">
        <v>497008.0</v>
      </c>
      <c r="G49" s="12">
        <f>F49</f>
        <v>497008</v>
      </c>
      <c r="H49" s="38" t="s">
        <v>39</v>
      </c>
      <c r="I49" s="15" t="s">
        <v>39</v>
      </c>
      <c r="K49" s="15" t="s">
        <v>39</v>
      </c>
      <c r="M49" s="16">
        <f>round(G49*(1+ 7/36500),2)</f>
        <v>497103.32</v>
      </c>
      <c r="N49" s="17">
        <f>O49</f>
        <v>95.32</v>
      </c>
      <c r="O49" s="17">
        <f>M49-G49</f>
        <v>95.32</v>
      </c>
      <c r="P49" s="36">
        <f> round(N49*100/F49,2)</f>
        <v>0.02</v>
      </c>
    </row>
    <row r="50">
      <c r="A50" s="9"/>
      <c r="B50" s="9"/>
    </row>
    <row r="51">
      <c r="A51" s="9"/>
      <c r="B51" s="9"/>
      <c r="C51" s="39" t="s">
        <v>40</v>
      </c>
      <c r="D51" s="40"/>
      <c r="E51" s="40"/>
      <c r="F51" s="38"/>
      <c r="G51" s="40"/>
      <c r="H51" s="40"/>
      <c r="I51" s="40"/>
      <c r="J51" s="40"/>
      <c r="K51" s="40"/>
      <c r="L51" s="40"/>
      <c r="M51" s="40"/>
      <c r="N51" s="42">
        <f>SUM(N31:N50)</f>
        <v>7840.622206</v>
      </c>
      <c r="O51" s="43"/>
      <c r="P51" s="43"/>
    </row>
    <row r="5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>
      <c r="A53" s="44"/>
      <c r="B53" s="44"/>
      <c r="C53" s="44"/>
      <c r="D53" s="44"/>
      <c r="E53" s="44"/>
      <c r="F53" s="44"/>
      <c r="G53" s="44"/>
      <c r="H53" s="44"/>
      <c r="I53" s="44"/>
      <c r="K53" s="48"/>
      <c r="L53" s="44"/>
      <c r="M53" s="44"/>
      <c r="N53" s="44"/>
      <c r="O53" s="44"/>
      <c r="P53" s="44"/>
    </row>
    <row r="54">
      <c r="A54" s="44"/>
      <c r="B54" s="44"/>
      <c r="C54" s="44"/>
      <c r="D54" s="44"/>
      <c r="E54" s="44"/>
      <c r="F54" s="44"/>
      <c r="G54" s="44"/>
      <c r="H54" s="44"/>
      <c r="I54" s="44"/>
      <c r="K54" s="47"/>
      <c r="L54" s="44"/>
      <c r="M54" s="44"/>
      <c r="N54" s="44"/>
      <c r="O54" s="44"/>
      <c r="P54" s="44"/>
    </row>
    <row r="55">
      <c r="A55" s="1"/>
      <c r="B55" s="1"/>
      <c r="C55" s="1"/>
      <c r="D55" s="1"/>
      <c r="E55" s="1"/>
      <c r="F55" s="49" t="s">
        <v>43</v>
      </c>
      <c r="I55" s="1"/>
      <c r="J55" s="1"/>
      <c r="K55" s="1"/>
      <c r="L55" s="1"/>
      <c r="M55" s="1"/>
      <c r="N55" s="1"/>
      <c r="O55" s="1"/>
      <c r="P55" s="1"/>
    </row>
    <row r="56">
      <c r="A56" s="3" t="s">
        <v>1</v>
      </c>
      <c r="C56" s="4"/>
      <c r="D56" s="4"/>
      <c r="E56" s="4"/>
      <c r="F56" s="5" t="s">
        <v>42</v>
      </c>
      <c r="H56" s="4"/>
      <c r="I56" s="4"/>
      <c r="J56" s="4"/>
      <c r="K56" s="4"/>
      <c r="L56" s="4"/>
      <c r="M56" s="4"/>
      <c r="N56" s="5" t="s">
        <v>3</v>
      </c>
      <c r="P56" s="4"/>
    </row>
    <row r="57">
      <c r="A57" s="6" t="s">
        <v>4</v>
      </c>
      <c r="C57" s="7" t="s">
        <v>5</v>
      </c>
      <c r="D57" s="7" t="s">
        <v>6</v>
      </c>
      <c r="E57" s="7" t="s">
        <v>7</v>
      </c>
      <c r="F57" s="7" t="s">
        <v>8</v>
      </c>
      <c r="G57" s="7" t="s">
        <v>9</v>
      </c>
      <c r="H57" s="7" t="s">
        <v>10</v>
      </c>
      <c r="I57" s="8" t="s">
        <v>11</v>
      </c>
      <c r="K57" s="8" t="s">
        <v>12</v>
      </c>
      <c r="M57" s="7" t="s">
        <v>13</v>
      </c>
      <c r="N57" s="8" t="s">
        <v>14</v>
      </c>
      <c r="O57" s="7" t="s">
        <v>15</v>
      </c>
      <c r="P57" s="7" t="s">
        <v>16</v>
      </c>
    </row>
    <row r="58">
      <c r="A58" s="9" t="str">
        <f>IFERROR(__xludf.DUMMYFUNCTION("GOOGLEFINANCE(""currency:EURUSD"", ""price"",DATE(2020,5,18))"),"Date")</f>
        <v>Date</v>
      </c>
      <c r="B58" s="9" t="str">
        <f>IFERROR(__xludf.DUMMYFUNCTION("""COMPUTED_VALUE"""),"Close")</f>
        <v>Close</v>
      </c>
      <c r="C58" s="10" t="s">
        <v>17</v>
      </c>
      <c r="D58" s="11" t="str">
        <f>IFERROR(__xludf.DUMMYFUNCTION("GOOGLEFINANCE($E58, ""name"")"),"S&amp;P 500 Index")</f>
        <v>S&amp;P 500 Index</v>
      </c>
      <c r="E58" s="11" t="s">
        <v>18</v>
      </c>
      <c r="F58" s="50">
        <v>15000.0</v>
      </c>
      <c r="G58" s="12">
        <f>F58</f>
        <v>15000</v>
      </c>
      <c r="H58" s="13">
        <f>round((G58)/J59,2)</f>
        <v>5.08</v>
      </c>
      <c r="I58" s="14" t="str">
        <f>IFERROR(__xludf.DUMMYFUNCTION("GOOGLEFINANCE($E58,""price"",""5/18/2020"")"),"Date")</f>
        <v>Date</v>
      </c>
      <c r="J58" s="15" t="str">
        <f>IFERROR(__xludf.DUMMYFUNCTION("""COMPUTED_VALUE"""),"Close")</f>
        <v>Close</v>
      </c>
      <c r="K58" s="15" t="str">
        <f>IFERROR(__xludf.DUMMYFUNCTION("GOOGLEFINANCE($E58,""price"",""05/22/2020"")"),"Date")</f>
        <v>Date</v>
      </c>
      <c r="L58" s="15" t="str">
        <f>IFERROR(__xludf.DUMMYFUNCTION("""COMPUTED_VALUE"""),"Close")</f>
        <v>Close</v>
      </c>
      <c r="M58" s="16">
        <f>round(L59*H58,2)</f>
        <v>15013.69</v>
      </c>
      <c r="N58" s="17">
        <f>M58-G58</f>
        <v>13.69</v>
      </c>
      <c r="O58" s="17">
        <f>M58-G58</f>
        <v>13.69</v>
      </c>
      <c r="P58" s="18">
        <f> round(N58*100/F58,2)</f>
        <v>0.09</v>
      </c>
    </row>
    <row r="59">
      <c r="A59" s="19">
        <f>IFERROR(__xludf.DUMMYFUNCTION("""COMPUTED_VALUE"""),43969.99861111111)</f>
        <v>43969.99861</v>
      </c>
      <c r="B59" s="20">
        <f>IFERROR(__xludf.DUMMYFUNCTION("""COMPUTED_VALUE"""),1.09147)</f>
        <v>1.09147</v>
      </c>
      <c r="I59" s="21">
        <f>IFERROR(__xludf.DUMMYFUNCTION("""COMPUTED_VALUE"""),43969.66666666667)</f>
        <v>43969.66667</v>
      </c>
      <c r="J59" s="22">
        <f>IFERROR(__xludf.DUMMYFUNCTION("""COMPUTED_VALUE"""),2953.91)</f>
        <v>2953.91</v>
      </c>
      <c r="K59" s="21">
        <f>IFERROR(__xludf.DUMMYFUNCTION("""COMPUTED_VALUE"""),43973.66666666667)</f>
        <v>43973.66667</v>
      </c>
      <c r="L59" s="22">
        <f>IFERROR(__xludf.DUMMYFUNCTION("""COMPUTED_VALUE"""),2955.45)</f>
        <v>2955.45</v>
      </c>
    </row>
    <row r="60">
      <c r="A60" s="9" t="str">
        <f>IFERROR(__xludf.DUMMYFUNCTION("GOOGLEFINANCE(""currency:EURUSD"", ""price"",DATE(2020,5,25))"),"Date")</f>
        <v>Date</v>
      </c>
      <c r="B60" s="9" t="str">
        <f>IFERROR(__xludf.DUMMYFUNCTION("""COMPUTED_VALUE"""),"Close")</f>
        <v>Close</v>
      </c>
      <c r="C60" s="10" t="s">
        <v>17</v>
      </c>
      <c r="D60" s="11" t="str">
        <f>IFERROR(__xludf.DUMMYFUNCTION("GOOGLEFINANCE($E60, ""name"")"),"NASDAQ-100")</f>
        <v>NASDAQ-100</v>
      </c>
      <c r="E60" s="11" t="s">
        <v>19</v>
      </c>
      <c r="F60" s="50">
        <v>25000.0</v>
      </c>
      <c r="G60" s="12">
        <f>F60</f>
        <v>25000</v>
      </c>
      <c r="H60" s="13">
        <f>round((G60)/J61,2)</f>
        <v>2.68</v>
      </c>
      <c r="I60" s="15" t="str">
        <f>IFERROR(__xludf.DUMMYFUNCTION("GOOGLEFINANCE($E60,""price"",""5/18/2020"")"),"Date")</f>
        <v>Date</v>
      </c>
      <c r="J60" s="15" t="str">
        <f>IFERROR(__xludf.DUMMYFUNCTION("""COMPUTED_VALUE"""),"Close")</f>
        <v>Close</v>
      </c>
      <c r="K60" s="15" t="str">
        <f>IFERROR(__xludf.DUMMYFUNCTION("GOOGLEFINANCE($E60,""price"",""05/22/2020"")"),"Date")</f>
        <v>Date</v>
      </c>
      <c r="L60" s="15" t="str">
        <f>IFERROR(__xludf.DUMMYFUNCTION("""COMPUTED_VALUE"""),"Close")</f>
        <v>Close</v>
      </c>
      <c r="M60" s="16">
        <f>round(L61*H60,2)</f>
        <v>25229.49</v>
      </c>
      <c r="N60" s="17">
        <f>M60-G60</f>
        <v>229.49</v>
      </c>
      <c r="O60" s="17">
        <f>M60-G60</f>
        <v>229.49</v>
      </c>
      <c r="P60" s="18">
        <f> round(N60*100/F60,2)</f>
        <v>0.92</v>
      </c>
    </row>
    <row r="61">
      <c r="A61" s="19">
        <f>IFERROR(__xludf.DUMMYFUNCTION("""COMPUTED_VALUE"""),43976.99861111111)</f>
        <v>43976.99861</v>
      </c>
      <c r="B61" s="20">
        <f>IFERROR(__xludf.DUMMYFUNCTION("""COMPUTED_VALUE"""),1.09007)</f>
        <v>1.09007</v>
      </c>
      <c r="I61" s="21">
        <f>IFERROR(__xludf.DUMMYFUNCTION("""COMPUTED_VALUE"""),43969.66666666667)</f>
        <v>43969.66667</v>
      </c>
      <c r="J61" s="22">
        <f>IFERROR(__xludf.DUMMYFUNCTION("""COMPUTED_VALUE"""),9331.93)</f>
        <v>9331.93</v>
      </c>
      <c r="K61" s="21">
        <f>IFERROR(__xludf.DUMMYFUNCTION("""COMPUTED_VALUE"""),43973.66666666667)</f>
        <v>43973.66667</v>
      </c>
      <c r="L61" s="22">
        <f>IFERROR(__xludf.DUMMYFUNCTION("""COMPUTED_VALUE"""),9413.99)</f>
        <v>9413.99</v>
      </c>
    </row>
    <row r="62">
      <c r="A62" s="6" t="s">
        <v>20</v>
      </c>
      <c r="C62" s="10" t="s">
        <v>21</v>
      </c>
      <c r="D62" s="11" t="str">
        <f>IFERROR(__xludf.DUMMYFUNCTION("GOOGLEFINANCE(""indexdb:DAX"", ""name"")"),"DAX PERFORMANCE-INDEX")</f>
        <v>DAX PERFORMANCE-INDEX</v>
      </c>
      <c r="E62" s="11" t="s">
        <v>22</v>
      </c>
      <c r="F62" s="50">
        <v>20000.0</v>
      </c>
      <c r="G62" s="12">
        <f>F62/B59</f>
        <v>18323.91179</v>
      </c>
      <c r="H62" s="13">
        <f>round((G62)/J63,2)</f>
        <v>1.66</v>
      </c>
      <c r="I62" s="14" t="str">
        <f>IFERROR(__xludf.DUMMYFUNCTION("GOOGLEFINANCE(""indexdb:DAX"",""price"",""5/18/2020"")"),"Date")</f>
        <v>Date</v>
      </c>
      <c r="J62" s="15" t="str">
        <f>IFERROR(__xludf.DUMMYFUNCTION("""COMPUTED_VALUE"""),"Close")</f>
        <v>Close</v>
      </c>
      <c r="K62" s="15" t="str">
        <f>IFERROR(__xludf.DUMMYFUNCTION("GOOGLEFINANCE(""indexdb:DAX"", ""price"",""05/25/2020"")"),"Date")</f>
        <v>Date</v>
      </c>
      <c r="L62" s="15" t="str">
        <f>IFERROR(__xludf.DUMMYFUNCTION("""COMPUTED_VALUE"""),"Close")</f>
        <v>Close</v>
      </c>
      <c r="M62" s="16">
        <f>round(L63*H62,2)</f>
        <v>18909.52</v>
      </c>
      <c r="N62" s="17">
        <f>O62*B61</f>
        <v>638.3539429</v>
      </c>
      <c r="O62" s="17">
        <f>M62-G62</f>
        <v>585.6082113</v>
      </c>
      <c r="P62" s="18">
        <f> round(N62*100/F62,2)</f>
        <v>3.19</v>
      </c>
    </row>
    <row r="63">
      <c r="A63" s="9" t="str">
        <f>IFERROR(__xludf.DUMMYFUNCTION("GOOGLEFINANCE(""currency:JPYUSD"", ""price"",DATE(2020,5,18))"),"Date")</f>
        <v>Date</v>
      </c>
      <c r="B63" s="9" t="str">
        <f>IFERROR(__xludf.DUMMYFUNCTION("""COMPUTED_VALUE"""),"Close")</f>
        <v>Close</v>
      </c>
      <c r="I63" s="21">
        <f>IFERROR(__xludf.DUMMYFUNCTION("""COMPUTED_VALUE"""),43969.83333333333)</f>
        <v>43969.83333</v>
      </c>
      <c r="J63" s="22">
        <f>IFERROR(__xludf.DUMMYFUNCTION("""COMPUTED_VALUE"""),11058.87)</f>
        <v>11058.87</v>
      </c>
      <c r="K63" s="23">
        <f>IFERROR(__xludf.DUMMYFUNCTION("""COMPUTED_VALUE"""),43976.83333333333)</f>
        <v>43976.83333</v>
      </c>
      <c r="L63" s="22">
        <f>IFERROR(__xludf.DUMMYFUNCTION("""COMPUTED_VALUE"""),11391.28)</f>
        <v>11391.28</v>
      </c>
    </row>
    <row r="64">
      <c r="A64" s="19">
        <f>IFERROR(__xludf.DUMMYFUNCTION("""COMPUTED_VALUE"""),43969.99861111111)</f>
        <v>43969.99861</v>
      </c>
      <c r="B64" s="20">
        <f>IFERROR(__xludf.DUMMYFUNCTION("""COMPUTED_VALUE"""),0.009312982)</f>
        <v>0.009312982</v>
      </c>
      <c r="C64" s="10" t="s">
        <v>23</v>
      </c>
      <c r="D64" s="11" t="str">
        <f>IFERROR(__xludf.DUMMYFUNCTION("GOOGLEFINANCE($E64, ""name"")"),"Nikkei 225")</f>
        <v>Nikkei 225</v>
      </c>
      <c r="E64" s="11" t="s">
        <v>24</v>
      </c>
      <c r="F64" s="50">
        <v>30000.0</v>
      </c>
      <c r="G64" s="12">
        <f>30000/B64</f>
        <v>3221309.78</v>
      </c>
      <c r="H64" s="13">
        <f>round((G64)/J65,2)</f>
        <v>160</v>
      </c>
      <c r="I64" s="15" t="str">
        <f>IFERROR(__xludf.DUMMYFUNCTION("GOOGLEFINANCE($E64,""price"",""5/17/2020"")"),"Date")</f>
        <v>Date</v>
      </c>
      <c r="J64" s="15" t="str">
        <f>IFERROR(__xludf.DUMMYFUNCTION("""COMPUTED_VALUE"""),"Close")</f>
        <v>Close</v>
      </c>
      <c r="K64" s="15" t="str">
        <f>IFERROR(__xludf.DUMMYFUNCTION("GOOGLEFINANCE($E64,""price"",""05/24/2020"")"),"Date")</f>
        <v>Date</v>
      </c>
      <c r="L64" s="15" t="str">
        <f>IFERROR(__xludf.DUMMYFUNCTION("""COMPUTED_VALUE"""),"Close")</f>
        <v>Close</v>
      </c>
      <c r="M64" s="16">
        <f>round(L65*H64,2)</f>
        <v>3318664</v>
      </c>
      <c r="N64" s="25">
        <f>O64*B66</f>
        <v>904.0312845</v>
      </c>
      <c r="O64" s="25">
        <f>M64-G64</f>
        <v>97354.21974</v>
      </c>
      <c r="P64" s="26">
        <f> round(N64*100/F64,2)</f>
        <v>3.01</v>
      </c>
    </row>
    <row r="65">
      <c r="A65" s="9" t="str">
        <f>IFERROR(__xludf.DUMMYFUNCTION("GOOGLEFINANCE(""currency:JPYUSD"", ""price"",DATE(2020,5,25))"),"Date")</f>
        <v>Date</v>
      </c>
      <c r="B65" s="9" t="str">
        <f>IFERROR(__xludf.DUMMYFUNCTION("""COMPUTED_VALUE"""),"Close")</f>
        <v>Close</v>
      </c>
      <c r="I65" s="21">
        <f>IFERROR(__xludf.DUMMYFUNCTION("""COMPUTED_VALUE"""),43969.625)</f>
        <v>43969.625</v>
      </c>
      <c r="J65" s="22">
        <f>IFERROR(__xludf.DUMMYFUNCTION("""COMPUTED_VALUE"""),20133.73)</f>
        <v>20133.73</v>
      </c>
      <c r="K65" s="23">
        <f>IFERROR(__xludf.DUMMYFUNCTION("""COMPUTED_VALUE"""),43976.625)</f>
        <v>43976.625</v>
      </c>
      <c r="L65" s="22">
        <f>IFERROR(__xludf.DUMMYFUNCTION("""COMPUTED_VALUE"""),20741.65)</f>
        <v>20741.65</v>
      </c>
    </row>
    <row r="66">
      <c r="A66" s="19">
        <f>IFERROR(__xludf.DUMMYFUNCTION("""COMPUTED_VALUE"""),43976.99861111111)</f>
        <v>43976.99861</v>
      </c>
      <c r="B66" s="20">
        <f>IFERROR(__xludf.DUMMYFUNCTION("""COMPUTED_VALUE"""),0.009286)</f>
        <v>0.009286</v>
      </c>
      <c r="C66" s="10" t="s">
        <v>25</v>
      </c>
      <c r="D66" s="11" t="s">
        <v>26</v>
      </c>
      <c r="E66" s="24" t="s">
        <v>27</v>
      </c>
      <c r="F66" s="50">
        <v>0.0</v>
      </c>
      <c r="G66" s="12">
        <f>0/B69</f>
        <v>0</v>
      </c>
      <c r="H66" s="13">
        <f>round((G66)/J67,2)</f>
        <v>0</v>
      </c>
      <c r="I66" s="15" t="s">
        <v>28</v>
      </c>
      <c r="J66" s="15" t="s">
        <v>29</v>
      </c>
      <c r="K66" s="15" t="s">
        <v>28</v>
      </c>
      <c r="L66" s="15" t="s">
        <v>29</v>
      </c>
      <c r="M66" s="16">
        <f>round(L67*H66,2)</f>
        <v>0</v>
      </c>
      <c r="N66" s="46">
        <f>O66*B71</f>
        <v>0</v>
      </c>
      <c r="O66" s="46">
        <f>M66-G66</f>
        <v>0</v>
      </c>
      <c r="P66" s="51" t="s">
        <v>39</v>
      </c>
    </row>
    <row r="67">
      <c r="A67" s="6" t="s">
        <v>30</v>
      </c>
      <c r="I67" s="27">
        <v>43951.666666666664</v>
      </c>
      <c r="J67" s="22">
        <v>2895.51</v>
      </c>
      <c r="K67" s="23">
        <v>43976.625</v>
      </c>
      <c r="L67" s="53">
        <v>2817.24</v>
      </c>
    </row>
    <row r="68">
      <c r="A68" s="30" t="str">
        <f>IFERROR(__xludf.DUMMYFUNCTION("GOOGLEFINANCE(""currency:CNYUSD"", ""price"",DATE(2020,5,18))"),"Date")</f>
        <v>Date</v>
      </c>
      <c r="B68" s="9" t="str">
        <f>IFERROR(__xludf.DUMMYFUNCTION("""COMPUTED_VALUE"""),"Close")</f>
        <v>Close</v>
      </c>
      <c r="C68" s="10" t="s">
        <v>31</v>
      </c>
      <c r="D68" s="31" t="str">
        <f>IFERROR(__xludf.DUMMYFUNCTION("GOOGLEFINANCE($E68, ""name"")"),"S&amp;P GSCI Crude Oil ER")</f>
        <v>S&amp;P GSCI Crude Oil ER</v>
      </c>
      <c r="E68" s="11" t="s">
        <v>32</v>
      </c>
      <c r="F68" s="50">
        <v>0.0</v>
      </c>
      <c r="G68" s="12">
        <f>F68</f>
        <v>0</v>
      </c>
      <c r="H68" s="13">
        <f>round((G68)/J69,2)</f>
        <v>0</v>
      </c>
      <c r="I68" s="15" t="s">
        <v>28</v>
      </c>
      <c r="J68" s="15" t="s">
        <v>29</v>
      </c>
      <c r="K68" s="15" t="s">
        <v>28</v>
      </c>
      <c r="L68" s="15" t="s">
        <v>29</v>
      </c>
      <c r="M68" s="16">
        <f>round(L69*H68,2)</f>
        <v>0</v>
      </c>
      <c r="N68" s="46">
        <f>O68</f>
        <v>0</v>
      </c>
      <c r="O68" s="46">
        <f>M68-G68</f>
        <v>0</v>
      </c>
      <c r="P68" s="51" t="s">
        <v>39</v>
      </c>
    </row>
    <row r="69">
      <c r="A69" s="19">
        <f>IFERROR(__xludf.DUMMYFUNCTION("""COMPUTED_VALUE"""),43969.99861111111)</f>
        <v>43969.99861</v>
      </c>
      <c r="B69" s="20">
        <f>IFERROR(__xludf.DUMMYFUNCTION("""COMPUTED_VALUE"""),0.1406549)</f>
        <v>0.1406549</v>
      </c>
      <c r="I69" s="23">
        <v>43962.666666666664</v>
      </c>
      <c r="J69" s="22">
        <v>40.92</v>
      </c>
      <c r="K69" s="21">
        <v>43973.66666666667</v>
      </c>
      <c r="L69" s="53">
        <v>51.92</v>
      </c>
    </row>
    <row r="70">
      <c r="A70" s="9" t="str">
        <f>IFERROR(__xludf.DUMMYFUNCTION("GOOGLEFINANCE(""currency:CNYUSD"", ""price"",DATE(2020,5,25))"),"Date")</f>
        <v>Date</v>
      </c>
      <c r="B70" s="9" t="str">
        <f>IFERROR(__xludf.DUMMYFUNCTION("""COMPUTED_VALUE"""),"Close")</f>
        <v>Close</v>
      </c>
      <c r="C70" s="10" t="s">
        <v>31</v>
      </c>
      <c r="D70" s="31" t="str">
        <f>IFERROR(__xludf.DUMMYFUNCTION("GOOGLEFINANCE($E70, ""name"")"),"S&amp;P GSCI Gold ER")</f>
        <v>S&amp;P GSCI Gold ER</v>
      </c>
      <c r="E70" s="11" t="s">
        <v>34</v>
      </c>
      <c r="F70" s="50">
        <v>10000.0</v>
      </c>
      <c r="G70" s="12">
        <f>F70</f>
        <v>10000</v>
      </c>
      <c r="H70" s="13">
        <f>round((G70)/J71,2)</f>
        <v>75.47</v>
      </c>
      <c r="I70" s="15" t="s">
        <v>28</v>
      </c>
      <c r="J70" s="15" t="s">
        <v>29</v>
      </c>
      <c r="K70" s="15" t="s">
        <v>28</v>
      </c>
      <c r="L70" s="15" t="s">
        <v>29</v>
      </c>
      <c r="M70" s="16">
        <f>round(L71*H70,2)</f>
        <v>10039.02</v>
      </c>
      <c r="N70" s="17">
        <f>O70</f>
        <v>39.02</v>
      </c>
      <c r="O70" s="17">
        <f>M70-G70</f>
        <v>39.02</v>
      </c>
      <c r="P70" s="18">
        <v>0.0</v>
      </c>
    </row>
    <row r="71">
      <c r="A71" s="19">
        <f>IFERROR(__xludf.DUMMYFUNCTION("""COMPUTED_VALUE"""),43976.99861111111)</f>
        <v>43976.99861</v>
      </c>
      <c r="B71" s="20">
        <f>IFERROR(__xludf.DUMMYFUNCTION("""COMPUTED_VALUE"""),0.1401191)</f>
        <v>0.1401191</v>
      </c>
      <c r="I71" s="52">
        <v>43969.666666666664</v>
      </c>
      <c r="J71" s="53">
        <v>132.5</v>
      </c>
      <c r="K71" s="21">
        <v>43973.66666666667</v>
      </c>
      <c r="L71" s="53">
        <v>133.02</v>
      </c>
    </row>
    <row r="72">
      <c r="A72" s="9"/>
      <c r="B72" s="9"/>
      <c r="C72" s="10" t="s">
        <v>35</v>
      </c>
      <c r="D72" s="31" t="str">
        <f>IFERROR(__xludf.DUMMYFUNCTION("GOOGLEFINANCE($E72, ""name"")"),"iShares Barclays 20+ Yr Treas.Bond")</f>
        <v>iShares Barclays 20+ Yr Treas.Bond</v>
      </c>
      <c r="E72" s="11" t="s">
        <v>36</v>
      </c>
      <c r="F72" s="50">
        <v>-15000.0</v>
      </c>
      <c r="G72" s="12">
        <f>F72</f>
        <v>-15000</v>
      </c>
      <c r="H72" s="13">
        <f>round((G72)/J73,2)</f>
        <v>-92</v>
      </c>
      <c r="I72" s="15" t="str">
        <f>IFERROR(__xludf.DUMMYFUNCTION("GOOGLEFINANCE($E72,""price"",""5/18/2020"")"),"Date")</f>
        <v>Date</v>
      </c>
      <c r="J72" s="15" t="str">
        <f>IFERROR(__xludf.DUMMYFUNCTION("""COMPUTED_VALUE"""),"Close")</f>
        <v>Close</v>
      </c>
      <c r="K72" s="15" t="str">
        <f>IFERROR(__xludf.DUMMYFUNCTION("GOOGLEFINANCE($E72,""price"",""05/22/2020"")"),"Date")</f>
        <v>Date</v>
      </c>
      <c r="L72" s="15" t="str">
        <f>IFERROR(__xludf.DUMMYFUNCTION("""COMPUTED_VALUE"""),"Close")</f>
        <v>Close</v>
      </c>
      <c r="M72" s="16">
        <f>round(L73*H72,2)</f>
        <v>-15230.6</v>
      </c>
      <c r="N72" s="34">
        <f>O72</f>
        <v>-230.6</v>
      </c>
      <c r="O72" s="34">
        <f>M72-G72</f>
        <v>-230.6</v>
      </c>
      <c r="P72" s="35">
        <v>0.0</v>
      </c>
    </row>
    <row r="73">
      <c r="A73" s="9"/>
      <c r="B73" s="9"/>
      <c r="I73" s="21">
        <f>IFERROR(__xludf.DUMMYFUNCTION("""COMPUTED_VALUE"""),43969.66666666667)</f>
        <v>43969.66667</v>
      </c>
      <c r="J73" s="22">
        <f>IFERROR(__xludf.DUMMYFUNCTION("""COMPUTED_VALUE"""),163.05)</f>
        <v>163.05</v>
      </c>
      <c r="K73" s="21">
        <f>IFERROR(__xludf.DUMMYFUNCTION("""COMPUTED_VALUE"""),43973.66666666667)</f>
        <v>43973.66667</v>
      </c>
      <c r="L73" s="22">
        <f>IFERROR(__xludf.DUMMYFUNCTION("""COMPUTED_VALUE"""),165.55)</f>
        <v>165.55</v>
      </c>
    </row>
    <row r="74">
      <c r="A74" s="9"/>
      <c r="B74" s="9"/>
      <c r="C74" s="10" t="s">
        <v>35</v>
      </c>
      <c r="D74" s="31" t="str">
        <f>IFERROR(__xludf.DUMMYFUNCTION("GOOGLEFINANCE($E74, ""name"")"),"iShares iBoxx $ High Yid Corp Bond")</f>
        <v>iShares iBoxx $ High Yid Corp Bond</v>
      </c>
      <c r="E74" s="11" t="s">
        <v>37</v>
      </c>
      <c r="F74" s="50">
        <v>0.0</v>
      </c>
      <c r="G74" s="12">
        <f>F74</f>
        <v>0</v>
      </c>
      <c r="H74" s="13">
        <f>round((G74)/J75,2)</f>
        <v>0</v>
      </c>
      <c r="I74" s="15" t="str">
        <f>IFERROR(__xludf.DUMMYFUNCTION("GOOGLEFINANCE($E74,""price"",""5/11/2020"")"),"Date")</f>
        <v>Date</v>
      </c>
      <c r="J74" s="15" t="str">
        <f>IFERROR(__xludf.DUMMYFUNCTION("""COMPUTED_VALUE"""),"Close")</f>
        <v>Close</v>
      </c>
      <c r="K74" s="15" t="str">
        <f>IFERROR(__xludf.DUMMYFUNCTION("GOOGLEFINANCE($E74,""price"",""05/22/2020"")"),"Date")</f>
        <v>Date</v>
      </c>
      <c r="L74" s="15" t="str">
        <f>IFERROR(__xludf.DUMMYFUNCTION("""COMPUTED_VALUE"""),"Close")</f>
        <v>Close</v>
      </c>
      <c r="M74" s="16">
        <f>round(L75*H74,2)</f>
        <v>0</v>
      </c>
      <c r="N74" s="46">
        <f>O74</f>
        <v>0</v>
      </c>
      <c r="O74" s="46">
        <f>M74-G74</f>
        <v>0</v>
      </c>
      <c r="P74" s="54" t="s">
        <v>39</v>
      </c>
    </row>
    <row r="75">
      <c r="A75" s="9"/>
      <c r="B75" s="9"/>
      <c r="I75" s="21">
        <f>IFERROR(__xludf.DUMMYFUNCTION("""COMPUTED_VALUE"""),43962.66666666667)</f>
        <v>43962.66667</v>
      </c>
      <c r="J75" s="22">
        <f>IFERROR(__xludf.DUMMYFUNCTION("""COMPUTED_VALUE"""),79.39)</f>
        <v>79.39</v>
      </c>
      <c r="K75" s="21">
        <f>IFERROR(__xludf.DUMMYFUNCTION("""COMPUTED_VALUE"""),43973.66666666667)</f>
        <v>43973.66667</v>
      </c>
      <c r="L75" s="22">
        <f>IFERROR(__xludf.DUMMYFUNCTION("""COMPUTED_VALUE"""),81.23)</f>
        <v>81.23</v>
      </c>
    </row>
    <row r="76">
      <c r="A76" s="9"/>
      <c r="B76" s="9"/>
      <c r="C76" s="10" t="s">
        <v>38</v>
      </c>
      <c r="D76" s="37" t="s">
        <v>38</v>
      </c>
      <c r="E76" s="11" t="s">
        <v>39</v>
      </c>
      <c r="F76" s="50">
        <v>416432.0</v>
      </c>
      <c r="G76" s="12">
        <f>F76</f>
        <v>416432</v>
      </c>
      <c r="H76" s="38" t="s">
        <v>39</v>
      </c>
      <c r="I76" s="15" t="s">
        <v>39</v>
      </c>
      <c r="K76" s="15" t="s">
        <v>39</v>
      </c>
      <c r="M76" s="16">
        <f>round(G76*(1+ 7/36500),2)</f>
        <v>416511.86</v>
      </c>
      <c r="N76" s="17">
        <f>O76</f>
        <v>79.86</v>
      </c>
      <c r="O76" s="17">
        <f>M76-G76</f>
        <v>79.86</v>
      </c>
      <c r="P76" s="36">
        <f> round(N76*100/F76,2)</f>
        <v>0.02</v>
      </c>
    </row>
    <row r="77">
      <c r="A77" s="9"/>
      <c r="B77" s="9"/>
    </row>
    <row r="78">
      <c r="A78" s="9"/>
      <c r="B78" s="9"/>
      <c r="C78" s="39" t="s">
        <v>40</v>
      </c>
      <c r="D78" s="40"/>
      <c r="E78" s="40"/>
      <c r="F78" s="38"/>
      <c r="G78" s="40"/>
      <c r="H78" s="40"/>
      <c r="I78" s="40"/>
      <c r="J78" s="40"/>
      <c r="K78" s="40"/>
      <c r="L78" s="40"/>
      <c r="M78" s="40"/>
      <c r="N78" s="42">
        <f>SUM(N58:N77)</f>
        <v>1673.845227</v>
      </c>
      <c r="O78" s="43"/>
      <c r="P78" s="43"/>
    </row>
    <row r="81">
      <c r="H81" s="57" t="s">
        <v>46</v>
      </c>
      <c r="J81" s="58">
        <f> N24 + N51 + N78 - 'EOW 1'!M26 - 'EOW 2'!K53</f>
        <v>8801.404057</v>
      </c>
    </row>
    <row r="82">
      <c r="H82" s="59" t="s">
        <v>47</v>
      </c>
      <c r="J82" s="60">
        <f>-115000*0.05*0.01</f>
        <v>-57.5</v>
      </c>
    </row>
    <row r="83">
      <c r="H83" s="61" t="s">
        <v>48</v>
      </c>
      <c r="J83" s="17">
        <f> 'EOW 2'!K55 + J81</f>
        <v>1025233.694</v>
      </c>
    </row>
  </sheetData>
  <mergeCells count="338"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F55:H55"/>
    <mergeCell ref="A56:B56"/>
    <mergeCell ref="F56:G56"/>
    <mergeCell ref="N56:O56"/>
    <mergeCell ref="A57:B57"/>
    <mergeCell ref="K57:L57"/>
    <mergeCell ref="M58:M59"/>
    <mergeCell ref="N58:N59"/>
    <mergeCell ref="O58:O59"/>
    <mergeCell ref="P58:P59"/>
    <mergeCell ref="I57:J57"/>
    <mergeCell ref="C58:C59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M60:M61"/>
    <mergeCell ref="A62:B62"/>
    <mergeCell ref="C60:C61"/>
    <mergeCell ref="C62:C63"/>
    <mergeCell ref="D62:D63"/>
    <mergeCell ref="E62:E63"/>
    <mergeCell ref="F62:F63"/>
    <mergeCell ref="G62:G63"/>
    <mergeCell ref="H62:H63"/>
    <mergeCell ref="M64:M65"/>
    <mergeCell ref="N64:N65"/>
    <mergeCell ref="O64:O65"/>
    <mergeCell ref="P64:P65"/>
    <mergeCell ref="M66:M67"/>
    <mergeCell ref="N66:N67"/>
    <mergeCell ref="O66:O67"/>
    <mergeCell ref="P66:P67"/>
    <mergeCell ref="N60:N61"/>
    <mergeCell ref="O60:O61"/>
    <mergeCell ref="P60:P61"/>
    <mergeCell ref="M62:M63"/>
    <mergeCell ref="N62:N63"/>
    <mergeCell ref="O62:O63"/>
    <mergeCell ref="P62:P63"/>
    <mergeCell ref="D66:D67"/>
    <mergeCell ref="E66:E67"/>
    <mergeCell ref="A67:B67"/>
    <mergeCell ref="M68:M69"/>
    <mergeCell ref="N68:N69"/>
    <mergeCell ref="O68:O69"/>
    <mergeCell ref="P68:P69"/>
    <mergeCell ref="N70:N71"/>
    <mergeCell ref="O70:O71"/>
    <mergeCell ref="P70:P71"/>
    <mergeCell ref="M70:M71"/>
    <mergeCell ref="M72:M73"/>
    <mergeCell ref="N72:N73"/>
    <mergeCell ref="O72:O73"/>
    <mergeCell ref="P72:P73"/>
    <mergeCell ref="M74:M75"/>
    <mergeCell ref="N74:N75"/>
    <mergeCell ref="D72:D73"/>
    <mergeCell ref="E72:E73"/>
    <mergeCell ref="C74:C75"/>
    <mergeCell ref="D74:D75"/>
    <mergeCell ref="E74:E75"/>
    <mergeCell ref="C76:C77"/>
    <mergeCell ref="D76:D77"/>
    <mergeCell ref="E76:E77"/>
    <mergeCell ref="F72:F73"/>
    <mergeCell ref="G72:G73"/>
    <mergeCell ref="F74:F75"/>
    <mergeCell ref="G74:G75"/>
    <mergeCell ref="H74:H75"/>
    <mergeCell ref="F76:F77"/>
    <mergeCell ref="G76:G77"/>
    <mergeCell ref="F66:F67"/>
    <mergeCell ref="G66:G67"/>
    <mergeCell ref="C64:C65"/>
    <mergeCell ref="D64:D65"/>
    <mergeCell ref="E64:E65"/>
    <mergeCell ref="F64:F65"/>
    <mergeCell ref="G64:G65"/>
    <mergeCell ref="H64:H65"/>
    <mergeCell ref="H66:H67"/>
    <mergeCell ref="C66:C67"/>
    <mergeCell ref="C68:C69"/>
    <mergeCell ref="D68:D69"/>
    <mergeCell ref="E68:E69"/>
    <mergeCell ref="F68:F69"/>
    <mergeCell ref="G68:G69"/>
    <mergeCell ref="H68:H69"/>
    <mergeCell ref="C70:C71"/>
    <mergeCell ref="D70:D71"/>
    <mergeCell ref="E70:E71"/>
    <mergeCell ref="F70:F71"/>
    <mergeCell ref="G70:G71"/>
    <mergeCell ref="H70:H71"/>
    <mergeCell ref="C72:C73"/>
    <mergeCell ref="H72:H73"/>
    <mergeCell ref="O74:O75"/>
    <mergeCell ref="P74:P75"/>
    <mergeCell ref="H76:H77"/>
    <mergeCell ref="I76:J77"/>
    <mergeCell ref="K76:L77"/>
    <mergeCell ref="M76:M77"/>
    <mergeCell ref="N76:N77"/>
    <mergeCell ref="O76:O77"/>
    <mergeCell ref="P76:P77"/>
    <mergeCell ref="H81:I81"/>
    <mergeCell ref="H82:I82"/>
    <mergeCell ref="H83:I83"/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14"/>
    <col customWidth="1" min="4" max="4" width="29.43"/>
    <col customWidth="1" min="9" max="9" width="18.14"/>
  </cols>
  <sheetData>
    <row r="1">
      <c r="A1" s="62"/>
      <c r="B1" s="62"/>
      <c r="C1" s="62"/>
      <c r="D1" s="62"/>
      <c r="E1" s="62"/>
      <c r="F1" s="63" t="s">
        <v>0</v>
      </c>
      <c r="I1" s="62"/>
      <c r="J1" s="62"/>
      <c r="K1" s="62"/>
      <c r="L1" s="62"/>
      <c r="M1" s="62"/>
      <c r="N1" s="62"/>
      <c r="O1" s="62"/>
      <c r="P1" s="62"/>
    </row>
    <row r="2">
      <c r="A2" s="64" t="s">
        <v>1</v>
      </c>
      <c r="C2" s="65"/>
      <c r="D2" s="65"/>
      <c r="E2" s="65"/>
      <c r="F2" s="66" t="s">
        <v>2</v>
      </c>
      <c r="H2" s="65"/>
      <c r="I2" s="65"/>
      <c r="J2" s="65"/>
      <c r="K2" s="65"/>
      <c r="L2" s="65"/>
      <c r="M2" s="65"/>
      <c r="N2" s="66" t="s">
        <v>3</v>
      </c>
      <c r="P2" s="65"/>
    </row>
    <row r="3">
      <c r="A3" s="67" t="s">
        <v>4</v>
      </c>
      <c r="C3" s="68" t="s">
        <v>5</v>
      </c>
      <c r="D3" s="68" t="s">
        <v>6</v>
      </c>
      <c r="E3" s="68" t="s">
        <v>7</v>
      </c>
      <c r="F3" s="68" t="s">
        <v>8</v>
      </c>
      <c r="G3" s="68" t="s">
        <v>9</v>
      </c>
      <c r="H3" s="68" t="s">
        <v>10</v>
      </c>
      <c r="I3" s="69" t="s">
        <v>11</v>
      </c>
      <c r="K3" s="69" t="s">
        <v>12</v>
      </c>
      <c r="M3" s="68" t="s">
        <v>13</v>
      </c>
      <c r="N3" s="70" t="s">
        <v>14</v>
      </c>
      <c r="O3" s="68" t="s">
        <v>15</v>
      </c>
      <c r="P3" s="71" t="s">
        <v>16</v>
      </c>
    </row>
    <row r="4">
      <c r="A4" s="9" t="str">
        <f>IFERROR(__xludf.DUMMYFUNCTION("GOOGLEFINANCE(""currency:EURUSD"", ""price"",DATE(2020,5,4))"),"Date")</f>
        <v>Date</v>
      </c>
      <c r="B4" s="9" t="str">
        <f>IFERROR(__xludf.DUMMYFUNCTION("""COMPUTED_VALUE"""),"Close")</f>
        <v>Close</v>
      </c>
      <c r="C4" s="72" t="s">
        <v>17</v>
      </c>
      <c r="D4" s="73" t="str">
        <f>IFERROR(__xludf.DUMMYFUNCTION("GOOGLEFINANCE($E4, ""name"")"),"S&amp;P 500 Index")</f>
        <v>S&amp;P 500 Index</v>
      </c>
      <c r="E4" s="74" t="s">
        <v>18</v>
      </c>
      <c r="F4" s="75">
        <v>50000.0</v>
      </c>
      <c r="G4" s="75">
        <v>50000.0</v>
      </c>
      <c r="H4" s="76">
        <f>round(G4/J5,2)</f>
        <v>17.59</v>
      </c>
      <c r="I4" s="77" t="str">
        <f>IFERROR(__xludf.DUMMYFUNCTION("GOOGLEFINANCE($E4,""price"",""5/4/2020"")"),"Date")</f>
        <v>Date</v>
      </c>
      <c r="J4" s="78" t="str">
        <f>IFERROR(__xludf.DUMMYFUNCTION("""COMPUTED_VALUE"""),"Close")</f>
        <v>Close</v>
      </c>
      <c r="K4" s="79" t="str">
        <f>IFERROR(__xludf.DUMMYFUNCTION("GOOGLEFINANCE($E4,""price"",""05/18/2020"")"),"Date")</f>
        <v>Date</v>
      </c>
      <c r="L4" s="78" t="str">
        <f>IFERROR(__xludf.DUMMYFUNCTION("""COMPUTED_VALUE"""),"Close")</f>
        <v>Close</v>
      </c>
      <c r="M4" s="80">
        <f>round(L5*H4,2)</f>
        <v>51959.28</v>
      </c>
      <c r="N4" s="25">
        <f>M4-G4</f>
        <v>1959.28</v>
      </c>
      <c r="O4" s="81">
        <f>M4-G4</f>
        <v>1959.28</v>
      </c>
      <c r="P4" s="26">
        <f> round(N4*100/F4,2)</f>
        <v>3.92</v>
      </c>
    </row>
    <row r="5">
      <c r="A5" s="19">
        <f>IFERROR(__xludf.DUMMYFUNCTION("""COMPUTED_VALUE"""),43955.99861111111)</f>
        <v>43955.99861</v>
      </c>
      <c r="B5" s="20">
        <f>IFERROR(__xludf.DUMMYFUNCTION("""COMPUTED_VALUE"""),1.09041)</f>
        <v>1.09041</v>
      </c>
      <c r="I5" s="82">
        <f>IFERROR(__xludf.DUMMYFUNCTION("""COMPUTED_VALUE"""),43955.66666666667)</f>
        <v>43955.66667</v>
      </c>
      <c r="J5" s="78">
        <f>IFERROR(__xludf.DUMMYFUNCTION("""COMPUTED_VALUE"""),2842.74)</f>
        <v>2842.74</v>
      </c>
      <c r="K5" s="82">
        <f>IFERROR(__xludf.DUMMYFUNCTION("""COMPUTED_VALUE"""),43969.66666666667)</f>
        <v>43969.66667</v>
      </c>
      <c r="L5" s="78">
        <f>IFERROR(__xludf.DUMMYFUNCTION("""COMPUTED_VALUE"""),2953.91)</f>
        <v>2953.91</v>
      </c>
    </row>
    <row r="6">
      <c r="A6" s="9" t="str">
        <f>IFERROR(__xludf.DUMMYFUNCTION("GOOGLEFINANCE(""currency:EURUSD"", ""price"",DATE(2020,5,18))"),"Date")</f>
        <v>Date</v>
      </c>
      <c r="B6" s="9" t="str">
        <f>IFERROR(__xludf.DUMMYFUNCTION("""COMPUTED_VALUE"""),"Close")</f>
        <v>Close</v>
      </c>
      <c r="C6" s="72" t="s">
        <v>17</v>
      </c>
      <c r="D6" s="73" t="str">
        <f>IFERROR(__xludf.DUMMYFUNCTION("GOOGLEFINANCE($E6, ""name"")"),"NASDAQ-100")</f>
        <v>NASDAQ-100</v>
      </c>
      <c r="E6" s="74" t="s">
        <v>19</v>
      </c>
      <c r="F6" s="75">
        <v>50000.0</v>
      </c>
      <c r="G6" s="75">
        <v>50000.0</v>
      </c>
      <c r="H6" s="76">
        <f>round(G6/J7,2)</f>
        <v>5.66</v>
      </c>
      <c r="I6" s="78" t="str">
        <f>IFERROR(__xludf.DUMMYFUNCTION("GOOGLEFINANCE($E6,""price"",""5/4/2020"")"),"Date")</f>
        <v>Date</v>
      </c>
      <c r="J6" s="78" t="str">
        <f>IFERROR(__xludf.DUMMYFUNCTION("""COMPUTED_VALUE"""),"Close")</f>
        <v>Close</v>
      </c>
      <c r="K6" s="79" t="str">
        <f>IFERROR(__xludf.DUMMYFUNCTION("GOOGLEFINANCE($E6,""price"",""05/18/2020"")"),"Date")</f>
        <v>Date</v>
      </c>
      <c r="L6" s="78" t="str">
        <f>IFERROR(__xludf.DUMMYFUNCTION("""COMPUTED_VALUE"""),"Close")</f>
        <v>Close</v>
      </c>
      <c r="M6" s="80">
        <f>round(L7*H6,2)</f>
        <v>52818.72</v>
      </c>
      <c r="N6" s="25">
        <f>M6-G6</f>
        <v>2818.72</v>
      </c>
      <c r="O6" s="81">
        <f>M6-G6</f>
        <v>2818.72</v>
      </c>
      <c r="P6" s="26">
        <f> round(N6*100/F6,2)</f>
        <v>5.64</v>
      </c>
    </row>
    <row r="7">
      <c r="A7" s="19">
        <f>IFERROR(__xludf.DUMMYFUNCTION("""COMPUTED_VALUE"""),43969.99861111111)</f>
        <v>43969.99861</v>
      </c>
      <c r="B7" s="20">
        <f>IFERROR(__xludf.DUMMYFUNCTION("""COMPUTED_VALUE"""),1.09147)</f>
        <v>1.09147</v>
      </c>
      <c r="I7" s="82">
        <f>IFERROR(__xludf.DUMMYFUNCTION("""COMPUTED_VALUE"""),43955.66666666667)</f>
        <v>43955.66667</v>
      </c>
      <c r="J7" s="78">
        <f>IFERROR(__xludf.DUMMYFUNCTION("""COMPUTED_VALUE"""),8834.11)</f>
        <v>8834.11</v>
      </c>
      <c r="K7" s="82">
        <f>IFERROR(__xludf.DUMMYFUNCTION("""COMPUTED_VALUE"""),43969.66666666667)</f>
        <v>43969.66667</v>
      </c>
      <c r="L7" s="78">
        <f>IFERROR(__xludf.DUMMYFUNCTION("""COMPUTED_VALUE"""),9331.93)</f>
        <v>9331.93</v>
      </c>
    </row>
    <row r="8">
      <c r="A8" s="67" t="s">
        <v>20</v>
      </c>
      <c r="C8" s="72" t="s">
        <v>21</v>
      </c>
      <c r="D8" s="73" t="str">
        <f>IFERROR(__xludf.DUMMYFUNCTION("GOOGLEFINANCE(""indexdb:DAX"", ""name"")"),"DAX PERFORMANCE-INDEX")</f>
        <v>DAX PERFORMANCE-INDEX</v>
      </c>
      <c r="E8" s="74" t="s">
        <v>22</v>
      </c>
      <c r="F8" s="75">
        <v>50000.0</v>
      </c>
      <c r="G8" s="75">
        <f>50000/B5</f>
        <v>45854.31168</v>
      </c>
      <c r="H8" s="76">
        <f>round(G8/J9,2)</f>
        <v>4.38</v>
      </c>
      <c r="I8" s="83" t="str">
        <f>IFERROR(__xludf.DUMMYFUNCTION("GOOGLEFINANCE(""indexdb:DAX"",""price"",""5/4/2020"")"),"Date")</f>
        <v>Date</v>
      </c>
      <c r="J8" s="78" t="str">
        <f>IFERROR(__xludf.DUMMYFUNCTION("""COMPUTED_VALUE"""),"Close")</f>
        <v>Close</v>
      </c>
      <c r="K8" s="79" t="str">
        <f>IFERROR(__xludf.DUMMYFUNCTION("GOOGLEFINANCE(""indexdb:DAX"", ""price"",""05/18/2020"")"),"Date")</f>
        <v>Date</v>
      </c>
      <c r="L8" s="79" t="str">
        <f>IFERROR(__xludf.DUMMYFUNCTION("""COMPUTED_VALUE"""),"Close")</f>
        <v>Close</v>
      </c>
      <c r="M8" s="80">
        <f>round(L9*H8,2)</f>
        <v>48437.85</v>
      </c>
      <c r="N8" s="25">
        <f>O8*B7</f>
        <v>2819.854569</v>
      </c>
      <c r="O8" s="81">
        <f>M8-G8</f>
        <v>2583.538319</v>
      </c>
      <c r="P8" s="26">
        <f> round(N8*100/F8,2)</f>
        <v>5.64</v>
      </c>
    </row>
    <row r="9">
      <c r="A9" s="84" t="str">
        <f>IFERROR(__xludf.DUMMYFUNCTION("GOOGLEFINANCE(""currency:JPYUSD"", ""price"",DATE(2020,5,4))"),"Date")</f>
        <v>Date</v>
      </c>
      <c r="B9" s="84" t="str">
        <f>IFERROR(__xludf.DUMMYFUNCTION("""COMPUTED_VALUE"""),"Close")</f>
        <v>Close</v>
      </c>
      <c r="I9" s="82">
        <f>IFERROR(__xludf.DUMMYFUNCTION("""COMPUTED_VALUE"""),43955.83333333333)</f>
        <v>43955.83333</v>
      </c>
      <c r="J9" s="78">
        <f>IFERROR(__xludf.DUMMYFUNCTION("""COMPUTED_VALUE"""),10466.8)</f>
        <v>10466.8</v>
      </c>
      <c r="K9" s="85">
        <f>IFERROR(__xludf.DUMMYFUNCTION("""COMPUTED_VALUE"""),43969.83333333333)</f>
        <v>43969.83333</v>
      </c>
      <c r="L9" s="78">
        <f>IFERROR(__xludf.DUMMYFUNCTION("""COMPUTED_VALUE"""),11058.87)</f>
        <v>11058.87</v>
      </c>
    </row>
    <row r="10">
      <c r="A10" s="86">
        <f>IFERROR(__xludf.DUMMYFUNCTION("""COMPUTED_VALUE"""),43955.99861111111)</f>
        <v>43955.99861</v>
      </c>
      <c r="B10" s="84">
        <f>IFERROR(__xludf.DUMMYFUNCTION("""COMPUTED_VALUE"""),0.009372)</f>
        <v>0.009372</v>
      </c>
      <c r="C10" s="72" t="s">
        <v>23</v>
      </c>
      <c r="D10" s="73" t="str">
        <f>IFERROR(__xludf.DUMMYFUNCTION("GOOGLEFINANCE($E10, ""name"")"),"Nikkei 225")</f>
        <v>Nikkei 225</v>
      </c>
      <c r="E10" s="74" t="s">
        <v>24</v>
      </c>
      <c r="F10" s="75">
        <v>20000.0</v>
      </c>
      <c r="G10" s="75">
        <f>20000/B10</f>
        <v>2134016.219</v>
      </c>
      <c r="H10" s="76">
        <f>round(G10/J11,2)</f>
        <v>108.77</v>
      </c>
      <c r="I10" s="78" t="str">
        <f>IFERROR(__xludf.DUMMYFUNCTION("GOOGLEFINANCE($E10,""price"",""4/30/2020"")"),"Date")</f>
        <v>Date</v>
      </c>
      <c r="J10" s="78" t="str">
        <f>IFERROR(__xludf.DUMMYFUNCTION("""COMPUTED_VALUE"""),"Close")</f>
        <v>Close</v>
      </c>
      <c r="K10" s="79" t="str">
        <f>IFERROR(__xludf.DUMMYFUNCTION("GOOGLEFINANCE($E10,""price"",""05/17/2020"")"),"Date")</f>
        <v>Date</v>
      </c>
      <c r="L10" s="79" t="str">
        <f>IFERROR(__xludf.DUMMYFUNCTION("""COMPUTED_VALUE"""),"Close")</f>
        <v>Close</v>
      </c>
      <c r="M10" s="80">
        <f>round(L11*H10,2)</f>
        <v>2189945.81</v>
      </c>
      <c r="N10" s="25">
        <f>O10*B12</f>
        <v>520.8712787</v>
      </c>
      <c r="O10" s="81">
        <f>M10-G10</f>
        <v>55929.59148</v>
      </c>
      <c r="P10" s="26">
        <f> round(N10*100/F10,2)</f>
        <v>2.6</v>
      </c>
    </row>
    <row r="11">
      <c r="A11" s="84" t="str">
        <f>IFERROR(__xludf.DUMMYFUNCTION("GOOGLEFINANCE(""currency:JPYUSD"", ""price"",DATE(2020,5,18))"),"Date")</f>
        <v>Date</v>
      </c>
      <c r="B11" s="84" t="str">
        <f>IFERROR(__xludf.DUMMYFUNCTION("""COMPUTED_VALUE"""),"Close")</f>
        <v>Close</v>
      </c>
      <c r="I11" s="82">
        <f>IFERROR(__xludf.DUMMYFUNCTION("""COMPUTED_VALUE"""),43952.625)</f>
        <v>43952.625</v>
      </c>
      <c r="J11" s="78">
        <f>IFERROR(__xludf.DUMMYFUNCTION("""COMPUTED_VALUE"""),19619.35)</f>
        <v>19619.35</v>
      </c>
      <c r="K11" s="85">
        <f>IFERROR(__xludf.DUMMYFUNCTION("""COMPUTED_VALUE"""),43969.625)</f>
        <v>43969.625</v>
      </c>
      <c r="L11" s="78">
        <f>IFERROR(__xludf.DUMMYFUNCTION("""COMPUTED_VALUE"""),20133.73)</f>
        <v>20133.73</v>
      </c>
    </row>
    <row r="12">
      <c r="A12" s="86">
        <f>IFERROR(__xludf.DUMMYFUNCTION("""COMPUTED_VALUE"""),43969.99861111111)</f>
        <v>43969.99861</v>
      </c>
      <c r="B12" s="84">
        <f>IFERROR(__xludf.DUMMYFUNCTION("""COMPUTED_VALUE"""),0.009312982)</f>
        <v>0.009312982</v>
      </c>
      <c r="C12" s="72" t="s">
        <v>25</v>
      </c>
      <c r="D12" s="74" t="s">
        <v>26</v>
      </c>
      <c r="E12" s="87" t="s">
        <v>27</v>
      </c>
      <c r="F12" s="75">
        <v>20000.0</v>
      </c>
      <c r="G12" s="75">
        <f>20000/B15</f>
        <v>141250.0203</v>
      </c>
      <c r="H12" s="76">
        <f>round(G12/J13,2)</f>
        <v>49.38</v>
      </c>
      <c r="I12" s="79" t="s">
        <v>28</v>
      </c>
      <c r="J12" s="79" t="s">
        <v>29</v>
      </c>
      <c r="K12" s="79" t="s">
        <v>28</v>
      </c>
      <c r="L12" s="79" t="s">
        <v>29</v>
      </c>
      <c r="M12" s="80">
        <f>round(L13*H12,2)</f>
        <v>142035.15</v>
      </c>
      <c r="N12" s="25">
        <f>O12*B17</f>
        <v>110.4323388</v>
      </c>
      <c r="O12" s="81">
        <f>M12-G12</f>
        <v>785.1296953</v>
      </c>
      <c r="P12" s="26">
        <f> round(N12*100/F12,2)</f>
        <v>0.55</v>
      </c>
    </row>
    <row r="13">
      <c r="A13" s="67" t="s">
        <v>30</v>
      </c>
      <c r="I13" s="88">
        <v>43951.666666666664</v>
      </c>
      <c r="J13" s="79">
        <v>2860.41</v>
      </c>
      <c r="K13" s="85">
        <v>43969.625</v>
      </c>
      <c r="L13" s="79">
        <v>2876.37</v>
      </c>
    </row>
    <row r="14">
      <c r="A14" s="89" t="str">
        <f>IFERROR(__xludf.DUMMYFUNCTION("GOOGLEFINANCE(""currency:CNYUSD"", ""price"",DATE(2020,5,4))"),"Date")</f>
        <v>Date</v>
      </c>
      <c r="B14" s="84" t="str">
        <f>IFERROR(__xludf.DUMMYFUNCTION("""COMPUTED_VALUE"""),"Close")</f>
        <v>Close</v>
      </c>
      <c r="C14" s="72" t="s">
        <v>31</v>
      </c>
      <c r="D14" s="90" t="str">
        <f>IFERROR(__xludf.DUMMYFUNCTION("GOOGLEFINANCE($E14, ""name"")"),"S&amp;P GSCI Crude Oil ER")</f>
        <v>S&amp;P GSCI Crude Oil ER</v>
      </c>
      <c r="E14" s="74" t="s">
        <v>32</v>
      </c>
      <c r="F14" s="75">
        <v>10000.0</v>
      </c>
      <c r="G14" s="75">
        <v>10000.0</v>
      </c>
      <c r="H14" s="76">
        <f>round(G14/J15,2)</f>
        <v>268.82</v>
      </c>
      <c r="I14" s="79" t="s">
        <v>28</v>
      </c>
      <c r="J14" s="79" t="s">
        <v>29</v>
      </c>
      <c r="K14" s="79" t="s">
        <v>28</v>
      </c>
      <c r="L14" s="79" t="s">
        <v>29</v>
      </c>
      <c r="M14" s="80">
        <f>round(L15*H14,2)</f>
        <v>13384.55</v>
      </c>
      <c r="N14" s="91">
        <f>O14</f>
        <v>3384.55</v>
      </c>
      <c r="O14" s="81">
        <f>M14-G14</f>
        <v>3384.55</v>
      </c>
      <c r="P14" s="26">
        <f> round(N14*100/F14,2)</f>
        <v>33.85</v>
      </c>
    </row>
    <row r="15">
      <c r="A15" s="86">
        <f>IFERROR(__xludf.DUMMYFUNCTION("""COMPUTED_VALUE"""),43955.99861111111)</f>
        <v>43955.99861</v>
      </c>
      <c r="B15" s="84">
        <f>IFERROR(__xludf.DUMMYFUNCTION("""COMPUTED_VALUE"""),0.1415929)</f>
        <v>0.1415929</v>
      </c>
      <c r="I15" s="79" t="s">
        <v>33</v>
      </c>
      <c r="J15" s="79">
        <v>37.2</v>
      </c>
      <c r="K15" s="85">
        <v>43969.625</v>
      </c>
      <c r="L15" s="79">
        <v>49.79</v>
      </c>
    </row>
    <row r="16">
      <c r="A16" s="84" t="str">
        <f>IFERROR(__xludf.DUMMYFUNCTION("GOOGLEFINANCE(""currency:CNYUSD"", ""price"",DATE(2020,5,18))"),"Date")</f>
        <v>Date</v>
      </c>
      <c r="B16" s="84" t="str">
        <f>IFERROR(__xludf.DUMMYFUNCTION("""COMPUTED_VALUE"""),"Close")</f>
        <v>Close</v>
      </c>
      <c r="C16" s="72" t="s">
        <v>31</v>
      </c>
      <c r="D16" s="90" t="str">
        <f>IFERROR(__xludf.DUMMYFUNCTION("GOOGLEFINANCE($E16, ""name"")"),"S&amp;P GSCI Gold ER")</f>
        <v>S&amp;P GSCI Gold ER</v>
      </c>
      <c r="E16" s="74" t="s">
        <v>34</v>
      </c>
      <c r="F16" s="75">
        <v>50000.0</v>
      </c>
      <c r="G16" s="75">
        <v>50000.0</v>
      </c>
      <c r="H16" s="76">
        <f>round(G16/J17,2)</f>
        <v>382.18</v>
      </c>
      <c r="I16" s="79" t="s">
        <v>28</v>
      </c>
      <c r="J16" s="79" t="s">
        <v>29</v>
      </c>
      <c r="K16" s="79" t="s">
        <v>28</v>
      </c>
      <c r="L16" s="79" t="s">
        <v>29</v>
      </c>
      <c r="M16" s="80">
        <f>round(L17*H16,2)</f>
        <v>50638.85</v>
      </c>
      <c r="N16" s="91">
        <f>O16</f>
        <v>638.85</v>
      </c>
      <c r="O16" s="81">
        <f>M16-G16</f>
        <v>638.85</v>
      </c>
      <c r="P16" s="26">
        <f> round(N16*100/F16,2)</f>
        <v>1.28</v>
      </c>
    </row>
    <row r="17">
      <c r="A17" s="86">
        <f>IFERROR(__xludf.DUMMYFUNCTION("""COMPUTED_VALUE"""),43969.99861111111)</f>
        <v>43969.99861</v>
      </c>
      <c r="B17" s="84">
        <f>IFERROR(__xludf.DUMMYFUNCTION("""COMPUTED_VALUE"""),0.1406549)</f>
        <v>0.1406549</v>
      </c>
      <c r="I17" s="92">
        <v>43955.666666666664</v>
      </c>
      <c r="J17" s="79">
        <v>130.83</v>
      </c>
      <c r="K17" s="85">
        <v>43969.625</v>
      </c>
      <c r="L17" s="79">
        <v>132.5</v>
      </c>
    </row>
    <row r="18">
      <c r="A18" s="84"/>
      <c r="B18" s="84"/>
      <c r="C18" s="72" t="s">
        <v>35</v>
      </c>
      <c r="D18" s="90" t="str">
        <f>IFERROR(__xludf.DUMMYFUNCTION("GOOGLEFINANCE($E18, ""name"")"),"iShares Barclays 20+ Yr Treas.Bond")</f>
        <v>iShares Barclays 20+ Yr Treas.Bond</v>
      </c>
      <c r="E18" s="74" t="s">
        <v>36</v>
      </c>
      <c r="F18" s="75">
        <v>30000.0</v>
      </c>
      <c r="G18" s="75">
        <v>30000.0</v>
      </c>
      <c r="H18" s="76">
        <f>round(G18/J19,2)</f>
        <v>179.47</v>
      </c>
      <c r="I18" s="78" t="str">
        <f>IFERROR(__xludf.DUMMYFUNCTION("GOOGLEFINANCE($E18,""price"",""5/4/2020"")"),"Date")</f>
        <v>Date</v>
      </c>
      <c r="J18" s="78" t="str">
        <f>IFERROR(__xludf.DUMMYFUNCTION("""COMPUTED_VALUE"""),"Close")</f>
        <v>Close</v>
      </c>
      <c r="K18" s="78" t="str">
        <f>IFERROR(__xludf.DUMMYFUNCTION("GOOGLEFINANCE($E45,""price"",""05/18/2020"")"),"Date")</f>
        <v>Date</v>
      </c>
      <c r="L18" s="78" t="str">
        <f>IFERROR(__xludf.DUMMYFUNCTION("""COMPUTED_VALUE"""),"Close")</f>
        <v>Close</v>
      </c>
      <c r="M18" s="80">
        <f>round(L19*H18,2)</f>
        <v>29262.58</v>
      </c>
      <c r="N18" s="93">
        <f>O18</f>
        <v>-737.42</v>
      </c>
      <c r="O18" s="93">
        <f>M18-G18</f>
        <v>-737.42</v>
      </c>
      <c r="P18" s="35">
        <f> round(N18*100/F18,2)</f>
        <v>-2.46</v>
      </c>
    </row>
    <row r="19">
      <c r="A19" s="84"/>
      <c r="B19" s="84"/>
      <c r="I19" s="82">
        <f>IFERROR(__xludf.DUMMYFUNCTION("""COMPUTED_VALUE"""),43955.66666666667)</f>
        <v>43955.66667</v>
      </c>
      <c r="J19" s="78">
        <f>IFERROR(__xludf.DUMMYFUNCTION("""COMPUTED_VALUE"""),167.16)</f>
        <v>167.16</v>
      </c>
      <c r="K19" s="82">
        <f>IFERROR(__xludf.DUMMYFUNCTION("""COMPUTED_VALUE"""),43969.66666666667)</f>
        <v>43969.66667</v>
      </c>
      <c r="L19" s="78">
        <f>IFERROR(__xludf.DUMMYFUNCTION("""COMPUTED_VALUE"""),163.05)</f>
        <v>163.05</v>
      </c>
    </row>
    <row r="20">
      <c r="A20" s="84"/>
      <c r="B20" s="84"/>
      <c r="C20" s="72" t="s">
        <v>35</v>
      </c>
      <c r="D20" s="90" t="str">
        <f>IFERROR(__xludf.DUMMYFUNCTION("GOOGLEFINANCE($E20, ""name"")"),"iShares iBoxx $ High Yid Corp Bond")</f>
        <v>iShares iBoxx $ High Yid Corp Bond</v>
      </c>
      <c r="E20" s="74" t="s">
        <v>37</v>
      </c>
      <c r="F20" s="75">
        <v>20000.0</v>
      </c>
      <c r="G20" s="75">
        <v>20000.0</v>
      </c>
      <c r="H20" s="76">
        <f>round(G20/J21,2)</f>
        <v>254.55</v>
      </c>
      <c r="I20" s="78" t="str">
        <f>IFERROR(__xludf.DUMMYFUNCTION("GOOGLEFINANCE($E20,""price"",""5/4/2020"")"),"Date")</f>
        <v>Date</v>
      </c>
      <c r="J20" s="78" t="str">
        <f>IFERROR(__xludf.DUMMYFUNCTION("""COMPUTED_VALUE"""),"Close")</f>
        <v>Close</v>
      </c>
      <c r="K20" s="78" t="str">
        <f>IFERROR(__xludf.DUMMYFUNCTION("GOOGLEFINANCE($E47,""price"",""05/18/2020"")"),"Date")</f>
        <v>Date</v>
      </c>
      <c r="L20" s="78" t="str">
        <f>IFERROR(__xludf.DUMMYFUNCTION("""COMPUTED_VALUE"""),"Close")</f>
        <v>Close</v>
      </c>
      <c r="M20" s="80">
        <f>round(L21*H20,2)</f>
        <v>20389.46</v>
      </c>
      <c r="N20" s="94">
        <f>O20</f>
        <v>389.46</v>
      </c>
      <c r="O20" s="81">
        <f>M20-G20</f>
        <v>389.46</v>
      </c>
      <c r="P20" s="95">
        <f> round(N20*100/F20,2)</f>
        <v>1.95</v>
      </c>
    </row>
    <row r="21">
      <c r="A21" s="84"/>
      <c r="B21" s="84"/>
      <c r="I21" s="82">
        <f>IFERROR(__xludf.DUMMYFUNCTION("""COMPUTED_VALUE"""),43955.66666666667)</f>
        <v>43955.66667</v>
      </c>
      <c r="J21" s="78">
        <f>IFERROR(__xludf.DUMMYFUNCTION("""COMPUTED_VALUE"""),78.57)</f>
        <v>78.57</v>
      </c>
      <c r="K21" s="82">
        <f>IFERROR(__xludf.DUMMYFUNCTION("""COMPUTED_VALUE"""),43969.66666666667)</f>
        <v>43969.66667</v>
      </c>
      <c r="L21" s="78">
        <f>IFERROR(__xludf.DUMMYFUNCTION("""COMPUTED_VALUE"""),80.1)</f>
        <v>80.1</v>
      </c>
    </row>
    <row r="22">
      <c r="A22" s="84"/>
      <c r="B22" s="84"/>
      <c r="C22" s="72" t="s">
        <v>38</v>
      </c>
      <c r="D22" s="96" t="s">
        <v>38</v>
      </c>
      <c r="E22" s="74" t="s">
        <v>39</v>
      </c>
      <c r="F22" s="75">
        <v>700000.0</v>
      </c>
      <c r="G22" s="75">
        <v>700000.0</v>
      </c>
      <c r="H22" s="97" t="s">
        <v>39</v>
      </c>
      <c r="I22" s="79" t="s">
        <v>39</v>
      </c>
      <c r="K22" s="79" t="s">
        <v>39</v>
      </c>
      <c r="M22" s="72">
        <f>round(G22*(1+ 7/36500),2)</f>
        <v>700134.25</v>
      </c>
      <c r="N22" s="98">
        <v>134.0</v>
      </c>
      <c r="O22" s="81">
        <f>M22-G22</f>
        <v>134.25</v>
      </c>
      <c r="P22" s="95">
        <f> round(N22*100/F22,2)</f>
        <v>0.02</v>
      </c>
    </row>
    <row r="23">
      <c r="A23" s="84"/>
      <c r="B23" s="84"/>
    </row>
    <row r="24">
      <c r="A24" s="84"/>
      <c r="B24" s="84"/>
      <c r="C24" s="99" t="s">
        <v>40</v>
      </c>
      <c r="D24" s="100"/>
      <c r="E24" s="100"/>
      <c r="F24" s="101">
        <f>SUM(F4:F23)</f>
        <v>1000000</v>
      </c>
      <c r="G24" s="100"/>
      <c r="H24" s="100"/>
      <c r="I24" s="100"/>
      <c r="J24" s="100"/>
      <c r="K24" s="100"/>
      <c r="L24" s="100"/>
      <c r="M24" s="100"/>
      <c r="N24" s="102">
        <f>SUM(N4:N23)</f>
        <v>12038.59819</v>
      </c>
      <c r="O24" s="103"/>
      <c r="P24" s="103"/>
    </row>
    <row r="28">
      <c r="A28" s="1"/>
      <c r="B28" s="104"/>
      <c r="C28" s="1"/>
      <c r="D28" s="1"/>
      <c r="E28" s="1"/>
      <c r="F28" s="2" t="s">
        <v>41</v>
      </c>
      <c r="I28" s="1"/>
      <c r="J28" s="1"/>
      <c r="K28" s="1"/>
      <c r="L28" s="1"/>
      <c r="M28" s="1"/>
      <c r="N28" s="1"/>
      <c r="O28" s="1"/>
      <c r="P28" s="1"/>
    </row>
    <row r="29">
      <c r="A29" s="3" t="s">
        <v>1</v>
      </c>
      <c r="C29" s="4"/>
      <c r="D29" s="4"/>
      <c r="E29" s="4"/>
      <c r="F29" s="5" t="s">
        <v>42</v>
      </c>
      <c r="H29" s="4"/>
      <c r="I29" s="4"/>
      <c r="J29" s="4"/>
      <c r="K29" s="4"/>
      <c r="L29" s="4"/>
      <c r="M29" s="4"/>
      <c r="N29" s="5" t="s">
        <v>3</v>
      </c>
      <c r="P29" s="4"/>
    </row>
    <row r="30">
      <c r="A30" s="6" t="s">
        <v>4</v>
      </c>
      <c r="C30" s="7" t="s">
        <v>5</v>
      </c>
      <c r="D30" s="7" t="s">
        <v>6</v>
      </c>
      <c r="E30" s="7" t="s">
        <v>7</v>
      </c>
      <c r="F30" s="7" t="s">
        <v>8</v>
      </c>
      <c r="G30" s="7" t="s">
        <v>9</v>
      </c>
      <c r="H30" s="7" t="s">
        <v>10</v>
      </c>
      <c r="I30" s="8" t="s">
        <v>11</v>
      </c>
      <c r="K30" s="8" t="s">
        <v>12</v>
      </c>
      <c r="M30" s="7" t="s">
        <v>13</v>
      </c>
      <c r="N30" s="8" t="s">
        <v>14</v>
      </c>
      <c r="O30" s="7" t="s">
        <v>15</v>
      </c>
      <c r="P30" s="7" t="s">
        <v>16</v>
      </c>
    </row>
    <row r="31">
      <c r="A31" s="9" t="str">
        <f>IFERROR(__xludf.DUMMYFUNCTION("GOOGLEFINANCE(""currency:EURUSD"", ""price"",DATE(2020,5,11))"),"Date")</f>
        <v>Date</v>
      </c>
      <c r="B31" s="9" t="str">
        <f>IFERROR(__xludf.DUMMYFUNCTION("""COMPUTED_VALUE"""),"Close")</f>
        <v>Close</v>
      </c>
      <c r="C31" s="10" t="s">
        <v>17</v>
      </c>
      <c r="D31" s="11" t="str">
        <f>IFERROR(__xludf.DUMMYFUNCTION("GOOGLEFINANCE($E31, ""name"")"),"S&amp;P 500 Index")</f>
        <v>S&amp;P 500 Index</v>
      </c>
      <c r="E31" s="11" t="s">
        <v>18</v>
      </c>
      <c r="F31" s="12">
        <v>30000.0</v>
      </c>
      <c r="G31" s="12">
        <f>F31</f>
        <v>30000</v>
      </c>
      <c r="H31" s="13">
        <f>round((G31)/J32,2)</f>
        <v>10.24</v>
      </c>
      <c r="I31" s="14" t="str">
        <f>IFERROR(__xludf.DUMMYFUNCTION("GOOGLEFINANCE($E31,""price"",""5/11/2020"")"),"Date")</f>
        <v>Date</v>
      </c>
      <c r="J31" s="15" t="str">
        <f>IFERROR(__xludf.DUMMYFUNCTION("""COMPUTED_VALUE"""),"Close")</f>
        <v>Close</v>
      </c>
      <c r="K31" s="105" t="str">
        <f>IFERROR(__xludf.DUMMYFUNCTION("GOOGLEFINANCE($E4,""price"",""05/18/2020"")"),"Date")</f>
        <v>Date</v>
      </c>
      <c r="L31" s="78" t="str">
        <f>IFERROR(__xludf.DUMMYFUNCTION("""COMPUTED_VALUE"""),"Close")</f>
        <v>Close</v>
      </c>
      <c r="M31" s="16">
        <f>round(L32*H31,2)</f>
        <v>30248.04</v>
      </c>
      <c r="N31" s="25">
        <f>M31-G31</f>
        <v>248.04</v>
      </c>
      <c r="O31" s="25">
        <f>M31-G31</f>
        <v>248.04</v>
      </c>
      <c r="P31" s="26">
        <f> round(N31*100/F31,2)</f>
        <v>0.83</v>
      </c>
    </row>
    <row r="32">
      <c r="A32" s="19">
        <f>IFERROR(__xludf.DUMMYFUNCTION("""COMPUTED_VALUE"""),43962.99861111111)</f>
        <v>43962.99861</v>
      </c>
      <c r="B32" s="20">
        <f>IFERROR(__xludf.DUMMYFUNCTION("""COMPUTED_VALUE"""),1.08105)</f>
        <v>1.08105</v>
      </c>
      <c r="I32" s="21">
        <f>IFERROR(__xludf.DUMMYFUNCTION("""COMPUTED_VALUE"""),43962.66666666667)</f>
        <v>43962.66667</v>
      </c>
      <c r="J32" s="22">
        <f>IFERROR(__xludf.DUMMYFUNCTION("""COMPUTED_VALUE"""),2930.32)</f>
        <v>2930.32</v>
      </c>
      <c r="K32" s="82">
        <f>IFERROR(__xludf.DUMMYFUNCTION("""COMPUTED_VALUE"""),43969.66666666667)</f>
        <v>43969.66667</v>
      </c>
      <c r="L32" s="78">
        <f>IFERROR(__xludf.DUMMYFUNCTION("""COMPUTED_VALUE"""),2953.91)</f>
        <v>2953.91</v>
      </c>
    </row>
    <row r="33">
      <c r="A33" s="9" t="str">
        <f>IFERROR(__xludf.DUMMYFUNCTION("GOOGLEFINANCE(""currency:EURUSD"", ""price"",DATE(2020,5,18))"),"Date")</f>
        <v>Date</v>
      </c>
      <c r="B33" s="9" t="str">
        <f>IFERROR(__xludf.DUMMYFUNCTION("""COMPUTED_VALUE"""),"Close")</f>
        <v>Close</v>
      </c>
      <c r="C33" s="10" t="s">
        <v>17</v>
      </c>
      <c r="D33" s="11" t="str">
        <f>IFERROR(__xludf.DUMMYFUNCTION("GOOGLEFINANCE($E33, ""name"")"),"NASDAQ-100")</f>
        <v>NASDAQ-100</v>
      </c>
      <c r="E33" s="11" t="s">
        <v>19</v>
      </c>
      <c r="F33" s="12">
        <v>50000.0</v>
      </c>
      <c r="G33" s="12">
        <f>F33</f>
        <v>50000</v>
      </c>
      <c r="H33" s="13">
        <f>round((G33)/J34,2)</f>
        <v>5.38</v>
      </c>
      <c r="I33" s="15" t="str">
        <f>IFERROR(__xludf.DUMMYFUNCTION("GOOGLEFINANCE($E33,""price"",""5/11/2020"")"),"Date")</f>
        <v>Date</v>
      </c>
      <c r="J33" s="15" t="str">
        <f>IFERROR(__xludf.DUMMYFUNCTION("""COMPUTED_VALUE"""),"Close")</f>
        <v>Close</v>
      </c>
      <c r="K33" s="79" t="str">
        <f>IFERROR(__xludf.DUMMYFUNCTION("GOOGLEFINANCE($E6,""price"",""05/18/2020"")"),"Date")</f>
        <v>Date</v>
      </c>
      <c r="L33" s="78" t="str">
        <f>IFERROR(__xludf.DUMMYFUNCTION("""COMPUTED_VALUE"""),"Close")</f>
        <v>Close</v>
      </c>
      <c r="M33" s="16">
        <f>round(L34*H33,2)</f>
        <v>50205.78</v>
      </c>
      <c r="N33" s="25">
        <f>M33-G33</f>
        <v>205.78</v>
      </c>
      <c r="O33" s="25">
        <f>M33-G33</f>
        <v>205.78</v>
      </c>
      <c r="P33" s="26">
        <f> round(N33*100/F33,2)</f>
        <v>0.41</v>
      </c>
    </row>
    <row r="34">
      <c r="A34" s="19">
        <f>IFERROR(__xludf.DUMMYFUNCTION("""COMPUTED_VALUE"""),43969.99861111111)</f>
        <v>43969.99861</v>
      </c>
      <c r="B34" s="20">
        <f>IFERROR(__xludf.DUMMYFUNCTION("""COMPUTED_VALUE"""),1.09147)</f>
        <v>1.09147</v>
      </c>
      <c r="I34" s="21">
        <f>IFERROR(__xludf.DUMMYFUNCTION("""COMPUTED_VALUE"""),43962.66666666667)</f>
        <v>43962.66667</v>
      </c>
      <c r="J34" s="22">
        <f>IFERROR(__xludf.DUMMYFUNCTION("""COMPUTED_VALUE"""),9298.92)</f>
        <v>9298.92</v>
      </c>
      <c r="K34" s="82">
        <f>IFERROR(__xludf.DUMMYFUNCTION("""COMPUTED_VALUE"""),43969.66666666667)</f>
        <v>43969.66667</v>
      </c>
      <c r="L34" s="78">
        <f>IFERROR(__xludf.DUMMYFUNCTION("""COMPUTED_VALUE"""),9331.93)</f>
        <v>9331.93</v>
      </c>
    </row>
    <row r="35">
      <c r="A35" s="6" t="s">
        <v>20</v>
      </c>
      <c r="C35" s="10" t="s">
        <v>21</v>
      </c>
      <c r="D35" s="11" t="str">
        <f>IFERROR(__xludf.DUMMYFUNCTION("GOOGLEFINANCE(""indexdb:DAX"", ""name"")"),"DAX PERFORMANCE-INDEX")</f>
        <v>DAX PERFORMANCE-INDEX</v>
      </c>
      <c r="E35" s="11" t="s">
        <v>22</v>
      </c>
      <c r="F35" s="12">
        <v>30000.0</v>
      </c>
      <c r="G35" s="12">
        <f>F35/B32</f>
        <v>27750.79784</v>
      </c>
      <c r="H35" s="13">
        <f>round((G35)/J36,2)</f>
        <v>2.56</v>
      </c>
      <c r="I35" s="14" t="str">
        <f>IFERROR(__xludf.DUMMYFUNCTION("GOOGLEFINANCE(""indexdb:DAX"",""price"",""5/11/2020"")"),"Date")</f>
        <v>Date</v>
      </c>
      <c r="J35" s="15" t="str">
        <f>IFERROR(__xludf.DUMMYFUNCTION("""COMPUTED_VALUE"""),"Close")</f>
        <v>Close</v>
      </c>
      <c r="K35" s="106" t="str">
        <f>IFERROR(__xludf.DUMMYFUNCTION("GOOGLEFINANCE(""indexdb:DAX"", ""price"",""05/18/2020"")"),"Date")</f>
        <v>Date</v>
      </c>
      <c r="L35" s="79" t="str">
        <f>IFERROR(__xludf.DUMMYFUNCTION("""COMPUTED_VALUE"""),"Close")</f>
        <v>Close</v>
      </c>
      <c r="M35" s="16">
        <f>round(L36*H35,2)</f>
        <v>28310.71</v>
      </c>
      <c r="N35" s="25">
        <f>O35*B34</f>
        <v>611.1273303</v>
      </c>
      <c r="O35" s="25">
        <f>M35-G35</f>
        <v>559.9121646</v>
      </c>
      <c r="P35" s="26">
        <f> round(N35*100/F35,2)</f>
        <v>2.04</v>
      </c>
    </row>
    <row r="36">
      <c r="A36" s="9" t="str">
        <f>IFERROR(__xludf.DUMMYFUNCTION("GOOGLEFINANCE(""currency:JPYUSD"", ""price"",DATE(2020,5,11))"),"Date")</f>
        <v>Date</v>
      </c>
      <c r="B36" s="9" t="str">
        <f>IFERROR(__xludf.DUMMYFUNCTION("""COMPUTED_VALUE"""),"Close")</f>
        <v>Close</v>
      </c>
      <c r="I36" s="21">
        <f>IFERROR(__xludf.DUMMYFUNCTION("""COMPUTED_VALUE"""),43962.83333333333)</f>
        <v>43962.83333</v>
      </c>
      <c r="J36" s="22">
        <f>IFERROR(__xludf.DUMMYFUNCTION("""COMPUTED_VALUE"""),10824.99)</f>
        <v>10824.99</v>
      </c>
      <c r="K36" s="85">
        <f>IFERROR(__xludf.DUMMYFUNCTION("""COMPUTED_VALUE"""),43969.83333333333)</f>
        <v>43969.83333</v>
      </c>
      <c r="L36" s="78">
        <f>IFERROR(__xludf.DUMMYFUNCTION("""COMPUTED_VALUE"""),11058.87)</f>
        <v>11058.87</v>
      </c>
    </row>
    <row r="37">
      <c r="A37" s="19">
        <f>IFERROR(__xludf.DUMMYFUNCTION("""COMPUTED_VALUE"""),43962.99861111111)</f>
        <v>43962.99861</v>
      </c>
      <c r="B37" s="20">
        <f>IFERROR(__xludf.DUMMYFUNCTION("""COMPUTED_VALUE"""),0.009297)</f>
        <v>0.009297</v>
      </c>
      <c r="C37" s="10" t="s">
        <v>23</v>
      </c>
      <c r="D37" s="11" t="str">
        <f>IFERROR(__xludf.DUMMYFUNCTION("GOOGLEFINANCE($E37, ""name"")"),"Nikkei 225")</f>
        <v>Nikkei 225</v>
      </c>
      <c r="E37" s="11" t="s">
        <v>24</v>
      </c>
      <c r="F37" s="12">
        <v>40000.0</v>
      </c>
      <c r="G37" s="12">
        <f>60000/B37</f>
        <v>6453694.74</v>
      </c>
      <c r="H37" s="13">
        <f>round((G37)/J38,2)</f>
        <v>316.5</v>
      </c>
      <c r="I37" s="15" t="str">
        <f>IFERROR(__xludf.DUMMYFUNCTION("GOOGLEFINANCE($E37,""price"",""5/10/2020"")"),"Date")</f>
        <v>Date</v>
      </c>
      <c r="J37" s="15" t="str">
        <f>IFERROR(__xludf.DUMMYFUNCTION("""COMPUTED_VALUE"""),"Close")</f>
        <v>Close</v>
      </c>
      <c r="K37" s="106" t="str">
        <f>IFERROR(__xludf.DUMMYFUNCTION("GOOGLEFINANCE($E10,""price"",""05/17/2020"")"),"Date")</f>
        <v>Date</v>
      </c>
      <c r="L37" s="79" t="str">
        <f>IFERROR(__xludf.DUMMYFUNCTION("""COMPUTED_VALUE"""),"Close")</f>
        <v>Close</v>
      </c>
      <c r="M37" s="16">
        <f>round(L38*H37,2)</f>
        <v>6372325.55</v>
      </c>
      <c r="N37" s="34">
        <f>O37*B39</f>
        <v>-757.789804</v>
      </c>
      <c r="O37" s="34">
        <f>M37-G37</f>
        <v>-81369.19024</v>
      </c>
      <c r="P37" s="35">
        <f> round(N37*100/F37,2)</f>
        <v>-1.89</v>
      </c>
    </row>
    <row r="38">
      <c r="A38" s="9" t="str">
        <f>IFERROR(__xludf.DUMMYFUNCTION("GOOGLEFINANCE(""currency:JPYUSD"", ""price"",DATE(2020,5,18))"),"Date")</f>
        <v>Date</v>
      </c>
      <c r="B38" s="9" t="str">
        <f>IFERROR(__xludf.DUMMYFUNCTION("""COMPUTED_VALUE"""),"Close")</f>
        <v>Close</v>
      </c>
      <c r="I38" s="21">
        <f>IFERROR(__xludf.DUMMYFUNCTION("""COMPUTED_VALUE"""),43962.625)</f>
        <v>43962.625</v>
      </c>
      <c r="J38" s="22">
        <f>IFERROR(__xludf.DUMMYFUNCTION("""COMPUTED_VALUE"""),20390.66)</f>
        <v>20390.66</v>
      </c>
      <c r="K38" s="85">
        <f>IFERROR(__xludf.DUMMYFUNCTION("""COMPUTED_VALUE"""),43969.625)</f>
        <v>43969.625</v>
      </c>
      <c r="L38" s="78">
        <f>IFERROR(__xludf.DUMMYFUNCTION("""COMPUTED_VALUE"""),20133.73)</f>
        <v>20133.73</v>
      </c>
    </row>
    <row r="39">
      <c r="A39" s="19">
        <f>IFERROR(__xludf.DUMMYFUNCTION("""COMPUTED_VALUE"""),43969.99861111111)</f>
        <v>43969.99861</v>
      </c>
      <c r="B39" s="20">
        <f>IFERROR(__xludf.DUMMYFUNCTION("""COMPUTED_VALUE"""),0.009312982)</f>
        <v>0.009312982</v>
      </c>
      <c r="C39" s="10" t="s">
        <v>25</v>
      </c>
      <c r="D39" s="11" t="s">
        <v>26</v>
      </c>
      <c r="E39" s="24" t="s">
        <v>27</v>
      </c>
      <c r="F39" s="12">
        <v>30000.0</v>
      </c>
      <c r="G39" s="12">
        <f>50000/B42</f>
        <v>354950.0266</v>
      </c>
      <c r="H39" s="13">
        <f>round((G39)/J40,2)</f>
        <v>122.59</v>
      </c>
      <c r="I39" s="15" t="s">
        <v>28</v>
      </c>
      <c r="J39" s="15" t="s">
        <v>29</v>
      </c>
      <c r="K39" s="79" t="s">
        <v>28</v>
      </c>
      <c r="L39" s="79" t="s">
        <v>29</v>
      </c>
      <c r="M39" s="16">
        <f>round(L40*H39,2)</f>
        <v>352614.2</v>
      </c>
      <c r="N39" s="34">
        <f>O39*B44</f>
        <v>-328.5454548</v>
      </c>
      <c r="O39" s="34">
        <f>M39-G39</f>
        <v>-2335.826586</v>
      </c>
      <c r="P39" s="35">
        <f> round(N39*100/F39,2)</f>
        <v>-1.1</v>
      </c>
    </row>
    <row r="40">
      <c r="A40" s="107" t="s">
        <v>30</v>
      </c>
      <c r="I40" s="27">
        <v>43951.666666666664</v>
      </c>
      <c r="J40" s="22">
        <v>2895.51</v>
      </c>
      <c r="K40" s="85">
        <v>43969.625</v>
      </c>
      <c r="L40" s="79">
        <v>2876.37</v>
      </c>
    </row>
    <row r="41">
      <c r="A41" s="30" t="str">
        <f>IFERROR(__xludf.DUMMYFUNCTION("GOOGLEFINANCE(""currency:CNYUSD"", ""price"",DATE(2020,5,11))"),"Date")</f>
        <v>Date</v>
      </c>
      <c r="B41" s="9" t="str">
        <f>IFERROR(__xludf.DUMMYFUNCTION("""COMPUTED_VALUE"""),"Close")</f>
        <v>Close</v>
      </c>
      <c r="C41" s="10" t="s">
        <v>31</v>
      </c>
      <c r="D41" s="31" t="str">
        <f>IFERROR(__xludf.DUMMYFUNCTION("GOOGLEFINANCE($E41, ""name"")"),"S&amp;P GSCI Crude Oil ER")</f>
        <v>S&amp;P GSCI Crude Oil ER</v>
      </c>
      <c r="E41" s="11" t="s">
        <v>32</v>
      </c>
      <c r="F41" s="12">
        <v>20000.0</v>
      </c>
      <c r="G41" s="12">
        <f>F41</f>
        <v>20000</v>
      </c>
      <c r="H41" s="13">
        <f>round((G41)/J42,2)</f>
        <v>488.76</v>
      </c>
      <c r="I41" s="15" t="s">
        <v>28</v>
      </c>
      <c r="J41" s="15" t="s">
        <v>29</v>
      </c>
      <c r="K41" s="15" t="s">
        <v>28</v>
      </c>
      <c r="L41" s="15" t="s">
        <v>29</v>
      </c>
      <c r="M41" s="16">
        <f>round(L42*H41,2)</f>
        <v>24335.36</v>
      </c>
      <c r="N41" s="17">
        <f>O41</f>
        <v>4335.36</v>
      </c>
      <c r="O41" s="17">
        <f>M41-G41</f>
        <v>4335.36</v>
      </c>
      <c r="P41" s="18">
        <f> round(N41*100/F41,2)</f>
        <v>21.68</v>
      </c>
    </row>
    <row r="42">
      <c r="A42" s="19">
        <f>IFERROR(__xludf.DUMMYFUNCTION("""COMPUTED_VALUE"""),43962.99861111111)</f>
        <v>43962.99861</v>
      </c>
      <c r="B42" s="20">
        <f>IFERROR(__xludf.DUMMYFUNCTION("""COMPUTED_VALUE"""),0.1408649)</f>
        <v>0.1408649</v>
      </c>
      <c r="I42" s="23">
        <v>43962.666666666664</v>
      </c>
      <c r="J42" s="22">
        <v>40.92</v>
      </c>
      <c r="K42" s="55">
        <v>43969.625</v>
      </c>
      <c r="L42" s="53">
        <v>49.79</v>
      </c>
    </row>
    <row r="43">
      <c r="A43" s="9" t="str">
        <f>IFERROR(__xludf.DUMMYFUNCTION("GOOGLEFINANCE(""currency:CNYUSD"", ""price"",DATE(2020,5,18))"),"Date")</f>
        <v>Date</v>
      </c>
      <c r="B43" s="9" t="str">
        <f>IFERROR(__xludf.DUMMYFUNCTION("""COMPUTED_VALUE"""),"Close")</f>
        <v>Close</v>
      </c>
      <c r="C43" s="10" t="s">
        <v>31</v>
      </c>
      <c r="D43" s="31" t="str">
        <f>IFERROR(__xludf.DUMMYFUNCTION("GOOGLEFINANCE($E43, ""name"")"),"S&amp;P GSCI Gold ER")</f>
        <v>S&amp;P GSCI Gold ER</v>
      </c>
      <c r="E43" s="11" t="s">
        <v>34</v>
      </c>
      <c r="F43" s="12">
        <v>0.0</v>
      </c>
      <c r="G43" s="12">
        <f>F43</f>
        <v>0</v>
      </c>
      <c r="H43" s="13">
        <f>round((G43)/J44,2)</f>
        <v>0</v>
      </c>
      <c r="I43" s="15" t="s">
        <v>28</v>
      </c>
      <c r="J43" s="15" t="s">
        <v>29</v>
      </c>
      <c r="K43" s="15" t="s">
        <v>28</v>
      </c>
      <c r="L43" s="15" t="s">
        <v>29</v>
      </c>
      <c r="M43" s="16">
        <f>round(L44*H43,2)</f>
        <v>0</v>
      </c>
      <c r="N43" s="17">
        <f>O43</f>
        <v>0</v>
      </c>
      <c r="O43" s="17">
        <f>M43-G43</f>
        <v>0</v>
      </c>
      <c r="P43" s="18">
        <v>0.0</v>
      </c>
    </row>
    <row r="44">
      <c r="A44" s="19">
        <f>IFERROR(__xludf.DUMMYFUNCTION("""COMPUTED_VALUE"""),43969.99861111111)</f>
        <v>43969.99861</v>
      </c>
      <c r="B44" s="20">
        <f>IFERROR(__xludf.DUMMYFUNCTION("""COMPUTED_VALUE"""),0.1406549)</f>
        <v>0.1406549</v>
      </c>
      <c r="I44" s="21">
        <v>43955.666666666664</v>
      </c>
      <c r="J44" s="22">
        <v>130.83</v>
      </c>
      <c r="K44" s="55">
        <v>43969.625</v>
      </c>
      <c r="L44" s="53">
        <v>132.5</v>
      </c>
    </row>
    <row r="45">
      <c r="A45" s="9"/>
      <c r="B45" s="9"/>
      <c r="C45" s="10" t="s">
        <v>35</v>
      </c>
      <c r="D45" s="31" t="str">
        <f>IFERROR(__xludf.DUMMYFUNCTION("GOOGLEFINANCE($E45, ""name"")"),"iShares Barclays 20+ Yr Treas.Bond")</f>
        <v>iShares Barclays 20+ Yr Treas.Bond</v>
      </c>
      <c r="E45" s="11" t="s">
        <v>36</v>
      </c>
      <c r="F45" s="12">
        <v>0.0</v>
      </c>
      <c r="G45" s="12">
        <f>F45</f>
        <v>0</v>
      </c>
      <c r="H45" s="13">
        <f>round((G45)/J46,2)</f>
        <v>0</v>
      </c>
      <c r="I45" s="15" t="str">
        <f>IFERROR(__xludf.DUMMYFUNCTION("GOOGLEFINANCE($E45,""price"",""5/4/2020"")"),"Date")</f>
        <v>Date</v>
      </c>
      <c r="J45" s="15" t="str">
        <f>IFERROR(__xludf.DUMMYFUNCTION("""COMPUTED_VALUE"""),"Close")</f>
        <v>Close</v>
      </c>
      <c r="K45" s="15" t="str">
        <f>IFERROR(__xludf.DUMMYFUNCTION("GOOGLEFINANCE($E45,""price"",""05/18/2020"")"),"Date")</f>
        <v>Date</v>
      </c>
      <c r="L45" s="15" t="str">
        <f>IFERROR(__xludf.DUMMYFUNCTION("""COMPUTED_VALUE"""),"Close")</f>
        <v>Close</v>
      </c>
      <c r="M45" s="16">
        <f>round(L46*H45,2)</f>
        <v>0</v>
      </c>
      <c r="N45" s="25">
        <f>O45</f>
        <v>0</v>
      </c>
      <c r="O45" s="25">
        <f>M45-G45</f>
        <v>0</v>
      </c>
      <c r="P45" s="26">
        <v>0.0</v>
      </c>
    </row>
    <row r="46">
      <c r="A46" s="9"/>
      <c r="B46" s="9"/>
      <c r="I46" s="21">
        <f>IFERROR(__xludf.DUMMYFUNCTION("""COMPUTED_VALUE"""),43955.66666666667)</f>
        <v>43955.66667</v>
      </c>
      <c r="J46" s="22">
        <f>IFERROR(__xludf.DUMMYFUNCTION("""COMPUTED_VALUE"""),167.16)</f>
        <v>167.16</v>
      </c>
      <c r="K46" s="21">
        <f>IFERROR(__xludf.DUMMYFUNCTION("""COMPUTED_VALUE"""),43969.66666666667)</f>
        <v>43969.66667</v>
      </c>
      <c r="L46" s="22">
        <f>IFERROR(__xludf.DUMMYFUNCTION("""COMPUTED_VALUE"""),163.05)</f>
        <v>163.05</v>
      </c>
    </row>
    <row r="47">
      <c r="A47" s="9"/>
      <c r="B47" s="9"/>
      <c r="C47" s="10" t="s">
        <v>35</v>
      </c>
      <c r="D47" s="31" t="str">
        <f>IFERROR(__xludf.DUMMYFUNCTION("GOOGLEFINANCE($E47, ""name"")"),"iShares iBoxx $ High Yid Corp Bond")</f>
        <v>iShares iBoxx $ High Yid Corp Bond</v>
      </c>
      <c r="E47" s="11" t="s">
        <v>37</v>
      </c>
      <c r="F47" s="12">
        <v>10000.0</v>
      </c>
      <c r="G47" s="12">
        <f>F47</f>
        <v>10000</v>
      </c>
      <c r="H47" s="13">
        <f>round((G47)/J48,2)</f>
        <v>125.96</v>
      </c>
      <c r="I47" s="15" t="str">
        <f>IFERROR(__xludf.DUMMYFUNCTION("GOOGLEFINANCE($E47,""price"",""5/11/2020"")"),"Date")</f>
        <v>Date</v>
      </c>
      <c r="J47" s="15" t="str">
        <f>IFERROR(__xludf.DUMMYFUNCTION("""COMPUTED_VALUE"""),"Close")</f>
        <v>Close</v>
      </c>
      <c r="K47" s="15" t="str">
        <f>IFERROR(__xludf.DUMMYFUNCTION("GOOGLEFINANCE($E47,""price"",""05/18/2020"")"),"Date")</f>
        <v>Date</v>
      </c>
      <c r="L47" s="15" t="str">
        <f>IFERROR(__xludf.DUMMYFUNCTION("""COMPUTED_VALUE"""),"Close")</f>
        <v>Close</v>
      </c>
      <c r="M47" s="16">
        <f>round(L48*H47,2)</f>
        <v>10089.4</v>
      </c>
      <c r="N47" s="25">
        <f>O47</f>
        <v>89.4</v>
      </c>
      <c r="O47" s="25">
        <f>M47-G47</f>
        <v>89.4</v>
      </c>
      <c r="P47" s="95">
        <f> round(N47*100/F47,2)</f>
        <v>0.89</v>
      </c>
    </row>
    <row r="48">
      <c r="A48" s="9"/>
      <c r="B48" s="9"/>
      <c r="I48" s="21">
        <f>IFERROR(__xludf.DUMMYFUNCTION("""COMPUTED_VALUE"""),43962.66666666667)</f>
        <v>43962.66667</v>
      </c>
      <c r="J48" s="22">
        <f>IFERROR(__xludf.DUMMYFUNCTION("""COMPUTED_VALUE"""),79.39)</f>
        <v>79.39</v>
      </c>
      <c r="K48" s="21">
        <f>IFERROR(__xludf.DUMMYFUNCTION("""COMPUTED_VALUE"""),43969.66666666667)</f>
        <v>43969.66667</v>
      </c>
      <c r="L48" s="22">
        <f>IFERROR(__xludf.DUMMYFUNCTION("""COMPUTED_VALUE"""),80.1)</f>
        <v>80.1</v>
      </c>
    </row>
    <row r="49">
      <c r="A49" s="9"/>
      <c r="B49" s="9"/>
      <c r="C49" s="10" t="s">
        <v>38</v>
      </c>
      <c r="D49" s="37" t="s">
        <v>38</v>
      </c>
      <c r="E49" s="11" t="s">
        <v>39</v>
      </c>
      <c r="F49" s="12">
        <v>497008.0</v>
      </c>
      <c r="G49" s="12">
        <f>F49</f>
        <v>497008</v>
      </c>
      <c r="H49" s="38" t="s">
        <v>39</v>
      </c>
      <c r="I49" s="15" t="s">
        <v>39</v>
      </c>
      <c r="K49" s="15" t="s">
        <v>39</v>
      </c>
      <c r="M49" s="16">
        <f>round(G49*(1+ 7/36500),2)</f>
        <v>497103.32</v>
      </c>
      <c r="N49" s="17">
        <f>O49</f>
        <v>95.32</v>
      </c>
      <c r="O49" s="17">
        <f>M49-G49</f>
        <v>95.32</v>
      </c>
      <c r="P49" s="36">
        <f> round(N49*100/F49,2)</f>
        <v>0.02</v>
      </c>
    </row>
    <row r="50">
      <c r="A50" s="9"/>
      <c r="B50" s="9"/>
    </row>
    <row r="51">
      <c r="A51" s="9"/>
      <c r="B51" s="9"/>
      <c r="C51" s="39" t="s">
        <v>40</v>
      </c>
      <c r="D51" s="40"/>
      <c r="E51" s="40"/>
      <c r="F51" s="38"/>
      <c r="G51" s="40"/>
      <c r="H51" s="40"/>
      <c r="I51" s="40"/>
      <c r="J51" s="40"/>
      <c r="K51" s="40"/>
      <c r="L51" s="40"/>
      <c r="M51" s="40"/>
      <c r="N51" s="42">
        <f>SUM(N31:N50)</f>
        <v>4498.692071</v>
      </c>
      <c r="O51" s="43"/>
      <c r="P51" s="43"/>
    </row>
    <row r="53">
      <c r="I53" s="57" t="s">
        <v>46</v>
      </c>
      <c r="K53" s="58">
        <f> N24 + N51 - 'EOW 1'!M26</f>
        <v>9529.216132</v>
      </c>
    </row>
    <row r="54">
      <c r="I54" s="59" t="s">
        <v>47</v>
      </c>
      <c r="K54" s="60">
        <f>-210000*0.05*0.01</f>
        <v>-105</v>
      </c>
    </row>
    <row r="55">
      <c r="I55" s="61" t="s">
        <v>48</v>
      </c>
      <c r="K55" s="17">
        <f> F24 + N24 + N51 + K54</f>
        <v>1016432.29</v>
      </c>
    </row>
  </sheetData>
  <mergeCells count="225">
    <mergeCell ref="D45:D46"/>
    <mergeCell ref="E45:E46"/>
    <mergeCell ref="C47:C48"/>
    <mergeCell ref="D47:D48"/>
    <mergeCell ref="E47:E48"/>
    <mergeCell ref="C49:C50"/>
    <mergeCell ref="D49:D50"/>
    <mergeCell ref="E49:E50"/>
    <mergeCell ref="F45:F46"/>
    <mergeCell ref="G45:G46"/>
    <mergeCell ref="F47:F48"/>
    <mergeCell ref="G47:G48"/>
    <mergeCell ref="H47:H48"/>
    <mergeCell ref="F49:F50"/>
    <mergeCell ref="G49:G50"/>
    <mergeCell ref="F39:F40"/>
    <mergeCell ref="G39:G40"/>
    <mergeCell ref="C37:C38"/>
    <mergeCell ref="D37:D38"/>
    <mergeCell ref="E37:E38"/>
    <mergeCell ref="F37:F38"/>
    <mergeCell ref="G37:G38"/>
    <mergeCell ref="H37:H38"/>
    <mergeCell ref="H39:H40"/>
    <mergeCell ref="C39:C40"/>
    <mergeCell ref="C41:C42"/>
    <mergeCell ref="D41:D42"/>
    <mergeCell ref="E41:E42"/>
    <mergeCell ref="F41:F42"/>
    <mergeCell ref="G41:G42"/>
    <mergeCell ref="H41:H42"/>
    <mergeCell ref="C43:C44"/>
    <mergeCell ref="D43:D44"/>
    <mergeCell ref="E43:E44"/>
    <mergeCell ref="F43:F44"/>
    <mergeCell ref="G43:G44"/>
    <mergeCell ref="H43:H44"/>
    <mergeCell ref="C45:C46"/>
    <mergeCell ref="H45:H46"/>
    <mergeCell ref="O47:O48"/>
    <mergeCell ref="P47:P48"/>
    <mergeCell ref="H49:H50"/>
    <mergeCell ref="I49:J50"/>
    <mergeCell ref="K49:L50"/>
    <mergeCell ref="M49:M50"/>
    <mergeCell ref="N49:N50"/>
    <mergeCell ref="O49:O50"/>
    <mergeCell ref="P49:P50"/>
    <mergeCell ref="I53:J53"/>
    <mergeCell ref="I54:J54"/>
    <mergeCell ref="I55:J55"/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K22:L23"/>
    <mergeCell ref="M22:M23"/>
    <mergeCell ref="N22:N23"/>
    <mergeCell ref="O22:O23"/>
    <mergeCell ref="P22:P23"/>
    <mergeCell ref="C22:C23"/>
    <mergeCell ref="D22:D23"/>
    <mergeCell ref="E22:E23"/>
    <mergeCell ref="F22:F23"/>
    <mergeCell ref="G22:G23"/>
    <mergeCell ref="H22:H23"/>
    <mergeCell ref="I22:J23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F28:H28"/>
    <mergeCell ref="A29:B29"/>
    <mergeCell ref="F29:G29"/>
    <mergeCell ref="N29:O29"/>
    <mergeCell ref="A30:B30"/>
    <mergeCell ref="I30:J30"/>
    <mergeCell ref="K30:L30"/>
    <mergeCell ref="N31:N32"/>
    <mergeCell ref="O31:O32"/>
    <mergeCell ref="P31:P32"/>
    <mergeCell ref="C31:C32"/>
    <mergeCell ref="D31:D32"/>
    <mergeCell ref="E31:E32"/>
    <mergeCell ref="F31:F32"/>
    <mergeCell ref="G31:G32"/>
    <mergeCell ref="H31:H32"/>
    <mergeCell ref="M31:M32"/>
    <mergeCell ref="D33:D34"/>
    <mergeCell ref="E33:E34"/>
    <mergeCell ref="F33:F34"/>
    <mergeCell ref="G33:G34"/>
    <mergeCell ref="H33:H34"/>
    <mergeCell ref="M33:M34"/>
    <mergeCell ref="A35:B35"/>
    <mergeCell ref="C33:C34"/>
    <mergeCell ref="C35:C36"/>
    <mergeCell ref="D35:D36"/>
    <mergeCell ref="E35:E36"/>
    <mergeCell ref="F35:F36"/>
    <mergeCell ref="G35:G36"/>
    <mergeCell ref="H35:H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M35:M36"/>
    <mergeCell ref="N35:N36"/>
    <mergeCell ref="O35:O36"/>
    <mergeCell ref="P35:P36"/>
    <mergeCell ref="D39:D40"/>
    <mergeCell ref="E39:E40"/>
    <mergeCell ref="A40:B40"/>
    <mergeCell ref="M41:M42"/>
    <mergeCell ref="N41:N42"/>
    <mergeCell ref="O41:O42"/>
    <mergeCell ref="P41:P42"/>
    <mergeCell ref="N43:N44"/>
    <mergeCell ref="O43:O44"/>
    <mergeCell ref="P43:P44"/>
    <mergeCell ref="M43:M44"/>
    <mergeCell ref="M45:M46"/>
    <mergeCell ref="N45:N46"/>
    <mergeCell ref="O45:O46"/>
    <mergeCell ref="P45:P46"/>
    <mergeCell ref="M47:M48"/>
    <mergeCell ref="N47:N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2"/>
      <c r="B1" s="62"/>
      <c r="C1" s="62"/>
      <c r="D1" s="62"/>
      <c r="E1" s="62"/>
      <c r="F1" s="63" t="s">
        <v>0</v>
      </c>
      <c r="I1" s="62"/>
      <c r="J1" s="62"/>
      <c r="K1" s="62"/>
      <c r="L1" s="62"/>
      <c r="M1" s="62"/>
      <c r="N1" s="62"/>
      <c r="O1" s="62"/>
      <c r="P1" s="62"/>
    </row>
    <row r="2">
      <c r="A2" s="64" t="s">
        <v>1</v>
      </c>
      <c r="C2" s="65"/>
      <c r="D2" s="65"/>
      <c r="E2" s="65"/>
      <c r="F2" s="66" t="s">
        <v>2</v>
      </c>
      <c r="H2" s="65"/>
      <c r="I2" s="65"/>
      <c r="J2" s="65"/>
      <c r="K2" s="65"/>
      <c r="L2" s="65"/>
      <c r="M2" s="65"/>
      <c r="N2" s="66" t="s">
        <v>3</v>
      </c>
      <c r="P2" s="65"/>
    </row>
    <row r="3">
      <c r="A3" s="67" t="s">
        <v>4</v>
      </c>
      <c r="C3" s="68" t="s">
        <v>5</v>
      </c>
      <c r="D3" s="68" t="s">
        <v>6</v>
      </c>
      <c r="E3" s="68" t="s">
        <v>7</v>
      </c>
      <c r="F3" s="68" t="s">
        <v>8</v>
      </c>
      <c r="G3" s="68" t="s">
        <v>9</v>
      </c>
      <c r="H3" s="68" t="s">
        <v>10</v>
      </c>
      <c r="I3" s="69" t="s">
        <v>11</v>
      </c>
      <c r="K3" s="69" t="s">
        <v>12</v>
      </c>
      <c r="M3" s="68" t="s">
        <v>13</v>
      </c>
      <c r="N3" s="70" t="s">
        <v>14</v>
      </c>
      <c r="O3" s="68" t="s">
        <v>15</v>
      </c>
      <c r="P3" s="71" t="s">
        <v>16</v>
      </c>
    </row>
    <row r="4">
      <c r="A4" s="9" t="str">
        <f>IFERROR(__xludf.DUMMYFUNCTION("GOOGLEFINANCE(""currency:EURUSD"", ""price"",DATE(2020,5,4))"),"Date")</f>
        <v>Date</v>
      </c>
      <c r="B4" s="9" t="str">
        <f>IFERROR(__xludf.DUMMYFUNCTION("""COMPUTED_VALUE"""),"Close")</f>
        <v>Close</v>
      </c>
      <c r="C4" s="72" t="s">
        <v>17</v>
      </c>
      <c r="D4" s="73" t="str">
        <f>IFERROR(__xludf.DUMMYFUNCTION("GOOGLEFINANCE($E4, ""name"")"),"S&amp;P 500 Index")</f>
        <v>S&amp;P 500 Index</v>
      </c>
      <c r="E4" s="74" t="s">
        <v>18</v>
      </c>
      <c r="F4" s="75">
        <v>50000.0</v>
      </c>
      <c r="G4" s="75">
        <v>50000.0</v>
      </c>
      <c r="H4" s="76">
        <f>round(G4/J5,2)</f>
        <v>17.59</v>
      </c>
      <c r="I4" s="77" t="str">
        <f>IFERROR(__xludf.DUMMYFUNCTION("GOOGLEFINANCE($E4,""price"",""5/4/2020"")"),"Date")</f>
        <v>Date</v>
      </c>
      <c r="J4" s="78" t="str">
        <f>IFERROR(__xludf.DUMMYFUNCTION("""COMPUTED_VALUE"""),"Close")</f>
        <v>Close</v>
      </c>
      <c r="K4" s="78" t="str">
        <f>IFERROR(__xludf.DUMMYFUNCTION("GOOGLEFINANCE($E4,""price"",""05/11/2020"")"),"Date")</f>
        <v>Date</v>
      </c>
      <c r="L4" s="78" t="str">
        <f>IFERROR(__xludf.DUMMYFUNCTION("""COMPUTED_VALUE"""),"Close")</f>
        <v>Close</v>
      </c>
      <c r="M4" s="80">
        <f>round(L5*H4,2)</f>
        <v>51544.33</v>
      </c>
      <c r="N4" s="25">
        <f>M4-G4</f>
        <v>1544.33</v>
      </c>
      <c r="O4" s="81">
        <f>M4-G4</f>
        <v>1544.33</v>
      </c>
      <c r="P4" s="26">
        <f> round(N4*100/F4,2)</f>
        <v>3.09</v>
      </c>
    </row>
    <row r="5">
      <c r="A5" s="19">
        <f>IFERROR(__xludf.DUMMYFUNCTION("""COMPUTED_VALUE"""),43955.99861111111)</f>
        <v>43955.99861</v>
      </c>
      <c r="B5" s="20">
        <f>IFERROR(__xludf.DUMMYFUNCTION("""COMPUTED_VALUE"""),1.09041)</f>
        <v>1.09041</v>
      </c>
      <c r="I5" s="82">
        <f>IFERROR(__xludf.DUMMYFUNCTION("""COMPUTED_VALUE"""),43955.66666666667)</f>
        <v>43955.66667</v>
      </c>
      <c r="J5" s="78">
        <f>IFERROR(__xludf.DUMMYFUNCTION("""COMPUTED_VALUE"""),2842.74)</f>
        <v>2842.74</v>
      </c>
      <c r="K5" s="82">
        <f>IFERROR(__xludf.DUMMYFUNCTION("""COMPUTED_VALUE"""),43962.66666666667)</f>
        <v>43962.66667</v>
      </c>
      <c r="L5" s="78">
        <f>IFERROR(__xludf.DUMMYFUNCTION("""COMPUTED_VALUE"""),2930.32)</f>
        <v>2930.32</v>
      </c>
    </row>
    <row r="6">
      <c r="A6" s="9" t="str">
        <f>IFERROR(__xludf.DUMMYFUNCTION("GOOGLEFINANCE(""currency:EURUSD"", ""price"",DATE(2020,5,11))"),"Date")</f>
        <v>Date</v>
      </c>
      <c r="B6" s="9" t="str">
        <f>IFERROR(__xludf.DUMMYFUNCTION("""COMPUTED_VALUE"""),"Close")</f>
        <v>Close</v>
      </c>
      <c r="C6" s="72" t="s">
        <v>17</v>
      </c>
      <c r="D6" s="73" t="str">
        <f>IFERROR(__xludf.DUMMYFUNCTION("GOOGLEFINANCE($E6, ""name"")"),"NASDAQ-100")</f>
        <v>NASDAQ-100</v>
      </c>
      <c r="E6" s="74" t="s">
        <v>19</v>
      </c>
      <c r="F6" s="75">
        <v>50000.0</v>
      </c>
      <c r="G6" s="75">
        <v>50000.0</v>
      </c>
      <c r="H6" s="76">
        <f>round(G6/J7,2)</f>
        <v>5.66</v>
      </c>
      <c r="I6" s="78" t="str">
        <f>IFERROR(__xludf.DUMMYFUNCTION("GOOGLEFINANCE($E6,""price"",""5/4/2020"")"),"Date")</f>
        <v>Date</v>
      </c>
      <c r="J6" s="78" t="str">
        <f>IFERROR(__xludf.DUMMYFUNCTION("""COMPUTED_VALUE"""),"Close")</f>
        <v>Close</v>
      </c>
      <c r="K6" s="78" t="str">
        <f>IFERROR(__xludf.DUMMYFUNCTION("GOOGLEFINANCE($E6,""price"",""05/11/2020"")"),"Date")</f>
        <v>Date</v>
      </c>
      <c r="L6" s="78" t="str">
        <f>IFERROR(__xludf.DUMMYFUNCTION("""COMPUTED_VALUE"""),"Close")</f>
        <v>Close</v>
      </c>
      <c r="M6" s="80">
        <f>round(L7*H6,2)</f>
        <v>52631.89</v>
      </c>
      <c r="N6" s="25">
        <f>M6-G6</f>
        <v>2631.89</v>
      </c>
      <c r="O6" s="81">
        <f>M6-G6</f>
        <v>2631.89</v>
      </c>
      <c r="P6" s="26">
        <f> round(N6*100/F6,2)</f>
        <v>5.26</v>
      </c>
    </row>
    <row r="7">
      <c r="A7" s="19">
        <f>IFERROR(__xludf.DUMMYFUNCTION("""COMPUTED_VALUE"""),43962.99861111111)</f>
        <v>43962.99861</v>
      </c>
      <c r="B7" s="20">
        <f>IFERROR(__xludf.DUMMYFUNCTION("""COMPUTED_VALUE"""),1.08105)</f>
        <v>1.08105</v>
      </c>
      <c r="I7" s="82">
        <f>IFERROR(__xludf.DUMMYFUNCTION("""COMPUTED_VALUE"""),43955.66666666667)</f>
        <v>43955.66667</v>
      </c>
      <c r="J7" s="78">
        <f>IFERROR(__xludf.DUMMYFUNCTION("""COMPUTED_VALUE"""),8834.11)</f>
        <v>8834.11</v>
      </c>
      <c r="K7" s="82">
        <f>IFERROR(__xludf.DUMMYFUNCTION("""COMPUTED_VALUE"""),43962.66666666667)</f>
        <v>43962.66667</v>
      </c>
      <c r="L7" s="78">
        <f>IFERROR(__xludf.DUMMYFUNCTION("""COMPUTED_VALUE"""),9298.92)</f>
        <v>9298.92</v>
      </c>
    </row>
    <row r="8">
      <c r="A8" s="67" t="s">
        <v>20</v>
      </c>
      <c r="C8" s="72" t="s">
        <v>21</v>
      </c>
      <c r="D8" s="73" t="str">
        <f>IFERROR(__xludf.DUMMYFUNCTION("GOOGLEFINANCE(""indexdb:DAX"", ""name"")"),"DAX PERFORMANCE-INDEX")</f>
        <v>DAX PERFORMANCE-INDEX</v>
      </c>
      <c r="E8" s="74" t="s">
        <v>22</v>
      </c>
      <c r="F8" s="75">
        <v>50000.0</v>
      </c>
      <c r="G8" s="75">
        <f>50000/B5</f>
        <v>45854.31168</v>
      </c>
      <c r="H8" s="76">
        <f>round(G8/J9,2)</f>
        <v>4.38</v>
      </c>
      <c r="I8" s="83" t="str">
        <f>IFERROR(__xludf.DUMMYFUNCTION("GOOGLEFINANCE(""indexdb:DAX"",""price"",""5/4/2020"")"),"Date")</f>
        <v>Date</v>
      </c>
      <c r="J8" s="78" t="str">
        <f>IFERROR(__xludf.DUMMYFUNCTION("""COMPUTED_VALUE"""),"Close")</f>
        <v>Close</v>
      </c>
      <c r="K8" s="78" t="str">
        <f>IFERROR(__xludf.DUMMYFUNCTION("GOOGLEFINANCE(""indexdb:DAX"",""price"",""5/11/2020"")"),"Date")</f>
        <v>Date</v>
      </c>
      <c r="L8" s="78" t="str">
        <f>IFERROR(__xludf.DUMMYFUNCTION("""COMPUTED_VALUE"""),"Close")</f>
        <v>Close</v>
      </c>
      <c r="M8" s="80">
        <f>round(L9*H8,2)</f>
        <v>47413.46</v>
      </c>
      <c r="N8" s="25">
        <f>O8*B7</f>
        <v>1685.51729</v>
      </c>
      <c r="O8" s="81">
        <f>M8-G8</f>
        <v>1559.148319</v>
      </c>
      <c r="P8" s="26">
        <f> round(N8*100/F8,2)</f>
        <v>3.37</v>
      </c>
    </row>
    <row r="9">
      <c r="A9" s="84" t="str">
        <f>IFERROR(__xludf.DUMMYFUNCTION("GOOGLEFINANCE(""currency:JPYUSD"", ""price"",DATE(2020,5,4))"),"Date")</f>
        <v>Date</v>
      </c>
      <c r="B9" s="84" t="str">
        <f>IFERROR(__xludf.DUMMYFUNCTION("""COMPUTED_VALUE"""),"Close")</f>
        <v>Close</v>
      </c>
      <c r="I9" s="82">
        <f>IFERROR(__xludf.DUMMYFUNCTION("""COMPUTED_VALUE"""),43955.83333333333)</f>
        <v>43955.83333</v>
      </c>
      <c r="J9" s="78">
        <f>IFERROR(__xludf.DUMMYFUNCTION("""COMPUTED_VALUE"""),10466.8)</f>
        <v>10466.8</v>
      </c>
      <c r="K9" s="82">
        <f>IFERROR(__xludf.DUMMYFUNCTION("""COMPUTED_VALUE"""),43962.83333333333)</f>
        <v>43962.83333</v>
      </c>
      <c r="L9" s="78">
        <f>IFERROR(__xludf.DUMMYFUNCTION("""COMPUTED_VALUE"""),10824.99)</f>
        <v>10824.99</v>
      </c>
    </row>
    <row r="10">
      <c r="A10" s="86">
        <f>IFERROR(__xludf.DUMMYFUNCTION("""COMPUTED_VALUE"""),43955.99861111111)</f>
        <v>43955.99861</v>
      </c>
      <c r="B10" s="84">
        <f>IFERROR(__xludf.DUMMYFUNCTION("""COMPUTED_VALUE"""),0.009372)</f>
        <v>0.009372</v>
      </c>
      <c r="C10" s="72" t="s">
        <v>23</v>
      </c>
      <c r="D10" s="73" t="str">
        <f>IFERROR(__xludf.DUMMYFUNCTION("GOOGLEFINANCE($E10, ""name"")"),"Nikkei 225")</f>
        <v>Nikkei 225</v>
      </c>
      <c r="E10" s="74" t="s">
        <v>24</v>
      </c>
      <c r="F10" s="75">
        <v>20000.0</v>
      </c>
      <c r="G10" s="75">
        <f>20000/B10</f>
        <v>2134016.219</v>
      </c>
      <c r="H10" s="76">
        <f>round(G10/J11,2)</f>
        <v>108.77</v>
      </c>
      <c r="I10" s="78" t="str">
        <f>IFERROR(__xludf.DUMMYFUNCTION("GOOGLEFINANCE($E10,""price"",""4/30/2020"")"),"Date")</f>
        <v>Date</v>
      </c>
      <c r="J10" s="78" t="str">
        <f>IFERROR(__xludf.DUMMYFUNCTION("""COMPUTED_VALUE"""),"Close")</f>
        <v>Close</v>
      </c>
      <c r="K10" s="78" t="str">
        <f>IFERROR(__xludf.DUMMYFUNCTION("GOOGLEFINANCE($E10,""price"",""05/10/2020"")"),"Date")</f>
        <v>Date</v>
      </c>
      <c r="L10" s="78" t="str">
        <f>IFERROR(__xludf.DUMMYFUNCTION("""COMPUTED_VALUE"""),"Close")</f>
        <v>Close</v>
      </c>
      <c r="M10" s="80">
        <f>round(L11*H10,2)</f>
        <v>2217892.09</v>
      </c>
      <c r="N10" s="25">
        <f>O10*B12</f>
        <v>779.7939771</v>
      </c>
      <c r="O10" s="81">
        <f>M10-G10</f>
        <v>83875.87148</v>
      </c>
      <c r="P10" s="26">
        <f> round(N10*100/F10,2)</f>
        <v>3.9</v>
      </c>
    </row>
    <row r="11">
      <c r="A11" s="84" t="str">
        <f>IFERROR(__xludf.DUMMYFUNCTION("GOOGLEFINANCE(""currency:JPYUSD"", ""price"",DATE(2020,5,11))"),"Date")</f>
        <v>Date</v>
      </c>
      <c r="B11" s="84" t="str">
        <f>IFERROR(__xludf.DUMMYFUNCTION("""COMPUTED_VALUE"""),"Close")</f>
        <v>Close</v>
      </c>
      <c r="I11" s="82">
        <f>IFERROR(__xludf.DUMMYFUNCTION("""COMPUTED_VALUE"""),43952.625)</f>
        <v>43952.625</v>
      </c>
      <c r="J11" s="78">
        <f>IFERROR(__xludf.DUMMYFUNCTION("""COMPUTED_VALUE"""),19619.35)</f>
        <v>19619.35</v>
      </c>
      <c r="K11" s="82">
        <f>IFERROR(__xludf.DUMMYFUNCTION("""COMPUTED_VALUE"""),43962.625)</f>
        <v>43962.625</v>
      </c>
      <c r="L11" s="78">
        <f>IFERROR(__xludf.DUMMYFUNCTION("""COMPUTED_VALUE"""),20390.66)</f>
        <v>20390.66</v>
      </c>
    </row>
    <row r="12">
      <c r="A12" s="86">
        <f>IFERROR(__xludf.DUMMYFUNCTION("""COMPUTED_VALUE"""),43962.99861111111)</f>
        <v>43962.99861</v>
      </c>
      <c r="B12" s="84">
        <f>IFERROR(__xludf.DUMMYFUNCTION("""COMPUTED_VALUE"""),0.009297)</f>
        <v>0.009297</v>
      </c>
      <c r="C12" s="72" t="s">
        <v>25</v>
      </c>
      <c r="D12" s="74" t="s">
        <v>26</v>
      </c>
      <c r="E12" s="87" t="s">
        <v>27</v>
      </c>
      <c r="F12" s="75">
        <v>20000.0</v>
      </c>
      <c r="G12" s="75">
        <f>20000/B15</f>
        <v>141250.0203</v>
      </c>
      <c r="H12" s="76">
        <f>round(G12/J13,2)</f>
        <v>49.38</v>
      </c>
      <c r="I12" s="79" t="s">
        <v>28</v>
      </c>
      <c r="J12" s="79" t="s">
        <v>29</v>
      </c>
      <c r="K12" s="79" t="s">
        <v>28</v>
      </c>
      <c r="L12" s="79" t="s">
        <v>29</v>
      </c>
      <c r="M12" s="80">
        <f>round(L13*H12,2)</f>
        <v>142980.28</v>
      </c>
      <c r="N12" s="25">
        <f>O12*B17</f>
        <v>243.732859</v>
      </c>
      <c r="O12" s="81">
        <f>M12-G12</f>
        <v>1730.259695</v>
      </c>
      <c r="P12" s="26">
        <f> round(N12*100/F12,2)</f>
        <v>1.22</v>
      </c>
    </row>
    <row r="13">
      <c r="A13" s="67" t="s">
        <v>30</v>
      </c>
      <c r="I13" s="88">
        <v>43951.666666666664</v>
      </c>
      <c r="J13" s="79">
        <v>2860.41</v>
      </c>
      <c r="K13" s="92">
        <v>43962.625</v>
      </c>
      <c r="L13" s="79">
        <v>2895.51</v>
      </c>
    </row>
    <row r="14">
      <c r="A14" s="89" t="str">
        <f>IFERROR(__xludf.DUMMYFUNCTION("GOOGLEFINANCE(""currency:CNYUSD"", ""price"",DATE(2020,5,4))"),"Date")</f>
        <v>Date</v>
      </c>
      <c r="B14" s="84" t="str">
        <f>IFERROR(__xludf.DUMMYFUNCTION("""COMPUTED_VALUE"""),"Close")</f>
        <v>Close</v>
      </c>
      <c r="C14" s="72" t="s">
        <v>31</v>
      </c>
      <c r="D14" s="90" t="str">
        <f>IFERROR(__xludf.DUMMYFUNCTION("GOOGLEFINANCE($E14, ""name"")"),"S&amp;P GSCI Crude Oil ER")</f>
        <v>S&amp;P GSCI Crude Oil ER</v>
      </c>
      <c r="E14" s="74" t="s">
        <v>32</v>
      </c>
      <c r="F14" s="75">
        <v>10000.0</v>
      </c>
      <c r="G14" s="75">
        <v>10000.0</v>
      </c>
      <c r="H14" s="76">
        <f>round(G14/J15,2)</f>
        <v>268.82</v>
      </c>
      <c r="I14" s="79" t="s">
        <v>28</v>
      </c>
      <c r="J14" s="79" t="s">
        <v>29</v>
      </c>
      <c r="K14" s="79" t="s">
        <v>28</v>
      </c>
      <c r="L14" s="79" t="s">
        <v>29</v>
      </c>
      <c r="M14" s="80">
        <f>round(L15*H14,2)</f>
        <v>11000.11</v>
      </c>
      <c r="N14" s="91">
        <f>O14</f>
        <v>1000.11</v>
      </c>
      <c r="O14" s="81">
        <f>M14-G14</f>
        <v>1000.11</v>
      </c>
      <c r="P14" s="26">
        <f> round(N14*100/F14,2)</f>
        <v>10</v>
      </c>
    </row>
    <row r="15">
      <c r="A15" s="86">
        <f>IFERROR(__xludf.DUMMYFUNCTION("""COMPUTED_VALUE"""),43955.99861111111)</f>
        <v>43955.99861</v>
      </c>
      <c r="B15" s="84">
        <f>IFERROR(__xludf.DUMMYFUNCTION("""COMPUTED_VALUE"""),0.1415929)</f>
        <v>0.1415929</v>
      </c>
      <c r="I15" s="79" t="s">
        <v>33</v>
      </c>
      <c r="J15" s="79">
        <v>37.2</v>
      </c>
      <c r="K15" s="85">
        <v>43962.625</v>
      </c>
      <c r="L15" s="79">
        <v>40.92</v>
      </c>
    </row>
    <row r="16">
      <c r="A16" s="84" t="str">
        <f>IFERROR(__xludf.DUMMYFUNCTION("GOOGLEFINANCE(""currency:CNYUSD"", ""price"",DATE(2020,5,11))"),"Date")</f>
        <v>Date</v>
      </c>
      <c r="B16" s="84" t="str">
        <f>IFERROR(__xludf.DUMMYFUNCTION("""COMPUTED_VALUE"""),"Close")</f>
        <v>Close</v>
      </c>
      <c r="C16" s="72" t="s">
        <v>31</v>
      </c>
      <c r="D16" s="90" t="str">
        <f>IFERROR(__xludf.DUMMYFUNCTION("GOOGLEFINANCE($E16, ""name"")"),"S&amp;P GSCI Gold ER")</f>
        <v>S&amp;P GSCI Gold ER</v>
      </c>
      <c r="E16" s="74" t="s">
        <v>34</v>
      </c>
      <c r="F16" s="75">
        <v>50000.0</v>
      </c>
      <c r="G16" s="75">
        <v>50000.0</v>
      </c>
      <c r="H16" s="76">
        <f>round(G16/J17,2)</f>
        <v>382.18</v>
      </c>
      <c r="I16" s="79" t="s">
        <v>28</v>
      </c>
      <c r="J16" s="79" t="s">
        <v>29</v>
      </c>
      <c r="K16" s="79" t="s">
        <v>28</v>
      </c>
      <c r="L16" s="79" t="s">
        <v>29</v>
      </c>
      <c r="M16" s="80">
        <f>round(L17*H16,2)</f>
        <v>49580.21</v>
      </c>
      <c r="N16" s="108">
        <f>O16</f>
        <v>-419.79</v>
      </c>
      <c r="O16" s="93">
        <f>M16-G16</f>
        <v>-419.79</v>
      </c>
      <c r="P16" s="35">
        <f> round(N16*100/F16,2)</f>
        <v>-0.84</v>
      </c>
    </row>
    <row r="17">
      <c r="A17" s="86">
        <f>IFERROR(__xludf.DUMMYFUNCTION("""COMPUTED_VALUE"""),43962.99861111111)</f>
        <v>43962.99861</v>
      </c>
      <c r="B17" s="84">
        <f>IFERROR(__xludf.DUMMYFUNCTION("""COMPUTED_VALUE"""),0.1408649)</f>
        <v>0.1408649</v>
      </c>
      <c r="I17" s="92">
        <v>43955.666666666664</v>
      </c>
      <c r="J17" s="79">
        <v>130.83</v>
      </c>
      <c r="K17" s="85">
        <v>43962.625</v>
      </c>
      <c r="L17" s="79">
        <v>129.73</v>
      </c>
    </row>
    <row r="18">
      <c r="A18" s="84"/>
      <c r="B18" s="84"/>
      <c r="C18" s="72" t="s">
        <v>35</v>
      </c>
      <c r="D18" s="90" t="str">
        <f>IFERROR(__xludf.DUMMYFUNCTION("GOOGLEFINANCE($E18, ""name"")"),"iShares Barclays 20+ Yr Treas.Bond")</f>
        <v>iShares Barclays 20+ Yr Treas.Bond</v>
      </c>
      <c r="E18" s="74" t="s">
        <v>36</v>
      </c>
      <c r="F18" s="75">
        <v>30000.0</v>
      </c>
      <c r="G18" s="75">
        <v>30000.0</v>
      </c>
      <c r="H18" s="76">
        <f>round(G18/J19,2)</f>
        <v>179.47</v>
      </c>
      <c r="I18" s="78" t="str">
        <f>IFERROR(__xludf.DUMMYFUNCTION("GOOGLEFINANCE($E18,""price"",""5/4/2020"")"),"Date")</f>
        <v>Date</v>
      </c>
      <c r="J18" s="78" t="str">
        <f>IFERROR(__xludf.DUMMYFUNCTION("""COMPUTED_VALUE"""),"Close")</f>
        <v>Close</v>
      </c>
      <c r="K18" s="78" t="str">
        <f>IFERROR(__xludf.DUMMYFUNCTION("GOOGLEFINANCE($E18,""price"",""05/11/2020"")"),"Date")</f>
        <v>Date</v>
      </c>
      <c r="L18" s="78" t="str">
        <f>IFERROR(__xludf.DUMMYFUNCTION("""COMPUTED_VALUE"""),"Close")</f>
        <v>Close</v>
      </c>
      <c r="M18" s="80">
        <f>round(L19*H18,2)</f>
        <v>29199.77</v>
      </c>
      <c r="N18" s="93">
        <f>O18</f>
        <v>-800.23</v>
      </c>
      <c r="O18" s="93">
        <f>M18-G18</f>
        <v>-800.23</v>
      </c>
      <c r="P18" s="35">
        <f> round(N18*100/F18,2)</f>
        <v>-2.67</v>
      </c>
    </row>
    <row r="19">
      <c r="A19" s="84"/>
      <c r="B19" s="84"/>
      <c r="I19" s="82">
        <f>IFERROR(__xludf.DUMMYFUNCTION("""COMPUTED_VALUE"""),43955.66666666667)</f>
        <v>43955.66667</v>
      </c>
      <c r="J19" s="78">
        <f>IFERROR(__xludf.DUMMYFUNCTION("""COMPUTED_VALUE"""),167.16)</f>
        <v>167.16</v>
      </c>
      <c r="K19" s="82">
        <f>IFERROR(__xludf.DUMMYFUNCTION("""COMPUTED_VALUE"""),43962.66666666667)</f>
        <v>43962.66667</v>
      </c>
      <c r="L19" s="78">
        <f>IFERROR(__xludf.DUMMYFUNCTION("""COMPUTED_VALUE"""),162.7)</f>
        <v>162.7</v>
      </c>
    </row>
    <row r="20">
      <c r="A20" s="84"/>
      <c r="B20" s="84"/>
      <c r="C20" s="72" t="s">
        <v>35</v>
      </c>
      <c r="D20" s="90" t="str">
        <f>IFERROR(__xludf.DUMMYFUNCTION("GOOGLEFINANCE($E20, ""name"")"),"iShares iBoxx $ High Yid Corp Bond")</f>
        <v>iShares iBoxx $ High Yid Corp Bond</v>
      </c>
      <c r="E20" s="74" t="s">
        <v>37</v>
      </c>
      <c r="F20" s="75">
        <v>20000.0</v>
      </c>
      <c r="G20" s="75">
        <v>20000.0</v>
      </c>
      <c r="H20" s="76">
        <f>round(G20/J21,2)</f>
        <v>254.55</v>
      </c>
      <c r="I20" s="78" t="str">
        <f>IFERROR(__xludf.DUMMYFUNCTION("GOOGLEFINANCE($E20,""price"",""5/4/2020"")"),"Date")</f>
        <v>Date</v>
      </c>
      <c r="J20" s="78" t="str">
        <f>IFERROR(__xludf.DUMMYFUNCTION("""COMPUTED_VALUE"""),"Close")</f>
        <v>Close</v>
      </c>
      <c r="K20" s="78" t="str">
        <f>IFERROR(__xludf.DUMMYFUNCTION("GOOGLEFINANCE($E20,""price"",""05/11/2020"")"),"Date")</f>
        <v>Date</v>
      </c>
      <c r="L20" s="78" t="str">
        <f>IFERROR(__xludf.DUMMYFUNCTION("""COMPUTED_VALUE"""),"Close")</f>
        <v>Close</v>
      </c>
      <c r="M20" s="80">
        <f>round(L21*H20,2)</f>
        <v>20208.72</v>
      </c>
      <c r="N20" s="94">
        <f>O20</f>
        <v>208.72</v>
      </c>
      <c r="O20" s="81">
        <f>M20-G20</f>
        <v>208.72</v>
      </c>
      <c r="P20" s="95">
        <f> round(N20*100/F20,2)</f>
        <v>1.04</v>
      </c>
    </row>
    <row r="21">
      <c r="A21" s="84"/>
      <c r="B21" s="84"/>
      <c r="I21" s="82">
        <f>IFERROR(__xludf.DUMMYFUNCTION("""COMPUTED_VALUE"""),43955.66666666667)</f>
        <v>43955.66667</v>
      </c>
      <c r="J21" s="78">
        <f>IFERROR(__xludf.DUMMYFUNCTION("""COMPUTED_VALUE"""),78.57)</f>
        <v>78.57</v>
      </c>
      <c r="K21" s="82">
        <f>IFERROR(__xludf.DUMMYFUNCTION("""COMPUTED_VALUE"""),43962.66666666667)</f>
        <v>43962.66667</v>
      </c>
      <c r="L21" s="78">
        <f>IFERROR(__xludf.DUMMYFUNCTION("""COMPUTED_VALUE"""),79.39)</f>
        <v>79.39</v>
      </c>
    </row>
    <row r="22">
      <c r="A22" s="84"/>
      <c r="B22" s="84"/>
      <c r="C22" s="72" t="s">
        <v>38</v>
      </c>
      <c r="D22" s="96" t="s">
        <v>38</v>
      </c>
      <c r="E22" s="74" t="s">
        <v>39</v>
      </c>
      <c r="F22" s="75">
        <v>700000.0</v>
      </c>
      <c r="G22" s="75">
        <v>700000.0</v>
      </c>
      <c r="H22" s="97" t="s">
        <v>39</v>
      </c>
      <c r="I22" s="79" t="s">
        <v>39</v>
      </c>
      <c r="K22" s="79" t="s">
        <v>39</v>
      </c>
      <c r="M22" s="72">
        <f>round(G22*(1+ 7/36500),2)</f>
        <v>700134.25</v>
      </c>
      <c r="N22" s="98">
        <v>134.0</v>
      </c>
      <c r="O22" s="81">
        <f>M22-G22</f>
        <v>134.25</v>
      </c>
      <c r="P22" s="95">
        <f> round(N22*100/F22,2)</f>
        <v>0.02</v>
      </c>
    </row>
    <row r="23">
      <c r="A23" s="84"/>
      <c r="B23" s="84"/>
    </row>
    <row r="24">
      <c r="A24" s="84"/>
      <c r="B24" s="84"/>
      <c r="C24" s="99" t="s">
        <v>40</v>
      </c>
      <c r="D24" s="100"/>
      <c r="E24" s="100"/>
      <c r="F24" s="101">
        <f>SUM(F4:F23)</f>
        <v>1000000</v>
      </c>
      <c r="G24" s="100"/>
      <c r="H24" s="100"/>
      <c r="I24" s="100"/>
      <c r="J24" s="100"/>
      <c r="K24" s="100"/>
      <c r="L24" s="100"/>
      <c r="M24" s="100"/>
      <c r="N24" s="102">
        <f>SUM(N4:N23)</f>
        <v>7008.074126</v>
      </c>
      <c r="O24" s="103"/>
      <c r="P24" s="103">
        <f>round(SUM(MULTIPLY(F4,P4/F24),MULTIPLY(F6,P6/F24),MULTIPLY(F8,P8/F24),MULTIPLY(F10,P10/F24),MULTIPLY(F12,P12/F24),MULTIPLY(F14,P14/F24),MULTIPLY(F16,P16/F24),MULTIPLY(F18,P18/F24),MULTIPLY(F20,P20/F24),MULTIPLY(F22,P22/F24)),2)</f>
        <v>0.7</v>
      </c>
    </row>
    <row r="26">
      <c r="K26" s="98" t="s">
        <v>46</v>
      </c>
      <c r="M26" s="109">
        <f>N24</f>
        <v>7008.074126</v>
      </c>
    </row>
    <row r="27">
      <c r="K27" s="110" t="s">
        <v>47</v>
      </c>
      <c r="M27" s="110">
        <v>0.0</v>
      </c>
    </row>
    <row r="28">
      <c r="K28" s="98" t="s">
        <v>48</v>
      </c>
      <c r="M28" s="81">
        <f>F24 + N24 + M27</f>
        <v>1007008.074</v>
      </c>
    </row>
  </sheetData>
  <mergeCells count="114">
    <mergeCell ref="F1:H1"/>
    <mergeCell ref="A2:B2"/>
    <mergeCell ref="F2:G2"/>
    <mergeCell ref="N2:O2"/>
    <mergeCell ref="A3:B3"/>
    <mergeCell ref="I3:J3"/>
    <mergeCell ref="K3:L3"/>
    <mergeCell ref="N4:N5"/>
    <mergeCell ref="O4:O5"/>
    <mergeCell ref="P4:P5"/>
    <mergeCell ref="C4:C5"/>
    <mergeCell ref="D4:D5"/>
    <mergeCell ref="E4:E5"/>
    <mergeCell ref="F4:F5"/>
    <mergeCell ref="G4:G5"/>
    <mergeCell ref="H4:H5"/>
    <mergeCell ref="M4:M5"/>
    <mergeCell ref="D6:D7"/>
    <mergeCell ref="E6:E7"/>
    <mergeCell ref="F6:F7"/>
    <mergeCell ref="G6:G7"/>
    <mergeCell ref="H6:H7"/>
    <mergeCell ref="M6:M7"/>
    <mergeCell ref="A8:B8"/>
    <mergeCell ref="C6:C7"/>
    <mergeCell ref="C8:C9"/>
    <mergeCell ref="D8:D9"/>
    <mergeCell ref="E8:E9"/>
    <mergeCell ref="F8:F9"/>
    <mergeCell ref="G8:G9"/>
    <mergeCell ref="H8:H9"/>
    <mergeCell ref="M10:M11"/>
    <mergeCell ref="N10:N11"/>
    <mergeCell ref="O10:O11"/>
    <mergeCell ref="P10:P11"/>
    <mergeCell ref="N6:N7"/>
    <mergeCell ref="O6:O7"/>
    <mergeCell ref="P6:P7"/>
    <mergeCell ref="M8:M9"/>
    <mergeCell ref="N8:N9"/>
    <mergeCell ref="O8:O9"/>
    <mergeCell ref="P8:P9"/>
    <mergeCell ref="N18:N19"/>
    <mergeCell ref="O18:O19"/>
    <mergeCell ref="P18:P19"/>
    <mergeCell ref="C18:C19"/>
    <mergeCell ref="D18:D19"/>
    <mergeCell ref="E18:E19"/>
    <mergeCell ref="F18:F19"/>
    <mergeCell ref="G18:G19"/>
    <mergeCell ref="H18:H19"/>
    <mergeCell ref="M18:M19"/>
    <mergeCell ref="N20:N21"/>
    <mergeCell ref="O20:O21"/>
    <mergeCell ref="P20:P21"/>
    <mergeCell ref="C20:C21"/>
    <mergeCell ref="D20:D21"/>
    <mergeCell ref="E20:E21"/>
    <mergeCell ref="F20:F21"/>
    <mergeCell ref="G20:G21"/>
    <mergeCell ref="H20:H21"/>
    <mergeCell ref="M20:M21"/>
    <mergeCell ref="F12:F13"/>
    <mergeCell ref="G12:G13"/>
    <mergeCell ref="M12:M13"/>
    <mergeCell ref="N12:N13"/>
    <mergeCell ref="O12:O13"/>
    <mergeCell ref="P12:P13"/>
    <mergeCell ref="C10:C11"/>
    <mergeCell ref="D10:D11"/>
    <mergeCell ref="E10:E11"/>
    <mergeCell ref="F10:F11"/>
    <mergeCell ref="G10:G11"/>
    <mergeCell ref="H10:H11"/>
    <mergeCell ref="C12:C13"/>
    <mergeCell ref="H12:H13"/>
    <mergeCell ref="G14:G15"/>
    <mergeCell ref="H14:H15"/>
    <mergeCell ref="M14:M15"/>
    <mergeCell ref="N14:N15"/>
    <mergeCell ref="O14:O15"/>
    <mergeCell ref="P14:P15"/>
    <mergeCell ref="D12:D13"/>
    <mergeCell ref="E12:E13"/>
    <mergeCell ref="A13:B13"/>
    <mergeCell ref="C14:C15"/>
    <mergeCell ref="D14:D15"/>
    <mergeCell ref="E14:E15"/>
    <mergeCell ref="F14:F15"/>
    <mergeCell ref="N16:N17"/>
    <mergeCell ref="O16:O17"/>
    <mergeCell ref="P16:P17"/>
    <mergeCell ref="C16:C17"/>
    <mergeCell ref="D16:D17"/>
    <mergeCell ref="E16:E17"/>
    <mergeCell ref="F16:F17"/>
    <mergeCell ref="G16:G17"/>
    <mergeCell ref="H16:H17"/>
    <mergeCell ref="M16:M17"/>
    <mergeCell ref="K22:L23"/>
    <mergeCell ref="M22:M23"/>
    <mergeCell ref="N22:N23"/>
    <mergeCell ref="O22:O23"/>
    <mergeCell ref="P22:P23"/>
    <mergeCell ref="K26:L26"/>
    <mergeCell ref="K27:L27"/>
    <mergeCell ref="K28:L28"/>
    <mergeCell ref="C22:C23"/>
    <mergeCell ref="D22:D23"/>
    <mergeCell ref="E22:E23"/>
    <mergeCell ref="F22:F23"/>
    <mergeCell ref="G22:G23"/>
    <mergeCell ref="H22:H23"/>
    <mergeCell ref="I22:J23"/>
  </mergeCells>
  <drawing r:id="rId1"/>
</worksheet>
</file>