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<sst xmlns="http://schemas.openxmlformats.org/spreadsheetml/2006/main" count="56" uniqueCount="42">
  <si>
    <t>WEEK 1 (MAY 4 - MAY 8)</t>
  </si>
  <si>
    <t>FX</t>
  </si>
  <si>
    <t>Money Invested</t>
  </si>
  <si>
    <t>Change</t>
  </si>
  <si>
    <t>EUR/USD</t>
  </si>
  <si>
    <t>Type</t>
  </si>
  <si>
    <t>Name</t>
  </si>
  <si>
    <t>Ticker</t>
  </si>
  <si>
    <t>USD</t>
  </si>
  <si>
    <t>Local</t>
  </si>
  <si>
    <t>No. of Stocks</t>
  </si>
  <si>
    <t>Buy Price</t>
  </si>
  <si>
    <t>Recent Price</t>
  </si>
  <si>
    <t>Recent value</t>
  </si>
  <si>
    <t>$ change</t>
  </si>
  <si>
    <t>local change</t>
  </si>
  <si>
    <t>% change (usd)</t>
  </si>
  <si>
    <t>US Index</t>
  </si>
  <si>
    <t>.INX</t>
  </si>
  <si>
    <t>NDX</t>
  </si>
  <si>
    <t>JPY/USD</t>
  </si>
  <si>
    <t>German Index</t>
  </si>
  <si>
    <t>DAX</t>
  </si>
  <si>
    <t>Japanese Index</t>
  </si>
  <si>
    <t>NI225</t>
  </si>
  <si>
    <t>Chinese Index</t>
  </si>
  <si>
    <t>Shanghai Composite Index</t>
  </si>
  <si>
    <t>SHCOMP</t>
  </si>
  <si>
    <t>Date</t>
  </si>
  <si>
    <t>Close</t>
  </si>
  <si>
    <t>CNY/USD</t>
  </si>
  <si>
    <t>US Commodity</t>
  </si>
  <si>
    <t>SPGSCLP</t>
  </si>
  <si>
    <t>5/42020 16:00:00</t>
  </si>
  <si>
    <t>SPGSGCP</t>
  </si>
  <si>
    <t>US ETF</t>
  </si>
  <si>
    <t>TLT</t>
  </si>
  <si>
    <t>HYG</t>
  </si>
  <si>
    <t>Cash</t>
  </si>
  <si>
    <t>NA</t>
  </si>
  <si>
    <t>Total</t>
  </si>
  <si>
    <t>DIVERSIFICATION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</si>
</sst>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/yyyy h:mm:ss"/>
    <numFmt numFmtId="165" formatCode="&quot;$&quot;#,##0"/>
    <numFmt numFmtId="166" formatCode="&quot;$&quot;#,##0.00"/>
  </numFmts>
  <fonts count="8">
    <font>
      <sz val="10.0"/>
      <color rgb="FF000000"/>
      <name val="Arial"/>
    </font>
    <font>
      <color theme="1"/>
      <name val="Arial"/>
    </font>
    <font>
      <b/>
      <sz val="12.0"/>
      <color theme="1"/>
      <name val="Arial"/>
    </font>
    <font>
      <b/>
      <color theme="1"/>
      <name val="Arial"/>
    </font>
    <font>
      <sz val="11.0"/>
      <color rgb="FF000000"/>
      <name val="Inconsolata"/>
    </font>
    <font>
      <color rgb="FF000000"/>
      <name val="Arial"/>
    </font>
    <font>
      <sz val="11.0"/>
      <color rgb="FF000000"/>
      <name val="Arial"/>
    </font>
    <font>
      <b/>
      <sz val="11.0"/>
      <color rgb="FF000000"/>
      <name val="Inconsolata"/>
    </font>
  </fonts>
  <fills count="15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FF9900"/>
        <bgColor rgb="FFFF9900"/>
      </patternFill>
    </fill>
    <fill>
      <patternFill patternType="solid">
        <fgColor rgb="FF666666"/>
        <bgColor rgb="FF666666"/>
      </patternFill>
    </fill>
    <fill>
      <patternFill patternType="solid">
        <fgColor rgb="FFF3F3F3"/>
        <bgColor rgb="FFF3F3F3"/>
      </patternFill>
    </fill>
    <fill>
      <patternFill patternType="solid">
        <fgColor rgb="FFEFEFEF"/>
        <bgColor rgb="FFEFEFEF"/>
      </patternFill>
    </fill>
    <fill>
      <patternFill patternType="solid">
        <fgColor rgb="FFD9D9D9"/>
        <bgColor rgb="FFD9D9D9"/>
      </patternFill>
    </fill>
    <fill>
      <patternFill patternType="solid">
        <fgColor theme="7"/>
        <bgColor theme="7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1C232"/>
        <bgColor rgb="FFF1C232"/>
      </patternFill>
    </fill>
  </fills>
  <borders count="1">
    <border/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2" fontId="2" numFmtId="0" xfId="0" applyAlignment="1" applyFont="1">
      <alignment horizontal="center" readingOrder="0"/>
    </xf>
    <xf borderId="0" fillId="3" fontId="3" numFmtId="0" xfId="0" applyAlignment="1" applyFill="1" applyFont="1">
      <alignment horizontal="center" readingOrder="0"/>
    </xf>
    <xf borderId="0" fillId="4" fontId="3" numFmtId="0" xfId="0" applyFill="1" applyFont="1"/>
    <xf borderId="0" fillId="4" fontId="3" numFmtId="0" xfId="0" applyAlignment="1" applyFont="1">
      <alignment horizontal="center" readingOrder="0"/>
    </xf>
    <xf borderId="0" fillId="5" fontId="1" numFmtId="0" xfId="0" applyAlignment="1" applyFill="1" applyFont="1">
      <alignment horizontal="center" readingOrder="0"/>
    </xf>
    <xf borderId="0" fillId="6" fontId="3" numFmtId="0" xfId="0" applyAlignment="1" applyFill="1" applyFont="1">
      <alignment readingOrder="0"/>
    </xf>
    <xf borderId="0" fillId="6" fontId="3" numFmtId="0" xfId="0" applyAlignment="1" applyFont="1">
      <alignment horizontal="center" readingOrder="0"/>
    </xf>
    <xf borderId="0" fillId="6" fontId="3" numFmtId="0" xfId="0" applyAlignment="1" applyFont="1">
      <alignment horizontal="center" vertical="bottom"/>
    </xf>
    <xf borderId="0" fillId="6" fontId="3" numFmtId="0" xfId="0" applyAlignment="1" applyFont="1">
      <alignment readingOrder="0" vertical="bottom"/>
    </xf>
    <xf borderId="0" fillId="5" fontId="1" numFmtId="0" xfId="0" applyAlignment="1" applyFont="1">
      <alignment vertical="bottom"/>
    </xf>
    <xf borderId="0" fillId="3" fontId="1" numFmtId="0" xfId="0" applyAlignment="1" applyFont="1">
      <alignment readingOrder="0"/>
    </xf>
    <xf borderId="0" fillId="7" fontId="1" numFmtId="0" xfId="0" applyFill="1" applyFont="1"/>
    <xf borderId="0" fillId="7" fontId="1" numFmtId="0" xfId="0" applyAlignment="1" applyFont="1">
      <alignment readingOrder="0"/>
    </xf>
    <xf borderId="0" fillId="8" fontId="1" numFmtId="3" xfId="0" applyAlignment="1" applyFill="1" applyFont="1" applyNumberFormat="1">
      <alignment readingOrder="0"/>
    </xf>
    <xf borderId="0" fillId="8" fontId="1" numFmtId="0" xfId="0" applyFont="1"/>
    <xf borderId="0" fillId="9" fontId="4" numFmtId="0" xfId="0" applyAlignment="1" applyFill="1" applyFont="1">
      <alignment horizontal="left"/>
    </xf>
    <xf borderId="0" fillId="9" fontId="1" numFmtId="0" xfId="0" applyFont="1"/>
    <xf borderId="0" fillId="3" fontId="1" numFmtId="0" xfId="0" applyFont="1"/>
    <xf borderId="0" fillId="10" fontId="1" numFmtId="3" xfId="0" applyAlignment="1" applyFill="1" applyFont="1" applyNumberFormat="1">
      <alignment horizontal="right" vertical="bottom"/>
    </xf>
    <xf borderId="0" fillId="10" fontId="1" numFmtId="3" xfId="0" applyFont="1" applyNumberFormat="1"/>
    <xf borderId="0" fillId="10" fontId="1" numFmtId="0" xfId="0" applyAlignment="1" applyFont="1">
      <alignment horizontal="right" vertical="bottom"/>
    </xf>
    <xf borderId="0" fillId="5" fontId="1" numFmtId="164" xfId="0" applyAlignment="1" applyFont="1" applyNumberFormat="1">
      <alignment horizontal="right" vertical="bottom"/>
    </xf>
    <xf borderId="0" fillId="5" fontId="1" numFmtId="0" xfId="0" applyAlignment="1" applyFont="1">
      <alignment horizontal="right" vertical="bottom"/>
    </xf>
    <xf borderId="0" fillId="9" fontId="1" numFmtId="164" xfId="0" applyFont="1" applyNumberFormat="1"/>
    <xf borderId="0" fillId="9" fontId="4" numFmtId="0" xfId="0" applyFont="1"/>
    <xf borderId="0" fillId="5" fontId="1" numFmtId="0" xfId="0" applyFont="1"/>
    <xf borderId="0" fillId="5" fontId="1" numFmtId="164" xfId="0" applyFont="1" applyNumberFormat="1"/>
    <xf borderId="0" fillId="7" fontId="5" numFmtId="0" xfId="0" applyAlignment="1" applyFont="1">
      <alignment readingOrder="0"/>
    </xf>
    <xf borderId="0" fillId="9" fontId="1" numFmtId="0" xfId="0" applyAlignment="1" applyFont="1">
      <alignment readingOrder="0"/>
    </xf>
    <xf borderId="0" fillId="9" fontId="5" numFmtId="164" xfId="0" applyAlignment="1" applyFont="1" applyNumberFormat="1">
      <alignment horizontal="right" readingOrder="0"/>
    </xf>
    <xf borderId="0" fillId="5" fontId="4" numFmtId="0" xfId="0" applyFont="1"/>
    <xf borderId="0" fillId="7" fontId="4" numFmtId="0" xfId="0" applyFont="1"/>
    <xf borderId="0" fillId="10" fontId="1" numFmtId="3" xfId="0" applyAlignment="1" applyFont="1" applyNumberFormat="1">
      <alignment horizontal="right" readingOrder="0" vertical="bottom"/>
    </xf>
    <xf borderId="0" fillId="9" fontId="1" numFmtId="164" xfId="0" applyAlignment="1" applyFont="1" applyNumberFormat="1">
      <alignment readingOrder="0"/>
    </xf>
    <xf borderId="0" fillId="11" fontId="1" numFmtId="0" xfId="0" applyFill="1" applyFont="1"/>
    <xf borderId="0" fillId="11" fontId="1" numFmtId="3" xfId="0" applyFont="1" applyNumberFormat="1"/>
    <xf borderId="0" fillId="10" fontId="1" numFmtId="0" xfId="0" applyAlignment="1" applyFont="1">
      <alignment readingOrder="0"/>
    </xf>
    <xf borderId="0" fillId="10" fontId="1" numFmtId="2" xfId="0" applyAlignment="1" applyFont="1" applyNumberFormat="1">
      <alignment horizontal="right" vertical="bottom"/>
    </xf>
    <xf borderId="0" fillId="7" fontId="6" numFmtId="0" xfId="0" applyAlignment="1" applyFont="1">
      <alignment readingOrder="0"/>
    </xf>
    <xf borderId="0" fillId="8" fontId="1" numFmtId="0" xfId="0" applyAlignment="1" applyFont="1">
      <alignment readingOrder="0"/>
    </xf>
    <xf borderId="0" fillId="3" fontId="4" numFmtId="0" xfId="0" applyAlignment="1" applyFont="1">
      <alignment horizontal="left" readingOrder="0"/>
    </xf>
    <xf borderId="0" fillId="6" fontId="1" numFmtId="0" xfId="0" applyFont="1"/>
    <xf borderId="0" fillId="8" fontId="3" numFmtId="3" xfId="0" applyFont="1" applyNumberFormat="1"/>
    <xf borderId="0" fillId="12" fontId="7" numFmtId="165" xfId="0" applyFill="1" applyFont="1" applyNumberFormat="1"/>
    <xf borderId="0" fillId="12" fontId="3" numFmtId="0" xfId="0" applyFont="1"/>
    <xf borderId="0" fillId="13" fontId="4" numFmtId="0" xfId="0" applyAlignment="1" applyFill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14" fontId="3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43"/>
    <col customWidth="1" min="2" max="2" width="19.14"/>
    <col customWidth="1" min="4" max="4" width="29.43"/>
    <col customWidth="1" min="9" max="9" width="18.14"/>
  </cols>
  <sheetData>
    <row r="1">
      <c r="A1" s="1"/>
      <c r="B1" s="1"/>
      <c r="C1" s="1"/>
      <c r="D1" s="1"/>
      <c r="E1" s="1"/>
      <c r="F1" s="2" t="s">
        <v>0</v>
      </c>
      <c r="I1" s="1"/>
      <c r="J1" s="1"/>
      <c r="K1" s="1"/>
      <c r="L1" s="1"/>
      <c r="M1" s="1"/>
      <c r="N1" s="1"/>
      <c r="O1" s="1"/>
    </row>
    <row r="2">
      <c r="A2" s="3" t="s">
        <v>1</v>
      </c>
      <c r="C2" s="4"/>
      <c r="D2" s="4"/>
      <c r="E2" s="4"/>
      <c r="F2" s="5" t="s">
        <v>2</v>
      </c>
      <c r="H2" s="4"/>
      <c r="I2" s="4"/>
      <c r="J2" s="4"/>
      <c r="K2" s="4"/>
      <c r="L2" s="4"/>
      <c r="M2" s="5" t="s">
        <v>3</v>
      </c>
      <c r="O2" s="4"/>
    </row>
    <row r="3">
      <c r="A3" s="6" t="s">
        <v>4</v>
      </c>
      <c r="C3" s="7" t="s">
        <v>5</v>
      </c>
      <c r="D3" s="7" t="s">
        <v>6</v>
      </c>
      <c r="E3" s="7" t="s">
        <v>7</v>
      </c>
      <c r="F3" s="7" t="s">
        <v>8</v>
      </c>
      <c r="G3" s="7" t="s">
        <v>9</v>
      </c>
      <c r="H3" s="7" t="s">
        <v>10</v>
      </c>
      <c r="I3" s="8" t="s">
        <v>11</v>
      </c>
      <c r="K3" s="7" t="s">
        <v>12</v>
      </c>
      <c r="L3" s="7" t="s">
        <v>13</v>
      </c>
      <c r="M3" s="9" t="s">
        <v>14</v>
      </c>
      <c r="N3" s="7" t="s">
        <v>15</v>
      </c>
      <c r="O3" s="10" t="s">
        <v>16</v>
      </c>
    </row>
    <row r="4">
      <c r="A4" s="11" t="str">
        <f>IFERROR(__xludf.DUMMYFUNCTION("GOOGLEFINANCE(""currency:EURUSD"", ""price"",DATE(2020,5,4))"),"Date")</f>
        <v>Date</v>
      </c>
      <c r="B4" s="11" t="str">
        <f>IFERROR(__xludf.DUMMYFUNCTION("""COMPUTED_VALUE"""),"Close")</f>
        <v>Close</v>
      </c>
      <c r="C4" s="12" t="s">
        <v>17</v>
      </c>
      <c r="D4" s="13" t="str">
        <f>IFERROR(__xludf.DUMMYFUNCTION("GOOGLEFINANCE($E4, ""name"")"),"S&amp;P 500 Index")</f>
        <v>S&amp;P 500 Index</v>
      </c>
      <c r="E4" s="14" t="s">
        <v>18</v>
      </c>
      <c r="F4" s="15">
        <v>50000.0</v>
      </c>
      <c r="G4" s="15">
        <v>50000.0</v>
      </c>
      <c r="H4" s="16">
        <f>round(G4/J5,2)</f>
        <v>17.59</v>
      </c>
      <c r="I4" s="17" t="str">
        <f>IFERROR(__xludf.DUMMYFUNCTION("GOOGLEFINANCE($E4,""price"",""5/4/2020"")"),"Date")</f>
        <v>Date</v>
      </c>
      <c r="J4" s="18" t="str">
        <f>IFERROR(__xludf.DUMMYFUNCTION("""COMPUTED_VALUE"""),"Close")</f>
        <v>Close</v>
      </c>
      <c r="K4" s="18">
        <f>IFERROR(__xludf.DUMMYFUNCTION("GOOGLEFINANCE($E4,""price"")"),2929.8)</f>
        <v>2929.8</v>
      </c>
      <c r="L4" s="19">
        <f>round(K4*H4,2)</f>
        <v>51535.18</v>
      </c>
      <c r="M4" s="20">
        <f>L4-G4</f>
        <v>1535.18</v>
      </c>
      <c r="N4" s="21">
        <f>L4-G4</f>
        <v>1535.18</v>
      </c>
      <c r="O4" s="22">
        <f> round(M4*100/F4,2)</f>
        <v>3.07</v>
      </c>
    </row>
    <row r="5">
      <c r="A5" s="23">
        <f>IFERROR(__xludf.DUMMYFUNCTION("""COMPUTED_VALUE"""),43955.99861111111)</f>
        <v>43955.99861</v>
      </c>
      <c r="B5" s="24">
        <f>IFERROR(__xludf.DUMMYFUNCTION("""COMPUTED_VALUE"""),1.09041)</f>
        <v>1.09041</v>
      </c>
      <c r="I5" s="25">
        <f>IFERROR(__xludf.DUMMYFUNCTION("""COMPUTED_VALUE"""),43955.66666666667)</f>
        <v>43955.66667</v>
      </c>
      <c r="J5" s="18">
        <f>IFERROR(__xludf.DUMMYFUNCTION("""COMPUTED_VALUE"""),2842.74)</f>
        <v>2842.74</v>
      </c>
    </row>
    <row r="6">
      <c r="A6" s="11" t="str">
        <f>IFERROR(__xludf.DUMMYFUNCTION("GOOGLEFINANCE(""currency:EURUSD"", ""price"",DATE(2020,4,8))"),"Date")</f>
        <v>Date</v>
      </c>
      <c r="B6" s="11" t="str">
        <f>IFERROR(__xludf.DUMMYFUNCTION("""COMPUTED_VALUE"""),"Close")</f>
        <v>Close</v>
      </c>
      <c r="C6" s="12" t="s">
        <v>17</v>
      </c>
      <c r="D6" s="13" t="str">
        <f>IFERROR(__xludf.DUMMYFUNCTION("GOOGLEFINANCE($E6, ""name"")"),"NASDAQ-100")</f>
        <v>NASDAQ-100</v>
      </c>
      <c r="E6" s="14" t="s">
        <v>19</v>
      </c>
      <c r="F6" s="15">
        <v>50000.0</v>
      </c>
      <c r="G6" s="15">
        <v>50000.0</v>
      </c>
      <c r="H6" s="16">
        <f>round(G6/J7,2)</f>
        <v>5.66</v>
      </c>
      <c r="I6" s="18" t="str">
        <f>IFERROR(__xludf.DUMMYFUNCTION("GOOGLEFINANCE($E6,""price"",""5/4/2020"")"),"Date")</f>
        <v>Date</v>
      </c>
      <c r="J6" s="18" t="str">
        <f>IFERROR(__xludf.DUMMYFUNCTION("""COMPUTED_VALUE"""),"Close")</f>
        <v>Close</v>
      </c>
      <c r="K6" s="18">
        <f>IFERROR(__xludf.DUMMYFUNCTION("GOOGLEFINANCE($E6,""price"")"),9220.35)</f>
        <v>9220.35</v>
      </c>
      <c r="L6" s="19">
        <f>round(K6*H6,2)</f>
        <v>52187.18</v>
      </c>
      <c r="M6" s="20">
        <f>L6-G6</f>
        <v>2187.18</v>
      </c>
      <c r="N6" s="21">
        <f>L6-G6</f>
        <v>2187.18</v>
      </c>
      <c r="O6" s="22">
        <f> round(M6*100/F6,2)</f>
        <v>4.37</v>
      </c>
    </row>
    <row r="7">
      <c r="A7" s="23">
        <f>IFERROR(__xludf.DUMMYFUNCTION("""COMPUTED_VALUE"""),43929.99861111111)</f>
        <v>43929.99861</v>
      </c>
      <c r="B7" s="24">
        <f>IFERROR(__xludf.DUMMYFUNCTION("""COMPUTED_VALUE"""),1.08605)</f>
        <v>1.08605</v>
      </c>
      <c r="I7" s="25">
        <f>IFERROR(__xludf.DUMMYFUNCTION("""COMPUTED_VALUE"""),43955.66666666667)</f>
        <v>43955.66667</v>
      </c>
      <c r="J7" s="18">
        <f>IFERROR(__xludf.DUMMYFUNCTION("""COMPUTED_VALUE"""),8834.11)</f>
        <v>8834.11</v>
      </c>
    </row>
    <row r="8">
      <c r="A8" s="6" t="s">
        <v>20</v>
      </c>
      <c r="C8" s="12" t="s">
        <v>21</v>
      </c>
      <c r="D8" s="13" t="str">
        <f>IFERROR(__xludf.DUMMYFUNCTION("GOOGLEFINANCE(""indexdb:DAX"", ""name"")"),"DAX PERFORMANCE-INDEX")</f>
        <v>DAX PERFORMANCE-INDEX</v>
      </c>
      <c r="E8" s="14" t="s">
        <v>22</v>
      </c>
      <c r="F8" s="15">
        <v>50000.0</v>
      </c>
      <c r="G8" s="15">
        <f>50000/B5</f>
        <v>45854.31168</v>
      </c>
      <c r="H8" s="16">
        <f>round(G8/J9,2)</f>
        <v>4.38</v>
      </c>
      <c r="I8" s="26" t="str">
        <f>IFERROR(__xludf.DUMMYFUNCTION("GOOGLEFINANCE(""indexdb:DAX"",""price"",""5/4/2020"")"),"Date")</f>
        <v>Date</v>
      </c>
      <c r="J8" s="18" t="str">
        <f>IFERROR(__xludf.DUMMYFUNCTION("""COMPUTED_VALUE"""),"Close")</f>
        <v>Close</v>
      </c>
      <c r="K8" s="18">
        <f>IFERROR(__xludf.DUMMYFUNCTION("GOOGLEFINANCE(""indexdb:DAX"",""price"")"),10904.48)</f>
        <v>10904.48</v>
      </c>
      <c r="L8" s="19">
        <f>round(K8*H8,2)</f>
        <v>47761.62</v>
      </c>
      <c r="M8" s="20">
        <f>N8*B7</f>
        <v>2071.4322</v>
      </c>
      <c r="N8" s="21">
        <f>L8-G8</f>
        <v>1907.308319</v>
      </c>
      <c r="O8" s="22">
        <f> round(M8*100/F8,2)</f>
        <v>4.14</v>
      </c>
    </row>
    <row r="9">
      <c r="A9" s="27" t="str">
        <f>IFERROR(__xludf.DUMMYFUNCTION("GOOGLEFINANCE(""currency:JPYUSD"", ""price"",DATE(2020,5,4))"),"Date")</f>
        <v>Date</v>
      </c>
      <c r="B9" s="27" t="str">
        <f>IFERROR(__xludf.DUMMYFUNCTION("""COMPUTED_VALUE"""),"Close")</f>
        <v>Close</v>
      </c>
      <c r="I9" s="25">
        <f>IFERROR(__xludf.DUMMYFUNCTION("""COMPUTED_VALUE"""),43955.83333333333)</f>
        <v>43955.83333</v>
      </c>
      <c r="J9" s="18">
        <f>IFERROR(__xludf.DUMMYFUNCTION("""COMPUTED_VALUE"""),10466.8)</f>
        <v>10466.8</v>
      </c>
    </row>
    <row r="10">
      <c r="A10" s="28">
        <f>IFERROR(__xludf.DUMMYFUNCTION("""COMPUTED_VALUE"""),43955.99861111111)</f>
        <v>43955.99861</v>
      </c>
      <c r="B10" s="27">
        <f>IFERROR(__xludf.DUMMYFUNCTION("""COMPUTED_VALUE"""),0.009372)</f>
        <v>0.009372</v>
      </c>
      <c r="C10" s="12" t="s">
        <v>23</v>
      </c>
      <c r="D10" s="13" t="str">
        <f>IFERROR(__xludf.DUMMYFUNCTION("GOOGLEFINANCE($E10, ""name"")"),"Nikkei 225")</f>
        <v>Nikkei 225</v>
      </c>
      <c r="E10" s="14" t="s">
        <v>24</v>
      </c>
      <c r="F10" s="15">
        <v>20000.0</v>
      </c>
      <c r="G10" s="15">
        <f>20000/B10</f>
        <v>2134016.219</v>
      </c>
      <c r="H10" s="16">
        <f>round(G10/J11,2)</f>
        <v>108.77</v>
      </c>
      <c r="I10" s="18" t="str">
        <f>IFERROR(__xludf.DUMMYFUNCTION("GOOGLEFINANCE($E10,""price"",""4/30/2020"")"),"Date")</f>
        <v>Date</v>
      </c>
      <c r="J10" s="18" t="str">
        <f>IFERROR(__xludf.DUMMYFUNCTION("""COMPUTED_VALUE"""),"Close")</f>
        <v>Close</v>
      </c>
      <c r="K10" s="18">
        <f>IFERROR(__xludf.DUMMYFUNCTION("GOOGLEFINANCE($E10,""price"")"),20179.09)</f>
        <v>20179.09</v>
      </c>
      <c r="L10" s="19">
        <f>round(K10*H10,2)</f>
        <v>2194879.62</v>
      </c>
      <c r="M10" s="20">
        <f>N10*B12</f>
        <v>558.786889</v>
      </c>
      <c r="N10" s="21">
        <f>L10-G10</f>
        <v>60863.40148</v>
      </c>
      <c r="O10" s="22">
        <f> round(M10*100/F10,2)</f>
        <v>2.79</v>
      </c>
    </row>
    <row r="11">
      <c r="A11" s="27" t="str">
        <f>IFERROR(__xludf.DUMMYFUNCTION("GOOGLEFINANCE(""currency:JPYUSD"", ""price"",DATE(2020,4,8))"),"Date")</f>
        <v>Date</v>
      </c>
      <c r="B11" s="27" t="str">
        <f>IFERROR(__xludf.DUMMYFUNCTION("""COMPUTED_VALUE"""),"Close")</f>
        <v>Close</v>
      </c>
      <c r="I11" s="25">
        <f>IFERROR(__xludf.DUMMYFUNCTION("""COMPUTED_VALUE"""),43952.625)</f>
        <v>43952.625</v>
      </c>
      <c r="J11" s="18">
        <f>IFERROR(__xludf.DUMMYFUNCTION("""COMPUTED_VALUE"""),19619.35)</f>
        <v>19619.35</v>
      </c>
    </row>
    <row r="12">
      <c r="A12" s="28">
        <f>IFERROR(__xludf.DUMMYFUNCTION("""COMPUTED_VALUE"""),43929.99861111111)</f>
        <v>43929.99861</v>
      </c>
      <c r="B12" s="27">
        <f>IFERROR(__xludf.DUMMYFUNCTION("""COMPUTED_VALUE"""),0.009181)</f>
        <v>0.009181</v>
      </c>
      <c r="C12" s="12" t="s">
        <v>25</v>
      </c>
      <c r="D12" s="14" t="s">
        <v>26</v>
      </c>
      <c r="E12" s="29" t="s">
        <v>27</v>
      </c>
      <c r="F12" s="15">
        <v>20000.0</v>
      </c>
      <c r="G12" s="15">
        <f>20000/B15</f>
        <v>141250.0203</v>
      </c>
      <c r="H12" s="16">
        <f>round(G12/J13,2)</f>
        <v>49.38</v>
      </c>
      <c r="I12" s="30" t="s">
        <v>28</v>
      </c>
      <c r="J12" s="30" t="s">
        <v>29</v>
      </c>
      <c r="K12" s="18">
        <f>IFERROR(__xludf.DUMMYFUNCTION("IMPORTXML(""https://www.bloomberg.com/quote/SHCOMP:IND/"", 
 ""//span[@class = 'priceText__1853e8a5']"")*1"),2895.34)</f>
        <v>2895.34</v>
      </c>
      <c r="L12" s="19">
        <f>round(K12*H12,2)</f>
        <v>142971.89</v>
      </c>
      <c r="M12" s="20">
        <f>N12*B17</f>
        <v>243.6843371</v>
      </c>
      <c r="N12" s="21">
        <f>L12-G12</f>
        <v>1721.869695</v>
      </c>
      <c r="O12" s="22">
        <f> round(M12*100/F12,2)</f>
        <v>1.22</v>
      </c>
    </row>
    <row r="13">
      <c r="A13" s="6" t="s">
        <v>30</v>
      </c>
      <c r="I13" s="31">
        <v>43951.666666666664</v>
      </c>
      <c r="J13" s="30">
        <v>2860.41</v>
      </c>
    </row>
    <row r="14">
      <c r="A14" s="32" t="str">
        <f>IFERROR(__xludf.DUMMYFUNCTION("GOOGLEFINANCE(""currency:CNYUSD"", ""price"",DATE(2020,5,4))"),"Date")</f>
        <v>Date</v>
      </c>
      <c r="B14" s="27" t="str">
        <f>IFERROR(__xludf.DUMMYFUNCTION("""COMPUTED_VALUE"""),"Close")</f>
        <v>Close</v>
      </c>
      <c r="C14" s="12" t="s">
        <v>31</v>
      </c>
      <c r="D14" s="33" t="str">
        <f>IFERROR(__xludf.DUMMYFUNCTION("GOOGLEFINANCE($E14, ""name"")"),"S&amp;P GSCI Crude Oil ER")</f>
        <v>S&amp;P GSCI Crude Oil ER</v>
      </c>
      <c r="E14" s="14" t="s">
        <v>32</v>
      </c>
      <c r="F14" s="15">
        <v>10000.0</v>
      </c>
      <c r="G14" s="15">
        <v>10000.0</v>
      </c>
      <c r="H14" s="16">
        <f>round(G14/J15,2)</f>
        <v>268.82</v>
      </c>
      <c r="I14" s="30" t="s">
        <v>28</v>
      </c>
      <c r="J14" s="30" t="s">
        <v>29</v>
      </c>
      <c r="K14" s="18">
        <f>IFERROR(__xludf.DUMMYFUNCTION("GOOGLEFINANCE($E14,""price"")"),42.78)</f>
        <v>42.78</v>
      </c>
      <c r="L14" s="19">
        <f>round(K14*H14,2)</f>
        <v>11500.12</v>
      </c>
      <c r="M14" s="34">
        <v>1500.0</v>
      </c>
      <c r="N14" s="21">
        <f>L14-G14</f>
        <v>1500.12</v>
      </c>
      <c r="O14" s="22">
        <f> round(M14*100/F14,2)</f>
        <v>15</v>
      </c>
    </row>
    <row r="15">
      <c r="A15" s="28">
        <f>IFERROR(__xludf.DUMMYFUNCTION("""COMPUTED_VALUE"""),43955.99861111111)</f>
        <v>43955.99861</v>
      </c>
      <c r="B15" s="27">
        <f>IFERROR(__xludf.DUMMYFUNCTION("""COMPUTED_VALUE"""),0.1415929)</f>
        <v>0.1415929</v>
      </c>
      <c r="I15" s="30" t="s">
        <v>33</v>
      </c>
      <c r="J15" s="30">
        <v>37.2</v>
      </c>
    </row>
    <row r="16">
      <c r="A16" s="27" t="str">
        <f>IFERROR(__xludf.DUMMYFUNCTION("GOOGLEFINANCE(""currency:CNYUSD"", ""price"",DATE(2020,4,8))"),"Date")</f>
        <v>Date</v>
      </c>
      <c r="B16" s="27" t="str">
        <f>IFERROR(__xludf.DUMMYFUNCTION("""COMPUTED_VALUE"""),"Close")</f>
        <v>Close</v>
      </c>
      <c r="C16" s="12" t="s">
        <v>31</v>
      </c>
      <c r="D16" s="33" t="str">
        <f>IFERROR(__xludf.DUMMYFUNCTION("GOOGLEFINANCE($E16, ""name"")"),"S&amp;P GSCI Gold ER")</f>
        <v>S&amp;P GSCI Gold ER</v>
      </c>
      <c r="E16" s="14" t="s">
        <v>34</v>
      </c>
      <c r="F16" s="15">
        <v>50000.0</v>
      </c>
      <c r="G16" s="15">
        <v>50000.0</v>
      </c>
      <c r="H16" s="16">
        <f>round(G16/J17,2)</f>
        <v>382.18</v>
      </c>
      <c r="I16" s="30" t="s">
        <v>28</v>
      </c>
      <c r="J16" s="30" t="s">
        <v>29</v>
      </c>
      <c r="K16" s="18">
        <f>IFERROR(__xludf.DUMMYFUNCTION("GOOGLEFINANCE($E16,""price"")"),130.92)</f>
        <v>130.92</v>
      </c>
      <c r="L16" s="19">
        <f>round(K16*H16,2)</f>
        <v>50035.01</v>
      </c>
      <c r="M16" s="34">
        <v>34.0</v>
      </c>
      <c r="N16" s="21">
        <f>L16-G16</f>
        <v>35.01</v>
      </c>
      <c r="O16" s="22">
        <f> round(M16*100/F16,2)</f>
        <v>0.07</v>
      </c>
    </row>
    <row r="17">
      <c r="A17" s="28">
        <f>IFERROR(__xludf.DUMMYFUNCTION("""COMPUTED_VALUE"""),43929.99861111111)</f>
        <v>43929.99861</v>
      </c>
      <c r="B17" s="27">
        <f>IFERROR(__xludf.DUMMYFUNCTION("""COMPUTED_VALUE"""),0.1415231)</f>
        <v>0.1415231</v>
      </c>
      <c r="I17" s="35">
        <v>43955.666666666664</v>
      </c>
      <c r="J17" s="30">
        <v>130.83</v>
      </c>
    </row>
    <row r="18">
      <c r="A18" s="27"/>
      <c r="B18" s="27"/>
      <c r="C18" s="12" t="s">
        <v>35</v>
      </c>
      <c r="D18" s="33" t="str">
        <f>IFERROR(__xludf.DUMMYFUNCTION("GOOGLEFINANCE($E18, ""name"")"),"iShares Barclays 20+ Yr Treas.Bond")</f>
        <v>iShares Barclays 20+ Yr Treas.Bond</v>
      </c>
      <c r="E18" s="14" t="s">
        <v>36</v>
      </c>
      <c r="F18" s="15">
        <v>30000.0</v>
      </c>
      <c r="G18" s="15">
        <v>30000.0</v>
      </c>
      <c r="H18" s="16">
        <f>round(G18/J19,2)</f>
        <v>179.47</v>
      </c>
      <c r="I18" s="18" t="str">
        <f>IFERROR(__xludf.DUMMYFUNCTION("GOOGLEFINANCE($E18,""price"",""5/4/2020"")"),"Date")</f>
        <v>Date</v>
      </c>
      <c r="J18" s="18" t="str">
        <f>IFERROR(__xludf.DUMMYFUNCTION("""COMPUTED_VALUE"""),"Close")</f>
        <v>Close</v>
      </c>
      <c r="K18" s="18">
        <f>IFERROR(__xludf.DUMMYFUNCTION("GOOGLEFINANCE($E18,""price"")"),163.98)</f>
        <v>163.98</v>
      </c>
      <c r="L18" s="19">
        <f>round(K18*H18,2)</f>
        <v>29429.49</v>
      </c>
      <c r="M18" s="36">
        <f>-571</f>
        <v>-571</v>
      </c>
      <c r="N18" s="37">
        <f>L18-G18</f>
        <v>-570.51</v>
      </c>
      <c r="O18" s="22">
        <f> round(M18*100/F18,2)</f>
        <v>-1.9</v>
      </c>
    </row>
    <row r="19">
      <c r="A19" s="27"/>
      <c r="B19" s="27"/>
      <c r="I19" s="25">
        <f>IFERROR(__xludf.DUMMYFUNCTION("""COMPUTED_VALUE"""),43955.66666666667)</f>
        <v>43955.66667</v>
      </c>
      <c r="J19" s="18">
        <f>IFERROR(__xludf.DUMMYFUNCTION("""COMPUTED_VALUE"""),167.16)</f>
        <v>167.16</v>
      </c>
    </row>
    <row r="20">
      <c r="A20" s="27"/>
      <c r="B20" s="27"/>
      <c r="C20" s="12" t="s">
        <v>35</v>
      </c>
      <c r="D20" s="33" t="str">
        <f>IFERROR(__xludf.DUMMYFUNCTION("GOOGLEFINANCE($E20, ""name"")"),"iShares iBoxx $ High Yid Corp Bond")</f>
        <v>iShares iBoxx $ High Yid Corp Bond</v>
      </c>
      <c r="E20" s="14" t="s">
        <v>37</v>
      </c>
      <c r="F20" s="15">
        <v>20000.0</v>
      </c>
      <c r="G20" s="15">
        <v>20000.0</v>
      </c>
      <c r="H20" s="16">
        <f>round(G20/J21,2)</f>
        <v>254.55</v>
      </c>
      <c r="I20" s="18" t="str">
        <f>IFERROR(__xludf.DUMMYFUNCTION("GOOGLEFINANCE($E20,""price"",""5/4/2020"")"),"Date")</f>
        <v>Date</v>
      </c>
      <c r="J20" s="18" t="str">
        <f>IFERROR(__xludf.DUMMYFUNCTION("""COMPUTED_VALUE"""),"Close")</f>
        <v>Close</v>
      </c>
      <c r="K20" s="18">
        <f>IFERROR(__xludf.DUMMYFUNCTION("GOOGLEFINANCE($E20,""price"")"),79.75)</f>
        <v>79.75</v>
      </c>
      <c r="L20" s="19">
        <f>round(K20*H20,2)</f>
        <v>20300.36</v>
      </c>
      <c r="M20" s="38">
        <v>300.0</v>
      </c>
      <c r="N20" s="21">
        <f>L20-G20</f>
        <v>300.36</v>
      </c>
      <c r="O20" s="39">
        <f> round(M20*100/F20,2)</f>
        <v>1.5</v>
      </c>
    </row>
    <row r="21">
      <c r="A21" s="27"/>
      <c r="B21" s="27"/>
      <c r="I21" s="25">
        <f>IFERROR(__xludf.DUMMYFUNCTION("""COMPUTED_VALUE"""),43955.66666666667)</f>
        <v>43955.66667</v>
      </c>
      <c r="J21" s="18">
        <f>IFERROR(__xludf.DUMMYFUNCTION("""COMPUTED_VALUE"""),78.57)</f>
        <v>78.57</v>
      </c>
    </row>
    <row r="22">
      <c r="A22" s="27"/>
      <c r="B22" s="27"/>
      <c r="C22" s="12" t="s">
        <v>38</v>
      </c>
      <c r="D22" s="40" t="s">
        <v>38</v>
      </c>
      <c r="E22" s="14" t="s">
        <v>39</v>
      </c>
      <c r="F22" s="15">
        <v>700000.0</v>
      </c>
      <c r="G22" s="15">
        <v>700000.0</v>
      </c>
      <c r="H22" s="41" t="s">
        <v>39</v>
      </c>
      <c r="I22" s="30" t="s">
        <v>39</v>
      </c>
      <c r="J22" s="30" t="s">
        <v>39</v>
      </c>
      <c r="K22" s="30" t="s">
        <v>39</v>
      </c>
      <c r="L22" s="12">
        <f>round(G22*(1+ 7/36500),2)</f>
        <v>700134.25</v>
      </c>
      <c r="M22" s="38">
        <v>134.0</v>
      </c>
      <c r="N22" s="21">
        <f>L22-G22</f>
        <v>134.25</v>
      </c>
      <c r="O22" s="39">
        <f> round(M22*100/F22,2)</f>
        <v>0.02</v>
      </c>
    </row>
    <row r="23">
      <c r="A23" s="27"/>
      <c r="B23" s="27"/>
      <c r="I23" s="30" t="s">
        <v>39</v>
      </c>
      <c r="J23" s="30" t="s">
        <v>39</v>
      </c>
    </row>
    <row r="24">
      <c r="A24" s="27"/>
      <c r="B24" s="27"/>
      <c r="C24" s="42" t="s">
        <v>40</v>
      </c>
      <c r="D24" s="43"/>
      <c r="E24" s="43"/>
      <c r="F24" s="44">
        <f>SUM(F4:F23)</f>
        <v>1000000</v>
      </c>
      <c r="G24" s="43"/>
      <c r="H24" s="43"/>
      <c r="I24" s="43"/>
      <c r="J24" s="43"/>
      <c r="K24" s="43"/>
      <c r="L24" s="43"/>
      <c r="M24" s="45">
        <f>SUM(M4:M23)</f>
        <v>7993.263426</v>
      </c>
      <c r="N24" s="46"/>
      <c r="O24" s="46">
        <f>round(SUM(MULTIPLY(F4,O4/F24),MULTIPLY(F6,O6/F24),MULTIPLY(F8,O8/F24),MULTIPLY(F10,O10/F24),MULTIPLY(F12,O12/F24),MULTIPLY(F14,O14/F24),MULTIPLY(F16,O16/F24),MULTIPLY(F18,O18/F24),MULTIPLY(F20,O20/F24),MULTIPLY(F22,O22/F24)),2)</f>
        <v>0.8</v>
      </c>
    </row>
    <row r="28">
      <c r="B28" s="47"/>
    </row>
    <row r="32">
      <c r="D32" s="48"/>
      <c r="E32" s="49"/>
    </row>
    <row r="40">
      <c r="B40" s="50" t="s">
        <v>41</v>
      </c>
    </row>
  </sheetData>
  <mergeCells count="119">
    <mergeCell ref="F4:F5"/>
    <mergeCell ref="G4:G5"/>
    <mergeCell ref="F6:F7"/>
    <mergeCell ref="G6:G7"/>
    <mergeCell ref="H6:H7"/>
    <mergeCell ref="H4:H5"/>
    <mergeCell ref="K4:K5"/>
    <mergeCell ref="K6:K7"/>
    <mergeCell ref="L6:L7"/>
    <mergeCell ref="M6:M7"/>
    <mergeCell ref="N6:N7"/>
    <mergeCell ref="O6:O7"/>
    <mergeCell ref="L4:L5"/>
    <mergeCell ref="M4:M5"/>
    <mergeCell ref="O4:O5"/>
    <mergeCell ref="F1:H1"/>
    <mergeCell ref="A2:B2"/>
    <mergeCell ref="F2:G2"/>
    <mergeCell ref="M2:N2"/>
    <mergeCell ref="A3:B3"/>
    <mergeCell ref="I3:J3"/>
    <mergeCell ref="C4:C5"/>
    <mergeCell ref="N4:N5"/>
    <mergeCell ref="M8:M9"/>
    <mergeCell ref="N8:N9"/>
    <mergeCell ref="O8:O9"/>
    <mergeCell ref="D8:D9"/>
    <mergeCell ref="E8:E9"/>
    <mergeCell ref="F8:F9"/>
    <mergeCell ref="G8:G9"/>
    <mergeCell ref="H8:H9"/>
    <mergeCell ref="K8:K9"/>
    <mergeCell ref="L8:L9"/>
    <mergeCell ref="D4:D5"/>
    <mergeCell ref="E4:E5"/>
    <mergeCell ref="C6:C7"/>
    <mergeCell ref="D6:D7"/>
    <mergeCell ref="E6:E7"/>
    <mergeCell ref="A8:B8"/>
    <mergeCell ref="C8:C9"/>
    <mergeCell ref="L16:L17"/>
    <mergeCell ref="M16:M17"/>
    <mergeCell ref="N16:N17"/>
    <mergeCell ref="O16:O17"/>
    <mergeCell ref="C16:C17"/>
    <mergeCell ref="D16:D17"/>
    <mergeCell ref="E16:E17"/>
    <mergeCell ref="F16:F17"/>
    <mergeCell ref="G16:G17"/>
    <mergeCell ref="H16:H17"/>
    <mergeCell ref="K16:K17"/>
    <mergeCell ref="L18:L19"/>
    <mergeCell ref="M18:M19"/>
    <mergeCell ref="N18:N19"/>
    <mergeCell ref="O18:O19"/>
    <mergeCell ref="C18:C19"/>
    <mergeCell ref="D18:D19"/>
    <mergeCell ref="E18:E19"/>
    <mergeCell ref="F18:F19"/>
    <mergeCell ref="G18:G19"/>
    <mergeCell ref="H18:H19"/>
    <mergeCell ref="K18:K19"/>
    <mergeCell ref="L20:L21"/>
    <mergeCell ref="M20:M21"/>
    <mergeCell ref="N20:N21"/>
    <mergeCell ref="O20:O21"/>
    <mergeCell ref="C20:C21"/>
    <mergeCell ref="D20:D21"/>
    <mergeCell ref="E20:E21"/>
    <mergeCell ref="F20:F21"/>
    <mergeCell ref="G20:G21"/>
    <mergeCell ref="H20:H21"/>
    <mergeCell ref="K20:K21"/>
    <mergeCell ref="L10:L11"/>
    <mergeCell ref="M10:M11"/>
    <mergeCell ref="N10:N11"/>
    <mergeCell ref="O10:O11"/>
    <mergeCell ref="C10:C11"/>
    <mergeCell ref="D10:D11"/>
    <mergeCell ref="E10:E11"/>
    <mergeCell ref="F10:F11"/>
    <mergeCell ref="G10:G11"/>
    <mergeCell ref="H10:H11"/>
    <mergeCell ref="K10:K11"/>
    <mergeCell ref="L12:L13"/>
    <mergeCell ref="M12:M13"/>
    <mergeCell ref="N12:N13"/>
    <mergeCell ref="O12:O13"/>
    <mergeCell ref="D12:D13"/>
    <mergeCell ref="E12:E13"/>
    <mergeCell ref="F12:F13"/>
    <mergeCell ref="G12:G13"/>
    <mergeCell ref="H12:H13"/>
    <mergeCell ref="K12:K13"/>
    <mergeCell ref="A13:B13"/>
    <mergeCell ref="K14:K15"/>
    <mergeCell ref="L14:L15"/>
    <mergeCell ref="M14:M15"/>
    <mergeCell ref="N14:N15"/>
    <mergeCell ref="O14:O15"/>
    <mergeCell ref="C12:C13"/>
    <mergeCell ref="C14:C15"/>
    <mergeCell ref="D14:D15"/>
    <mergeCell ref="E14:E15"/>
    <mergeCell ref="F14:F15"/>
    <mergeCell ref="G14:G15"/>
    <mergeCell ref="H14:H15"/>
    <mergeCell ref="L22:L23"/>
    <mergeCell ref="M22:M23"/>
    <mergeCell ref="N22:N23"/>
    <mergeCell ref="O22:O23"/>
    <mergeCell ref="C22:C23"/>
    <mergeCell ref="D22:D23"/>
    <mergeCell ref="E22:E23"/>
    <mergeCell ref="F22:F23"/>
    <mergeCell ref="G22:G23"/>
    <mergeCell ref="H22:H23"/>
    <mergeCell ref="K22:K23"/>
    <mergeCell ref="E32:F32"/>
  </mergeCells>
  <drawing r:id="rId1"/>
</worksheet>
</file>