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yush Mishra\Desktop\FDG Project\"/>
    </mc:Choice>
  </mc:AlternateContent>
  <bookViews>
    <workbookView xWindow="1185" yWindow="1455" windowWidth="27240" windowHeight="14940"/>
  </bookViews>
  <sheets>
    <sheet name="FCF Valuatio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92" i="1" l="1"/>
  <c r="I74" i="1"/>
  <c r="J74" i="1" s="1"/>
  <c r="K74" i="1" s="1"/>
  <c r="L74" i="1" s="1"/>
  <c r="M74" i="1" s="1"/>
  <c r="E65" i="1"/>
  <c r="D65" i="1"/>
  <c r="C65" i="1"/>
  <c r="D68" i="1" s="1"/>
  <c r="E51" i="1"/>
  <c r="D51" i="1"/>
  <c r="C51" i="1"/>
  <c r="E38" i="1"/>
  <c r="D37" i="1"/>
  <c r="E35" i="1"/>
  <c r="D35" i="1"/>
  <c r="C35" i="1"/>
  <c r="E19" i="1"/>
  <c r="E17" i="1"/>
  <c r="D17" i="1"/>
  <c r="D19" i="1" s="1"/>
  <c r="C17" i="1"/>
  <c r="C19" i="1" s="1"/>
  <c r="E18" i="1"/>
  <c r="E36" i="1" s="1"/>
  <c r="E52" i="1" s="1"/>
  <c r="E66" i="1" s="1"/>
  <c r="D38" i="1"/>
  <c r="C38" i="1"/>
  <c r="F3" i="1"/>
  <c r="F5" i="1" s="1"/>
  <c r="E4" i="1"/>
  <c r="D4" i="1"/>
  <c r="C37" i="1"/>
  <c r="F17" i="1" l="1"/>
  <c r="F18" i="1"/>
  <c r="F35" i="1"/>
  <c r="F51" i="1"/>
  <c r="G3" i="1"/>
  <c r="C6" i="1"/>
  <c r="C18" i="1"/>
  <c r="C36" i="1" s="1"/>
  <c r="C52" i="1" s="1"/>
  <c r="C66" i="1" s="1"/>
  <c r="E37" i="1"/>
  <c r="D6" i="1"/>
  <c r="D18" i="1"/>
  <c r="D36" i="1" s="1"/>
  <c r="D52" i="1" s="1"/>
  <c r="D66" i="1" s="1"/>
  <c r="F65" i="1"/>
  <c r="G65" i="1" l="1"/>
  <c r="H3" i="1"/>
  <c r="G5" i="1"/>
  <c r="G35" i="1" s="1"/>
  <c r="G51" i="1"/>
  <c r="F36" i="1"/>
  <c r="F52" i="1" s="1"/>
  <c r="F66" i="1" s="1"/>
  <c r="D75" i="1" s="1"/>
  <c r="I3" i="1" l="1"/>
  <c r="H65" i="1"/>
  <c r="H51" i="1"/>
  <c r="H5" i="1"/>
  <c r="H35" i="1" s="1"/>
  <c r="G17" i="1"/>
  <c r="G18" i="1" s="1"/>
  <c r="G36" i="1" s="1"/>
  <c r="G52" i="1" s="1"/>
  <c r="G66" i="1" s="1"/>
  <c r="E75" i="1" s="1"/>
  <c r="H17" i="1" l="1"/>
  <c r="H18" i="1" s="1"/>
  <c r="H36" i="1" s="1"/>
  <c r="H52" i="1" s="1"/>
  <c r="H66" i="1" s="1"/>
  <c r="F75" i="1" s="1"/>
  <c r="I51" i="1"/>
  <c r="I5" i="1"/>
  <c r="I35" i="1" s="1"/>
  <c r="J3" i="1"/>
  <c r="I65" i="1"/>
  <c r="J5" i="1" l="1"/>
  <c r="J35" i="1" s="1"/>
  <c r="J51" i="1"/>
  <c r="J65" i="1"/>
  <c r="K3" i="1"/>
  <c r="I17" i="1"/>
  <c r="I18" i="1" s="1"/>
  <c r="I36" i="1" s="1"/>
  <c r="I52" i="1" s="1"/>
  <c r="I66" i="1" s="1"/>
  <c r="G75" i="1" s="1"/>
  <c r="K65" i="1" l="1"/>
  <c r="L3" i="1"/>
  <c r="K51" i="1"/>
  <c r="K5" i="1"/>
  <c r="K35" i="1" s="1"/>
  <c r="J17" i="1"/>
  <c r="J18" i="1" s="1"/>
  <c r="J36" i="1" s="1"/>
  <c r="J52" i="1" s="1"/>
  <c r="J66" i="1" s="1"/>
  <c r="H75" i="1" s="1"/>
  <c r="M3" i="1" l="1"/>
  <c r="L51" i="1"/>
  <c r="L5" i="1"/>
  <c r="L65" i="1"/>
  <c r="K17" i="1"/>
  <c r="K18" i="1" s="1"/>
  <c r="K36" i="1" s="1"/>
  <c r="K52" i="1" s="1"/>
  <c r="K66" i="1" s="1"/>
  <c r="I75" i="1" s="1"/>
  <c r="L17" i="1" l="1"/>
  <c r="L18" i="1" s="1"/>
  <c r="L35" i="1"/>
  <c r="M51" i="1"/>
  <c r="M5" i="1"/>
  <c r="M65" i="1"/>
  <c r="N3" i="1"/>
  <c r="L36" i="1" l="1"/>
  <c r="L52" i="1" s="1"/>
  <c r="L66" i="1" s="1"/>
  <c r="J75" i="1" s="1"/>
  <c r="N5" i="1"/>
  <c r="N35" i="1" s="1"/>
  <c r="N65" i="1"/>
  <c r="O3" i="1"/>
  <c r="N51" i="1"/>
  <c r="M17" i="1"/>
  <c r="M18" i="1" s="1"/>
  <c r="M35" i="1"/>
  <c r="M36" i="1" l="1"/>
  <c r="M52" i="1" s="1"/>
  <c r="M66" i="1" s="1"/>
  <c r="K75" i="1" s="1"/>
  <c r="O65" i="1"/>
  <c r="O5" i="1"/>
  <c r="O35" i="1" s="1"/>
  <c r="O51" i="1"/>
  <c r="N17" i="1"/>
  <c r="N18" i="1" s="1"/>
  <c r="N36" i="1" s="1"/>
  <c r="N52" i="1" s="1"/>
  <c r="N66" i="1" s="1"/>
  <c r="L75" i="1" s="1"/>
  <c r="O17" i="1" l="1"/>
  <c r="O18" i="1" s="1"/>
  <c r="O36" i="1" s="1"/>
  <c r="O52" i="1" s="1"/>
  <c r="O66" i="1" s="1"/>
  <c r="M75" i="1" s="1"/>
  <c r="N75" i="1" s="1"/>
  <c r="C76" i="1" s="1"/>
  <c r="C78" i="1" s="1"/>
  <c r="C80" i="1" s="1"/>
</calcChain>
</file>

<file path=xl/comments1.xml><?xml version="1.0" encoding="utf-8"?>
<comments xmlns="http://schemas.openxmlformats.org/spreadsheetml/2006/main">
  <authors>
    <author>Microsoft Office User</author>
  </authors>
  <commentList>
    <comment ref="C7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liability - cash equivalents</t>
        </r>
      </text>
    </comment>
  </commentList>
</comments>
</file>

<file path=xl/sharedStrings.xml><?xml version="1.0" encoding="utf-8"?>
<sst xmlns="http://schemas.openxmlformats.org/spreadsheetml/2006/main" count="108" uniqueCount="95">
  <si>
    <t>All figures in '00000</t>
  </si>
  <si>
    <t>2019 E</t>
  </si>
  <si>
    <t>2020 E</t>
  </si>
  <si>
    <t>2021 E</t>
  </si>
  <si>
    <t>2022 E</t>
  </si>
  <si>
    <t>2023 E</t>
  </si>
  <si>
    <t>2024 E</t>
  </si>
  <si>
    <t>2025 E</t>
  </si>
  <si>
    <t>2026 E</t>
  </si>
  <si>
    <t>2027 E</t>
  </si>
  <si>
    <t>2028 E</t>
  </si>
  <si>
    <t>Remarks</t>
  </si>
  <si>
    <t>Revenue</t>
  </si>
  <si>
    <t>revenue growth %</t>
  </si>
  <si>
    <t>Profit after tax</t>
  </si>
  <si>
    <t>Profit margin on the downside because of aggressive pricing required ( Pricicng is the USP of D mart)</t>
  </si>
  <si>
    <t>Profit margin %</t>
  </si>
  <si>
    <t>Depreciation and amortization expenses</t>
  </si>
  <si>
    <t>Finance cost</t>
  </si>
  <si>
    <t>Dividend income</t>
  </si>
  <si>
    <t>-</t>
  </si>
  <si>
    <t>Interest income</t>
  </si>
  <si>
    <t>Profit on sale of investments</t>
  </si>
  <si>
    <t>Remeasurements of net defined benefit plans</t>
  </si>
  <si>
    <t>Expense on Employee Stock Option Scheme</t>
  </si>
  <si>
    <t>Rent Income</t>
  </si>
  <si>
    <t>(Profit)/ loss on sale of fixed assets (net)</t>
  </si>
  <si>
    <t>Net cash flow in operation activities</t>
  </si>
  <si>
    <t>Following the trend</t>
  </si>
  <si>
    <t>Cash flow before working capital changes</t>
  </si>
  <si>
    <t>Increase/(decrease) in trade payables</t>
  </si>
  <si>
    <t>Increase/(decrease) in provisions</t>
  </si>
  <si>
    <t>Increase/(decrease) in other current financial liabilities</t>
  </si>
  <si>
    <t>Increase/(decrease) in other current liabilities</t>
  </si>
  <si>
    <t>Increase/(decrease) in other non current Liabilities</t>
  </si>
  <si>
    <t>(Increase)/decrease in trade receivables</t>
  </si>
  <si>
    <t>(Increase)/decrease in inventories</t>
  </si>
  <si>
    <t>Increase in current investments</t>
  </si>
  <si>
    <t>(Increase)/decrease in other non current financial assets</t>
  </si>
  <si>
    <t>(Increase)/decrease in Bank Balances other than cash and cash equivalents</t>
  </si>
  <si>
    <t>(Increase)/decrease in current loans</t>
  </si>
  <si>
    <t>(Increase)/decrease in other current assets</t>
  </si>
  <si>
    <t>(Increase)/decrease in other current financial assets</t>
  </si>
  <si>
    <t>Direct taxes paid (net of refunds)</t>
  </si>
  <si>
    <t>Net cash flow in working capital change</t>
  </si>
  <si>
    <t>Change in working capital - following the trend; tax paid - 33% based on previous trend</t>
  </si>
  <si>
    <t>Cash flow before investment activities</t>
  </si>
  <si>
    <t>Sale proceeds of property, plant and equipment</t>
  </si>
  <si>
    <t>Realisation from FDs of IPO proceeds</t>
  </si>
  <si>
    <t>Interest Income</t>
  </si>
  <si>
    <t>Dividend received from others</t>
  </si>
  <si>
    <t>Rent Income Received</t>
  </si>
  <si>
    <t>Less: Outflows from investing activities</t>
  </si>
  <si>
    <t>Purchase of property, plant and equipment/ intangible assets/investment properties</t>
  </si>
  <si>
    <t>IPO Proceeds in Bank,Pending Utilisation</t>
  </si>
  <si>
    <t>Investment in associate</t>
  </si>
  <si>
    <t>Net Cash flow from capital investing activities</t>
  </si>
  <si>
    <t>Sales to capital invested ratio is 13 for 2016. Since in the years ahead the company is looking for leased store, the ratio is assumed as 16</t>
  </si>
  <si>
    <t>Cash flow before finance activities</t>
  </si>
  <si>
    <t xml:space="preserve">Cash flow from financing activities: </t>
  </si>
  <si>
    <t xml:space="preserve">Proceeds from issue of shares (net of IPO expenses) </t>
  </si>
  <si>
    <t xml:space="preserve"> Proceeds from long-term borrowings</t>
  </si>
  <si>
    <t xml:space="preserve">Proceeds from non-convertible debentures </t>
  </si>
  <si>
    <t>Proceeds from commercial papers</t>
  </si>
  <si>
    <t xml:space="preserve">Proceeds of short-term borrowings </t>
  </si>
  <si>
    <t>Repayment of long-term borrowings</t>
  </si>
  <si>
    <t xml:space="preserve"> Repayment of non-convertible debentures </t>
  </si>
  <si>
    <t xml:space="preserve">Repayment of commercial papers </t>
  </si>
  <si>
    <t xml:space="preserve">Repayment of short-term borrowings Interest paid </t>
  </si>
  <si>
    <t>Interest paid</t>
  </si>
  <si>
    <t>Net cash flow in financing activities</t>
  </si>
  <si>
    <t>Since a major portion of debt is paid of, one can expect a conservative positive cash flow in financial investments of 2% of revenue (2% at 2016) for the forthcoming years</t>
  </si>
  <si>
    <t>Final free cash flow</t>
  </si>
  <si>
    <t xml:space="preserve">All value in '00000 </t>
  </si>
  <si>
    <t>Terminal value</t>
  </si>
  <si>
    <t>Free cash flows as estimated</t>
  </si>
  <si>
    <t>Present value of fututre cash flows</t>
  </si>
  <si>
    <t>Net debt as on March 2018</t>
  </si>
  <si>
    <t>Fair value / Enterprise value</t>
  </si>
  <si>
    <t>No. of shareholders</t>
  </si>
  <si>
    <t>Target share price ( in rupees)</t>
  </si>
  <si>
    <t>Actual share price  ( in rupees)</t>
  </si>
  <si>
    <t>UNDERVALUED</t>
  </si>
  <si>
    <t>Beta</t>
  </si>
  <si>
    <t>As per reference</t>
  </si>
  <si>
    <t xml:space="preserve">Tax rate </t>
  </si>
  <si>
    <t xml:space="preserve">Risk free rate </t>
  </si>
  <si>
    <t xml:space="preserve">Risk premium </t>
  </si>
  <si>
    <t>Cost of equity</t>
  </si>
  <si>
    <t>Cost of debt</t>
  </si>
  <si>
    <t>Perpertual Growth rate</t>
  </si>
  <si>
    <t>Considering inflation and expected GDP growth</t>
  </si>
  <si>
    <t>WACC</t>
  </si>
  <si>
    <t>Increasing competition will lead to decreasing revenue plus the company moving towards maturity</t>
  </si>
  <si>
    <t>Decreasing because DMART planning to expand its business aggressively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</si>
</sst>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#,##0_);[Red]\(&quot;₹&quot;#,##0\)"/>
    <numFmt numFmtId="165" formatCode="0.000%"/>
  </numFmts>
  <fonts count="20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8"/>
      <color theme="1"/>
      <name val="HelveticaNeueLTStd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333333"/>
      <name val="Arial"/>
      <family val="2"/>
    </font>
    <font>
      <b/>
      <sz val="12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7">
    <xf numFmtId="0" fontId="0" fillId="0" borderId="0" xfId="0"/>
    <xf numFmtId="0" fontId="2" fillId="0" borderId="0" xfId="1"/>
    <xf numFmtId="0" fontId="5" fillId="0" borderId="0" xfId="1" applyFont="1" applyAlignment="1">
      <alignment horizontal="left"/>
    </xf>
    <xf numFmtId="4" fontId="2" fillId="0" borderId="0" xfId="1" applyNumberFormat="1" applyAlignment="1">
      <alignment horizontal="right"/>
    </xf>
    <xf numFmtId="0" fontId="5" fillId="0" borderId="1" xfId="1" applyFont="1" applyBorder="1" applyAlignment="1">
      <alignment horizontal="left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left"/>
    </xf>
    <xf numFmtId="4" fontId="4" fillId="0" borderId="5" xfId="1" applyNumberFormat="1" applyFont="1" applyBorder="1" applyAlignment="1">
      <alignment horizontal="right"/>
    </xf>
    <xf numFmtId="0" fontId="4" fillId="0" borderId="5" xfId="1" applyFont="1" applyBorder="1"/>
    <xf numFmtId="0" fontId="2" fillId="0" borderId="4" xfId="1" applyBorder="1" applyAlignment="1">
      <alignment horizontal="left"/>
    </xf>
    <xf numFmtId="4" fontId="2" fillId="0" borderId="5" xfId="1" applyNumberFormat="1" applyBorder="1" applyAlignment="1">
      <alignment horizontal="right"/>
    </xf>
    <xf numFmtId="9" fontId="2" fillId="0" borderId="5" xfId="1" applyNumberFormat="1" applyBorder="1" applyAlignment="1">
      <alignment horizontal="right"/>
    </xf>
    <xf numFmtId="9" fontId="2" fillId="0" borderId="5" xfId="1" applyNumberFormat="1" applyBorder="1"/>
    <xf numFmtId="4" fontId="4" fillId="3" borderId="5" xfId="1" applyNumberFormat="1" applyFont="1" applyFill="1" applyBorder="1" applyAlignment="1">
      <alignment horizontal="right"/>
    </xf>
    <xf numFmtId="0" fontId="4" fillId="3" borderId="5" xfId="1" applyFont="1" applyFill="1" applyBorder="1"/>
    <xf numFmtId="9" fontId="4" fillId="0" borderId="5" xfId="1" applyNumberFormat="1" applyFont="1" applyBorder="1" applyAlignment="1">
      <alignment horizontal="right"/>
    </xf>
    <xf numFmtId="0" fontId="6" fillId="0" borderId="4" xfId="1" applyFont="1" applyBorder="1" applyAlignment="1">
      <alignment horizontal="left" wrapText="1"/>
    </xf>
    <xf numFmtId="0" fontId="2" fillId="0" borderId="5" xfId="1" applyBorder="1"/>
    <xf numFmtId="0" fontId="2" fillId="0" borderId="6" xfId="1" applyBorder="1"/>
    <xf numFmtId="0" fontId="7" fillId="0" borderId="4" xfId="0" applyFont="1" applyBorder="1" applyAlignment="1">
      <alignment horizontal="left"/>
    </xf>
    <xf numFmtId="4" fontId="8" fillId="0" borderId="5" xfId="0" applyNumberFormat="1" applyFont="1" applyBorder="1" applyAlignment="1">
      <alignment horizontal="right"/>
    </xf>
    <xf numFmtId="0" fontId="9" fillId="0" borderId="5" xfId="0" applyFont="1" applyBorder="1"/>
    <xf numFmtId="0" fontId="0" fillId="0" borderId="6" xfId="0" applyBorder="1"/>
    <xf numFmtId="0" fontId="1" fillId="0" borderId="4" xfId="1" applyFont="1" applyBorder="1" applyAlignment="1">
      <alignment horizontal="left" wrapText="1"/>
    </xf>
    <xf numFmtId="4" fontId="1" fillId="0" borderId="5" xfId="1" applyNumberFormat="1" applyFont="1" applyBorder="1" applyAlignment="1">
      <alignment horizontal="right"/>
    </xf>
    <xf numFmtId="0" fontId="1" fillId="0" borderId="5" xfId="1" applyFont="1" applyBorder="1"/>
    <xf numFmtId="0" fontId="4" fillId="3" borderId="4" xfId="0" applyFont="1" applyFill="1" applyBorder="1" applyAlignment="1">
      <alignment horizontal="left" wrapText="1"/>
    </xf>
    <xf numFmtId="0" fontId="10" fillId="0" borderId="4" xfId="0" applyFont="1" applyBorder="1" applyAlignment="1">
      <alignment horizontal="left" wrapText="1"/>
    </xf>
    <xf numFmtId="0" fontId="11" fillId="0" borderId="4" xfId="0" applyFont="1" applyBorder="1" applyAlignment="1">
      <alignment horizontal="left" wrapText="1"/>
    </xf>
    <xf numFmtId="14" fontId="4" fillId="0" borderId="5" xfId="1" applyNumberFormat="1" applyFont="1" applyBorder="1" applyAlignment="1">
      <alignment horizontal="right"/>
    </xf>
    <xf numFmtId="16" fontId="1" fillId="0" borderId="5" xfId="1" applyNumberFormat="1" applyFont="1" applyBorder="1"/>
    <xf numFmtId="4" fontId="9" fillId="0" borderId="5" xfId="0" applyNumberFormat="1" applyFont="1" applyBorder="1"/>
    <xf numFmtId="0" fontId="7" fillId="0" borderId="4" xfId="0" applyFont="1" applyBorder="1" applyAlignment="1">
      <alignment horizontal="left" wrapText="1"/>
    </xf>
    <xf numFmtId="0" fontId="12" fillId="0" borderId="5" xfId="0" applyFont="1" applyBorder="1"/>
    <xf numFmtId="0" fontId="10" fillId="0" borderId="4" xfId="0" applyFont="1" applyBorder="1" applyAlignment="1">
      <alignment horizontal="left"/>
    </xf>
    <xf numFmtId="0" fontId="4" fillId="3" borderId="7" xfId="0" applyFont="1" applyFill="1" applyBorder="1" applyAlignment="1">
      <alignment horizontal="left" wrapText="1"/>
    </xf>
    <xf numFmtId="4" fontId="4" fillId="3" borderId="8" xfId="1" applyNumberFormat="1" applyFont="1" applyFill="1" applyBorder="1" applyAlignment="1">
      <alignment horizontal="right"/>
    </xf>
    <xf numFmtId="0" fontId="13" fillId="0" borderId="0" xfId="0" applyFont="1" applyAlignment="1">
      <alignment horizontal="left" wrapText="1"/>
    </xf>
    <xf numFmtId="4" fontId="8" fillId="0" borderId="0" xfId="0" applyNumberFormat="1" applyFont="1" applyAlignment="1">
      <alignment horizontal="right"/>
    </xf>
    <xf numFmtId="4" fontId="4" fillId="0" borderId="0" xfId="1" applyNumberFormat="1" applyFont="1" applyAlignment="1">
      <alignment horizontal="right"/>
    </xf>
    <xf numFmtId="165" fontId="2" fillId="0" borderId="0" xfId="1" applyNumberFormat="1" applyAlignment="1">
      <alignment horizontal="right"/>
    </xf>
    <xf numFmtId="0" fontId="3" fillId="2" borderId="10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4" fillId="0" borderId="4" xfId="1" applyFont="1" applyBorder="1" applyAlignment="1">
      <alignment horizontal="left"/>
    </xf>
    <xf numFmtId="0" fontId="15" fillId="0" borderId="6" xfId="0" applyFont="1" applyBorder="1"/>
    <xf numFmtId="0" fontId="15" fillId="0" borderId="0" xfId="0" applyFont="1"/>
    <xf numFmtId="2" fontId="2" fillId="0" borderId="5" xfId="1" applyNumberFormat="1" applyBorder="1"/>
    <xf numFmtId="0" fontId="0" fillId="0" borderId="5" xfId="0" applyBorder="1"/>
    <xf numFmtId="0" fontId="0" fillId="0" borderId="11" xfId="0" applyBorder="1"/>
    <xf numFmtId="0" fontId="8" fillId="0" borderId="6" xfId="0" applyFont="1" applyBorder="1"/>
    <xf numFmtId="0" fontId="8" fillId="0" borderId="0" xfId="0" applyFont="1"/>
    <xf numFmtId="0" fontId="16" fillId="0" borderId="5" xfId="0" applyFont="1" applyBorder="1"/>
    <xf numFmtId="0" fontId="14" fillId="3" borderId="4" xfId="1" applyFont="1" applyFill="1" applyBorder="1" applyAlignment="1">
      <alignment horizontal="left"/>
    </xf>
    <xf numFmtId="164" fontId="2" fillId="3" borderId="5" xfId="1" applyNumberFormat="1" applyFill="1" applyBorder="1"/>
    <xf numFmtId="0" fontId="14" fillId="3" borderId="12" xfId="1" applyFont="1" applyFill="1" applyBorder="1" applyAlignment="1">
      <alignment horizontal="left"/>
    </xf>
    <xf numFmtId="164" fontId="2" fillId="3" borderId="13" xfId="1" applyNumberFormat="1" applyFill="1" applyBorder="1"/>
    <xf numFmtId="0" fontId="2" fillId="0" borderId="13" xfId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4" fillId="3" borderId="7" xfId="1" applyFont="1" applyFill="1" applyBorder="1" applyAlignment="1">
      <alignment horizontal="left"/>
    </xf>
    <xf numFmtId="164" fontId="17" fillId="3" borderId="8" xfId="1" applyNumberFormat="1" applyFont="1" applyFill="1" applyBorder="1" applyAlignment="1">
      <alignment horizontal="center"/>
    </xf>
    <xf numFmtId="0" fontId="2" fillId="0" borderId="8" xfId="1" applyBorder="1"/>
    <xf numFmtId="0" fontId="0" fillId="0" borderId="8" xfId="0" applyBorder="1"/>
    <xf numFmtId="0" fontId="0" fillId="0" borderId="16" xfId="0" applyBorder="1"/>
    <xf numFmtId="0" fontId="0" fillId="0" borderId="9" xfId="0" applyBorder="1"/>
    <xf numFmtId="0" fontId="1" fillId="0" borderId="1" xfId="1" applyFont="1" applyBorder="1" applyAlignment="1">
      <alignment horizontal="center"/>
    </xf>
    <xf numFmtId="2" fontId="2" fillId="0" borderId="2" xfId="1" applyNumberForma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/>
    </xf>
    <xf numFmtId="10" fontId="2" fillId="0" borderId="5" xfId="1" applyNumberForma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wrapText="1"/>
    </xf>
    <xf numFmtId="9" fontId="2" fillId="0" borderId="5" xfId="1" applyNumberFormat="1" applyBorder="1" applyAlignment="1">
      <alignment horizontal="center" vertical="center"/>
    </xf>
    <xf numFmtId="9" fontId="1" fillId="0" borderId="6" xfId="1" applyNumberFormat="1" applyFont="1" applyBorder="1" applyAlignment="1">
      <alignment horizontal="center" vertical="center" wrapText="1"/>
    </xf>
    <xf numFmtId="0" fontId="2" fillId="0" borderId="7" xfId="1" applyBorder="1" applyAlignment="1">
      <alignment horizontal="center"/>
    </xf>
    <xf numFmtId="10" fontId="2" fillId="0" borderId="8" xfId="1" applyNumberFormat="1" applyBorder="1" applyAlignment="1">
      <alignment horizontal="center" vertical="center"/>
    </xf>
    <xf numFmtId="10" fontId="1" fillId="0" borderId="9" xfId="1" applyNumberFormat="1" applyFont="1" applyBorder="1" applyAlignment="1">
      <alignment horizontal="center" vertical="center" wrapText="1"/>
    </xf>
    <xf numFmtId="0" fontId="0" fillId="0" borderId="0" xfId="0"/>
    <xf numFmtId="0" fontId="8" fillId="0" borderId="0" xfId="0" applyFont="1"/>
    <xf numFmtId="0" fontId="2" fillId="0" borderId="6" xfId="1" applyBorder="1" applyAlignment="1">
      <alignment horizontal="center" wrapText="1"/>
    </xf>
    <xf numFmtId="0" fontId="1" fillId="0" borderId="6" xfId="1" applyFont="1" applyBorder="1" applyAlignment="1">
      <alignment horizontal="center"/>
    </xf>
    <xf numFmtId="0" fontId="2" fillId="0" borderId="6" xfId="1" applyBorder="1" applyAlignment="1">
      <alignment horizontal="center"/>
    </xf>
    <xf numFmtId="0" fontId="1" fillId="0" borderId="6" xfId="1" applyFont="1" applyBorder="1" applyAlignment="1">
      <alignment horizontal="center" wrapText="1"/>
    </xf>
    <xf numFmtId="0" fontId="2" fillId="0" borderId="9" xfId="1" applyBorder="1" applyAlignment="1">
      <alignment horizontal="center" wrapText="1"/>
    </xf>
    <xf numFmtId="0" fontId="1" fillId="0" borderId="6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75</xdr:row>
      <xdr:rowOff>0</xdr:rowOff>
    </xdr:from>
    <xdr:to>
      <xdr:col>20</xdr:col>
      <xdr:colOff>1996</xdr:colOff>
      <xdr:row>75</xdr:row>
      <xdr:rowOff>0</xdr:rowOff>
    </xdr:to>
    <xdr:pic>
      <xdr:nvPicPr>
        <xdr:cNvPr id="2" name="Picture 1" descr="page11image19952320">
          <a:extLst>
            <a:ext uri="{FF2B5EF4-FFF2-40B4-BE49-F238E27FC236}">
              <a16:creationId xmlns:a16="http://schemas.microsoft.com/office/drawing/2014/main" id="{F6A6089B-8F4F-F945-8522-D8CE451E0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40200" y="15570200"/>
          <a:ext cx="827497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75</xdr:row>
      <xdr:rowOff>0</xdr:rowOff>
    </xdr:from>
    <xdr:to>
      <xdr:col>20</xdr:col>
      <xdr:colOff>622300</xdr:colOff>
      <xdr:row>75</xdr:row>
      <xdr:rowOff>0</xdr:rowOff>
    </xdr:to>
    <xdr:pic>
      <xdr:nvPicPr>
        <xdr:cNvPr id="3" name="Picture 2" descr="page11image19950752">
          <a:extLst>
            <a:ext uri="{FF2B5EF4-FFF2-40B4-BE49-F238E27FC236}">
              <a16:creationId xmlns:a16="http://schemas.microsoft.com/office/drawing/2014/main" id="{10A76720-A4BF-C849-B8FC-289F4DF88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65700" y="15570200"/>
          <a:ext cx="62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12700</xdr:colOff>
      <xdr:row>89</xdr:row>
      <xdr:rowOff>12700</xdr:rowOff>
    </xdr:to>
    <xdr:pic>
      <xdr:nvPicPr>
        <xdr:cNvPr id="4" name="Picture 3" descr="page11image13920384">
          <a:extLst>
            <a:ext uri="{FF2B5EF4-FFF2-40B4-BE49-F238E27FC236}">
              <a16:creationId xmlns:a16="http://schemas.microsoft.com/office/drawing/2014/main" id="{C8E4BA75-85AB-EC4E-B731-688ED7C23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2900" y="1844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89</xdr:row>
      <xdr:rowOff>0</xdr:rowOff>
    </xdr:from>
    <xdr:to>
      <xdr:col>17</xdr:col>
      <xdr:colOff>1</xdr:colOff>
      <xdr:row>89</xdr:row>
      <xdr:rowOff>0</xdr:rowOff>
    </xdr:to>
    <xdr:pic>
      <xdr:nvPicPr>
        <xdr:cNvPr id="5" name="Picture 4" descr="page11image19952992">
          <a:extLst>
            <a:ext uri="{FF2B5EF4-FFF2-40B4-BE49-F238E27FC236}">
              <a16:creationId xmlns:a16="http://schemas.microsoft.com/office/drawing/2014/main" id="{0A0B7C53-5C64-6245-BD63-BC8362A44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63700" y="184404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622300</xdr:colOff>
      <xdr:row>89</xdr:row>
      <xdr:rowOff>0</xdr:rowOff>
    </xdr:to>
    <xdr:pic>
      <xdr:nvPicPr>
        <xdr:cNvPr id="6" name="Picture 5" descr="page11image19951200">
          <a:extLst>
            <a:ext uri="{FF2B5EF4-FFF2-40B4-BE49-F238E27FC236}">
              <a16:creationId xmlns:a16="http://schemas.microsoft.com/office/drawing/2014/main" id="{9BF0C142-0A68-0D43-A05C-2012A3E73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89200" y="18440400"/>
          <a:ext cx="62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</xdr:row>
      <xdr:rowOff>0</xdr:rowOff>
    </xdr:from>
    <xdr:to>
      <xdr:col>19</xdr:col>
      <xdr:colOff>12700</xdr:colOff>
      <xdr:row>89</xdr:row>
      <xdr:rowOff>12700</xdr:rowOff>
    </xdr:to>
    <xdr:pic>
      <xdr:nvPicPr>
        <xdr:cNvPr id="7" name="Picture 6" descr="page11image14000960">
          <a:extLst>
            <a:ext uri="{FF2B5EF4-FFF2-40B4-BE49-F238E27FC236}">
              <a16:creationId xmlns:a16="http://schemas.microsoft.com/office/drawing/2014/main" id="{BB9E792A-9D93-2E4A-A256-84E28F93C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40200" y="1844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103</xdr:row>
      <xdr:rowOff>0</xdr:rowOff>
    </xdr:from>
    <xdr:to>
      <xdr:col>17</xdr:col>
      <xdr:colOff>1</xdr:colOff>
      <xdr:row>103</xdr:row>
      <xdr:rowOff>0</xdr:rowOff>
    </xdr:to>
    <xdr:pic>
      <xdr:nvPicPr>
        <xdr:cNvPr id="8" name="Picture 7" descr="page11image20360352">
          <a:extLst>
            <a:ext uri="{FF2B5EF4-FFF2-40B4-BE49-F238E27FC236}">
              <a16:creationId xmlns:a16="http://schemas.microsoft.com/office/drawing/2014/main" id="{16E62BF2-C584-D147-BDB8-3516696B7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63700" y="219583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34"/>
  <sheetViews>
    <sheetView tabSelected="1" topLeftCell="A79" zoomScale="109" zoomScaleNormal="100" workbookViewId="0">
      <pane xSplit="2" topLeftCell="C1" activePane="topRight" state="frozen"/>
      <selection pane="topRight" activeCell="C81" sqref="C81"/>
    </sheetView>
  </sheetViews>
  <sheetFormatPr defaultColWidth="10.85546875" defaultRowHeight="15.75"/>
  <cols>
    <col min="1" max="1" width="10.85546875" style="1"/>
    <col min="2" max="2" width="12.28515625" style="2" customWidth="1"/>
    <col min="3" max="5" width="14.42578125" style="3" customWidth="1"/>
    <col min="6" max="15" width="14.42578125" style="1" customWidth="1"/>
    <col min="16" max="16" width="93.28515625" style="1" customWidth="1"/>
    <col min="17" max="16384" width="10.85546875" style="1"/>
  </cols>
  <sheetData>
    <row r="1" spans="2:16" ht="16.5" thickBot="1"/>
    <row r="2" spans="2:16">
      <c r="B2" s="4" t="s">
        <v>0</v>
      </c>
      <c r="C2" s="5">
        <v>2016</v>
      </c>
      <c r="D2" s="5">
        <v>2017</v>
      </c>
      <c r="E2" s="5">
        <v>2018</v>
      </c>
      <c r="F2" s="5" t="s">
        <v>1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 t="s">
        <v>10</v>
      </c>
      <c r="P2" s="6" t="s">
        <v>11</v>
      </c>
    </row>
    <row r="3" spans="2:16">
      <c r="B3" s="7" t="s">
        <v>12</v>
      </c>
      <c r="C3" s="8">
        <v>859522</v>
      </c>
      <c r="D3" s="8">
        <v>1191240</v>
      </c>
      <c r="E3" s="8">
        <v>1508154</v>
      </c>
      <c r="F3" s="9">
        <f>E3*(1+F4)</f>
        <v>1885192.5</v>
      </c>
      <c r="G3" s="9">
        <f t="shared" ref="G3:I3" si="0">F3*(1+G4)</f>
        <v>2318786.7749999999</v>
      </c>
      <c r="H3" s="9">
        <f t="shared" si="0"/>
        <v>2805731.9977499996</v>
      </c>
      <c r="I3" s="9">
        <f t="shared" si="0"/>
        <v>3338821.0773224994</v>
      </c>
      <c r="J3" s="9">
        <f>I3*(1+J4)</f>
        <v>3839644.238920874</v>
      </c>
      <c r="K3" s="9">
        <f t="shared" ref="K3:O3" si="1">J3*(1+K4)</f>
        <v>4415590.8747590045</v>
      </c>
      <c r="L3" s="9">
        <f t="shared" si="1"/>
        <v>5077929.5059728548</v>
      </c>
      <c r="M3" s="9">
        <f t="shared" si="1"/>
        <v>5839618.9318687823</v>
      </c>
      <c r="N3" s="9">
        <f t="shared" si="1"/>
        <v>6598769.3930117236</v>
      </c>
      <c r="O3" s="9">
        <f t="shared" si="1"/>
        <v>7324634.0262430143</v>
      </c>
      <c r="P3" s="84" t="s">
        <v>93</v>
      </c>
    </row>
    <row r="4" spans="2:16">
      <c r="B4" s="10" t="s">
        <v>13</v>
      </c>
      <c r="C4" s="11"/>
      <c r="D4" s="12">
        <f>(D3-C3)/C3</f>
        <v>0.38593311165973648</v>
      </c>
      <c r="E4" s="12">
        <f>(E3-D3)/D3</f>
        <v>0.26603707061549309</v>
      </c>
      <c r="F4" s="13">
        <v>0.25</v>
      </c>
      <c r="G4" s="13">
        <v>0.23</v>
      </c>
      <c r="H4" s="13">
        <v>0.21</v>
      </c>
      <c r="I4" s="13">
        <v>0.19</v>
      </c>
      <c r="J4" s="13">
        <v>0.15</v>
      </c>
      <c r="K4" s="13">
        <v>0.15</v>
      </c>
      <c r="L4" s="13">
        <v>0.15</v>
      </c>
      <c r="M4" s="13">
        <v>0.15</v>
      </c>
      <c r="N4" s="13">
        <v>0.13</v>
      </c>
      <c r="O4" s="13">
        <v>0.11</v>
      </c>
      <c r="P4" s="81"/>
    </row>
    <row r="5" spans="2:16">
      <c r="B5" s="7" t="s">
        <v>14</v>
      </c>
      <c r="C5" s="14">
        <v>48835</v>
      </c>
      <c r="D5" s="14">
        <v>74711</v>
      </c>
      <c r="E5" s="14">
        <v>119588</v>
      </c>
      <c r="F5" s="15">
        <f>F3*F6</f>
        <v>131963.47500000001</v>
      </c>
      <c r="G5" s="15">
        <f t="shared" ref="G5:O5" si="2">G3*G6</f>
        <v>162315.07425000001</v>
      </c>
      <c r="H5" s="15">
        <f t="shared" si="2"/>
        <v>196401.23984249998</v>
      </c>
      <c r="I5" s="15">
        <f t="shared" si="2"/>
        <v>200329.26463934995</v>
      </c>
      <c r="J5" s="15">
        <f t="shared" si="2"/>
        <v>230378.65433525242</v>
      </c>
      <c r="K5" s="15">
        <f t="shared" si="2"/>
        <v>309091.36123313033</v>
      </c>
      <c r="L5" s="15">
        <f t="shared" si="2"/>
        <v>253896.47529864276</v>
      </c>
      <c r="M5" s="15">
        <f t="shared" si="2"/>
        <v>291980.94659343915</v>
      </c>
      <c r="N5" s="15">
        <f t="shared" si="2"/>
        <v>329938.46965058619</v>
      </c>
      <c r="O5" s="15">
        <f t="shared" si="2"/>
        <v>292985.36104972055</v>
      </c>
      <c r="P5" s="81" t="s">
        <v>15</v>
      </c>
    </row>
    <row r="6" spans="2:16">
      <c r="B6" s="10" t="s">
        <v>16</v>
      </c>
      <c r="C6" s="16">
        <f t="shared" ref="C6:D6" si="3">C5/C3</f>
        <v>5.6816463103911245E-2</v>
      </c>
      <c r="D6" s="16">
        <f t="shared" si="3"/>
        <v>6.2717000772304493E-2</v>
      </c>
      <c r="E6" s="16">
        <f>E5/E3</f>
        <v>7.9294289575202528E-2</v>
      </c>
      <c r="F6" s="16">
        <v>7.0000000000000007E-2</v>
      </c>
      <c r="G6" s="16">
        <v>7.0000000000000007E-2</v>
      </c>
      <c r="H6" s="16">
        <v>7.0000000000000007E-2</v>
      </c>
      <c r="I6" s="16">
        <v>0.06</v>
      </c>
      <c r="J6" s="16">
        <v>0.06</v>
      </c>
      <c r="K6" s="13">
        <v>7.0000000000000007E-2</v>
      </c>
      <c r="L6" s="13">
        <v>0.05</v>
      </c>
      <c r="M6" s="13">
        <v>0.05</v>
      </c>
      <c r="N6" s="13">
        <v>0.05</v>
      </c>
      <c r="O6" s="13">
        <v>0.04</v>
      </c>
      <c r="P6" s="81"/>
    </row>
    <row r="7" spans="2:16">
      <c r="B7" s="17"/>
      <c r="C7" s="8"/>
      <c r="D7" s="8"/>
      <c r="E7" s="8"/>
      <c r="F7" s="18"/>
      <c r="G7" s="18"/>
      <c r="H7" s="18"/>
      <c r="I7" s="18"/>
      <c r="J7" s="18"/>
      <c r="K7" s="18"/>
      <c r="L7" s="18"/>
      <c r="M7" s="18"/>
      <c r="N7" s="18"/>
      <c r="O7" s="18"/>
      <c r="P7" s="19"/>
    </row>
    <row r="8" spans="2:16" customFormat="1">
      <c r="B8" s="20" t="s">
        <v>17</v>
      </c>
      <c r="C8" s="21">
        <v>9709.64</v>
      </c>
      <c r="D8" s="21">
        <v>12602.09</v>
      </c>
      <c r="E8" s="21">
        <v>15465.16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customFormat="1">
      <c r="B9" s="20" t="s">
        <v>18</v>
      </c>
      <c r="C9" s="21">
        <v>9123.4500000000007</v>
      </c>
      <c r="D9" s="21">
        <v>12180.39</v>
      </c>
      <c r="E9" s="21">
        <v>5941.99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</row>
    <row r="10" spans="2:16" customFormat="1">
      <c r="B10" s="20" t="s">
        <v>19</v>
      </c>
      <c r="C10" s="21" t="s">
        <v>20</v>
      </c>
      <c r="D10" s="21">
        <v>-1.9</v>
      </c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3"/>
    </row>
    <row r="11" spans="2:16" customFormat="1">
      <c r="B11" s="20" t="s">
        <v>21</v>
      </c>
      <c r="C11" s="21">
        <v>-256.25</v>
      </c>
      <c r="D11" s="21">
        <v>-721.68</v>
      </c>
      <c r="E11" s="21">
        <v>-4626.45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3"/>
    </row>
    <row r="12" spans="2:16" customFormat="1">
      <c r="B12" s="20" t="s">
        <v>22</v>
      </c>
      <c r="C12" s="21">
        <v>-251.75</v>
      </c>
      <c r="D12" s="21">
        <v>-755.56</v>
      </c>
      <c r="E12" s="21">
        <v>-1641.86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3"/>
    </row>
    <row r="13" spans="2:16" customFormat="1">
      <c r="B13" s="20" t="s">
        <v>23</v>
      </c>
      <c r="C13" s="21">
        <v>42.67</v>
      </c>
      <c r="D13" s="21">
        <v>119.65</v>
      </c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3"/>
    </row>
    <row r="14" spans="2:16" customFormat="1">
      <c r="B14" s="20" t="s">
        <v>24</v>
      </c>
      <c r="C14" s="21" t="s">
        <v>20</v>
      </c>
      <c r="D14" s="21">
        <v>114.27</v>
      </c>
      <c r="E14" s="21">
        <v>2123.08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3"/>
    </row>
    <row r="15" spans="2:16" customFormat="1">
      <c r="B15" s="20" t="s">
        <v>25</v>
      </c>
      <c r="C15" s="21">
        <v>-1399.22</v>
      </c>
      <c r="D15" s="21">
        <v>-1614</v>
      </c>
      <c r="E15" s="21">
        <v>-597.28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3"/>
    </row>
    <row r="16" spans="2:16" customFormat="1">
      <c r="B16" s="20" t="s">
        <v>26</v>
      </c>
      <c r="C16" s="21">
        <v>78.11</v>
      </c>
      <c r="D16" s="21">
        <v>84.81</v>
      </c>
      <c r="E16" s="21">
        <v>-299.82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3"/>
    </row>
    <row r="17" spans="2:16">
      <c r="B17" s="24" t="s">
        <v>27</v>
      </c>
      <c r="C17" s="25">
        <f t="shared" ref="C17:D17" si="4">SUM(C8:C16)</f>
        <v>17046.649999999998</v>
      </c>
      <c r="D17" s="25">
        <f t="shared" si="4"/>
        <v>22008.07</v>
      </c>
      <c r="E17" s="25">
        <f>SUM(E8:E16)</f>
        <v>16364.82</v>
      </c>
      <c r="F17" s="26">
        <f>F19*F5</f>
        <v>13196.347500000002</v>
      </c>
      <c r="G17" s="26">
        <f t="shared" ref="G17:O17" si="5">G19*G5</f>
        <v>12985.20594</v>
      </c>
      <c r="H17" s="26">
        <f t="shared" si="5"/>
        <v>13748.086788975001</v>
      </c>
      <c r="I17" s="26">
        <f t="shared" si="5"/>
        <v>14023.048524754497</v>
      </c>
      <c r="J17" s="26">
        <f t="shared" si="5"/>
        <v>13822.719260115144</v>
      </c>
      <c r="K17" s="26">
        <f t="shared" si="5"/>
        <v>18545.481673987819</v>
      </c>
      <c r="L17" s="26">
        <f t="shared" si="5"/>
        <v>12694.823764932138</v>
      </c>
      <c r="M17" s="26">
        <f t="shared" si="5"/>
        <v>11679.237863737566</v>
      </c>
      <c r="N17" s="26">
        <f t="shared" si="5"/>
        <v>13197.538786023448</v>
      </c>
      <c r="O17" s="26">
        <f t="shared" si="5"/>
        <v>8789.5608314916171</v>
      </c>
      <c r="P17" s="82" t="s">
        <v>28</v>
      </c>
    </row>
    <row r="18" spans="2:16">
      <c r="B18" s="27" t="s">
        <v>29</v>
      </c>
      <c r="C18" s="14">
        <f>C5+C17</f>
        <v>65881.649999999994</v>
      </c>
      <c r="D18" s="14">
        <f t="shared" ref="D18:I18" si="6">D5+D17</f>
        <v>96719.07</v>
      </c>
      <c r="E18" s="14">
        <f t="shared" si="6"/>
        <v>135952.82</v>
      </c>
      <c r="F18" s="14">
        <f t="shared" si="6"/>
        <v>145159.82250000001</v>
      </c>
      <c r="G18" s="14">
        <f t="shared" si="6"/>
        <v>175300.28019000002</v>
      </c>
      <c r="H18" s="14">
        <f t="shared" si="6"/>
        <v>210149.32663147498</v>
      </c>
      <c r="I18" s="14">
        <f t="shared" si="6"/>
        <v>214352.31316410445</v>
      </c>
      <c r="J18" s="14">
        <f>J5+J17</f>
        <v>244201.37359536756</v>
      </c>
      <c r="K18" s="14">
        <f t="shared" ref="K18:O18" si="7">K5+K17</f>
        <v>327636.84290711815</v>
      </c>
      <c r="L18" s="14">
        <f t="shared" si="7"/>
        <v>266591.29906357487</v>
      </c>
      <c r="M18" s="14">
        <f t="shared" si="7"/>
        <v>303660.18445717671</v>
      </c>
      <c r="N18" s="14">
        <f t="shared" si="7"/>
        <v>343136.00843660964</v>
      </c>
      <c r="O18" s="14">
        <f t="shared" si="7"/>
        <v>301774.92188121215</v>
      </c>
      <c r="P18" s="83"/>
    </row>
    <row r="19" spans="2:16" ht="15.75" customHeight="1">
      <c r="B19" s="28"/>
      <c r="C19" s="25">
        <f>C17/C5</f>
        <v>0.34906624347291898</v>
      </c>
      <c r="D19" s="25">
        <f t="shared" ref="D19" si="8">D17/D5</f>
        <v>0.29457603298041785</v>
      </c>
      <c r="E19" s="25">
        <f>E17/E5</f>
        <v>0.13684332876208316</v>
      </c>
      <c r="F19" s="25">
        <v>0.1</v>
      </c>
      <c r="G19" s="25">
        <v>0.08</v>
      </c>
      <c r="H19" s="25">
        <v>7.0000000000000007E-2</v>
      </c>
      <c r="I19" s="25">
        <v>7.0000000000000007E-2</v>
      </c>
      <c r="J19" s="25">
        <v>0.06</v>
      </c>
      <c r="K19" s="25">
        <v>0.06</v>
      </c>
      <c r="L19" s="25">
        <v>0.05</v>
      </c>
      <c r="M19" s="25">
        <v>0.04</v>
      </c>
      <c r="N19" s="25">
        <v>0.04</v>
      </c>
      <c r="O19" s="25">
        <v>0.03</v>
      </c>
      <c r="P19" s="86" t="s">
        <v>94</v>
      </c>
    </row>
    <row r="20" spans="2:16">
      <c r="B20" s="29"/>
      <c r="C20" s="30"/>
      <c r="D20" s="30"/>
      <c r="E20" s="30"/>
      <c r="F20" s="31"/>
      <c r="G20" s="26"/>
      <c r="H20" s="26"/>
      <c r="I20" s="26"/>
      <c r="J20" s="26"/>
      <c r="K20" s="26"/>
      <c r="L20" s="26"/>
      <c r="M20" s="26"/>
      <c r="N20" s="26"/>
      <c r="O20" s="26"/>
      <c r="P20" s="19"/>
    </row>
    <row r="21" spans="2:16" customFormat="1">
      <c r="B21" s="20" t="s">
        <v>30</v>
      </c>
      <c r="C21" s="21">
        <v>6343.02</v>
      </c>
      <c r="D21" s="21">
        <v>6628.56</v>
      </c>
      <c r="E21" s="21">
        <v>4912.3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</row>
    <row r="22" spans="2:16" customFormat="1">
      <c r="B22" s="20" t="s">
        <v>31</v>
      </c>
      <c r="C22" s="21">
        <v>122.04</v>
      </c>
      <c r="D22" s="21">
        <v>278.79000000000002</v>
      </c>
      <c r="E22" s="21">
        <v>288.58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3"/>
    </row>
    <row r="23" spans="2:16" customFormat="1">
      <c r="B23" s="20" t="s">
        <v>32</v>
      </c>
      <c r="C23" s="21">
        <v>1915.44</v>
      </c>
      <c r="D23" s="21">
        <v>1444.56</v>
      </c>
      <c r="E23" s="21">
        <v>2328.65</v>
      </c>
      <c r="F23" s="32"/>
      <c r="G23" s="22"/>
      <c r="H23" s="22"/>
      <c r="I23" s="22"/>
      <c r="J23" s="22"/>
      <c r="K23" s="22"/>
      <c r="L23" s="22"/>
      <c r="M23" s="22"/>
      <c r="N23" s="22"/>
      <c r="O23" s="22"/>
      <c r="P23" s="23"/>
    </row>
    <row r="24" spans="2:16" customFormat="1">
      <c r="B24" s="20" t="s">
        <v>33</v>
      </c>
      <c r="C24" s="21">
        <v>445.07</v>
      </c>
      <c r="D24" s="21">
        <v>1283.67</v>
      </c>
      <c r="E24" s="21">
        <v>-2094.9899999999998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3"/>
    </row>
    <row r="25" spans="2:16" customFormat="1">
      <c r="B25" s="20" t="s">
        <v>34</v>
      </c>
      <c r="C25" s="21">
        <v>-39.03</v>
      </c>
      <c r="D25" s="21">
        <v>-1667.33</v>
      </c>
      <c r="E25" s="21">
        <v>-60.78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customFormat="1">
      <c r="B26" s="20" t="s">
        <v>35</v>
      </c>
      <c r="C26" s="21">
        <v>-130.47999999999999</v>
      </c>
      <c r="D26" s="21">
        <v>-1262.05</v>
      </c>
      <c r="E26" s="21">
        <v>-1236.22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3"/>
    </row>
    <row r="27" spans="2:16" customFormat="1">
      <c r="B27" s="20" t="s">
        <v>36</v>
      </c>
      <c r="C27" s="21">
        <v>-13028.38</v>
      </c>
      <c r="D27" s="21">
        <v>-27295.94</v>
      </c>
      <c r="E27" s="21">
        <v>-21387.599999999999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3"/>
    </row>
    <row r="28" spans="2:16" customFormat="1">
      <c r="B28" s="20" t="s">
        <v>37</v>
      </c>
      <c r="C28" s="21" t="s">
        <v>20</v>
      </c>
      <c r="D28" s="21" t="s">
        <v>20</v>
      </c>
      <c r="E28" s="21">
        <v>-5170.29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3"/>
    </row>
    <row r="29" spans="2:16" customFormat="1">
      <c r="B29" s="20" t="s">
        <v>38</v>
      </c>
      <c r="C29" s="21">
        <v>-805.56</v>
      </c>
      <c r="D29" s="21">
        <v>-1659.48</v>
      </c>
      <c r="E29" s="21">
        <v>-263.61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3"/>
    </row>
    <row r="30" spans="2:16" customFormat="1">
      <c r="B30" s="20" t="s">
        <v>39</v>
      </c>
      <c r="C30" s="21">
        <v>-2.0499999999999998</v>
      </c>
      <c r="D30" s="21">
        <v>-3.98</v>
      </c>
      <c r="E30" s="21">
        <v>-3.91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3"/>
    </row>
    <row r="31" spans="2:16" customFormat="1">
      <c r="B31" s="20" t="s">
        <v>40</v>
      </c>
      <c r="C31" s="21">
        <v>-11.4</v>
      </c>
      <c r="D31" s="21">
        <v>-11.72</v>
      </c>
      <c r="E31" s="21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</row>
    <row r="32" spans="2:16" customFormat="1">
      <c r="B32" s="20" t="s">
        <v>41</v>
      </c>
      <c r="C32" s="21">
        <v>-729.83</v>
      </c>
      <c r="D32" s="21">
        <v>-1005.99</v>
      </c>
      <c r="E32" s="21">
        <v>-2170.98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3"/>
    </row>
    <row r="33" spans="2:16" customFormat="1">
      <c r="B33" s="20" t="s">
        <v>42</v>
      </c>
      <c r="C33" s="21">
        <v>-1174.49</v>
      </c>
      <c r="D33" s="21">
        <v>-3169.67</v>
      </c>
      <c r="E33" s="21">
        <v>849.56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3"/>
    </row>
    <row r="34" spans="2:16" customFormat="1">
      <c r="B34" s="20" t="s">
        <v>43</v>
      </c>
      <c r="C34" s="21">
        <v>-16260.59</v>
      </c>
      <c r="D34" s="21">
        <v>-25396.59</v>
      </c>
      <c r="E34" s="21">
        <v>-39646.06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3"/>
    </row>
    <row r="35" spans="2:16">
      <c r="B35" s="33" t="s">
        <v>44</v>
      </c>
      <c r="C35" s="25">
        <f>SUM(C21:C34)</f>
        <v>-23356.239999999998</v>
      </c>
      <c r="D35" s="25">
        <f t="shared" ref="D35" si="9">SUM(D21:D34)</f>
        <v>-51837.17</v>
      </c>
      <c r="E35" s="25">
        <f>SUM(E21:E34)</f>
        <v>-63655.349999999991</v>
      </c>
      <c r="F35" s="25">
        <f>F37*F3+F38*F5</f>
        <v>-73760.136032437207</v>
      </c>
      <c r="G35" s="25">
        <f t="shared" ref="G35" si="10">G37*G3+G38*G5</f>
        <v>-90724.967319897754</v>
      </c>
      <c r="H35" s="25">
        <f>H37*H3+H38*H5</f>
        <v>-109777.21045707627</v>
      </c>
      <c r="I35" s="25">
        <f>I37*I3+I38*I5</f>
        <v>-119566.02240401864</v>
      </c>
      <c r="J35" s="25">
        <f>J37*J3+J38*J5</f>
        <v>-137500.92576462141</v>
      </c>
      <c r="K35" s="25">
        <f t="shared" ref="K35:O35" si="11">K37*K3+K38*K5</f>
        <v>-172764.62938708515</v>
      </c>
      <c r="L35" s="25">
        <f t="shared" si="11"/>
        <v>-165010.62485227568</v>
      </c>
      <c r="M35" s="25">
        <f t="shared" si="11"/>
        <v>-189762.21858011698</v>
      </c>
      <c r="N35" s="25">
        <f t="shared" si="11"/>
        <v>-214431.30699553218</v>
      </c>
      <c r="O35" s="25">
        <f t="shared" si="11"/>
        <v>-213736.12754171508</v>
      </c>
      <c r="P35" s="82" t="s">
        <v>45</v>
      </c>
    </row>
    <row r="36" spans="2:16">
      <c r="B36" s="27" t="s">
        <v>46</v>
      </c>
      <c r="C36" s="14">
        <f>C18+C35</f>
        <v>42525.409999999996</v>
      </c>
      <c r="D36" s="14">
        <f>D18+D35</f>
        <v>44881.900000000009</v>
      </c>
      <c r="E36" s="14">
        <f>E18+E35</f>
        <v>72297.470000000016</v>
      </c>
      <c r="F36" s="14">
        <f>F18+F35</f>
        <v>71399.686467562802</v>
      </c>
      <c r="G36" s="14">
        <f t="shared" ref="G36:O36" si="12">G18+G35</f>
        <v>84575.312870102265</v>
      </c>
      <c r="H36" s="14">
        <f t="shared" si="12"/>
        <v>100372.1161743987</v>
      </c>
      <c r="I36" s="14">
        <f t="shared" si="12"/>
        <v>94786.290760085802</v>
      </c>
      <c r="J36" s="14">
        <f t="shared" si="12"/>
        <v>106700.44783074615</v>
      </c>
      <c r="K36" s="14">
        <f t="shared" si="12"/>
        <v>154872.21352003299</v>
      </c>
      <c r="L36" s="14">
        <f t="shared" si="12"/>
        <v>101580.67421129919</v>
      </c>
      <c r="M36" s="14">
        <f t="shared" si="12"/>
        <v>113897.96587705973</v>
      </c>
      <c r="N36" s="14">
        <f t="shared" si="12"/>
        <v>128704.70144107746</v>
      </c>
      <c r="O36" s="14">
        <f t="shared" si="12"/>
        <v>88038.794339497079</v>
      </c>
      <c r="P36" s="82"/>
    </row>
    <row r="37" spans="2:16">
      <c r="B37" s="33"/>
      <c r="C37" s="25">
        <f>(SUM(C21:C33)/C3)</f>
        <v>-8.2553442494781963E-3</v>
      </c>
      <c r="D37" s="25">
        <f t="shared" ref="D37" si="13">(SUM(D21:D33)/D3)</f>
        <v>-2.219584634498506E-2</v>
      </c>
      <c r="E37" s="25">
        <f>(SUM(E21:E33)/E3)</f>
        <v>-1.5919654093680086E-2</v>
      </c>
      <c r="F37" s="25">
        <v>-1.5919653354779593E-2</v>
      </c>
      <c r="G37" s="25">
        <v>-1.5919653354779593E-2</v>
      </c>
      <c r="H37" s="25">
        <v>-1.5919653354779593E-2</v>
      </c>
      <c r="I37" s="25">
        <v>-1.5919653354779593E-2</v>
      </c>
      <c r="J37" s="25">
        <v>-1.5919653354779593E-2</v>
      </c>
      <c r="K37" s="25">
        <v>-1.5919653354779593E-2</v>
      </c>
      <c r="L37" s="25">
        <v>-1.5919653354779593E-2</v>
      </c>
      <c r="M37" s="25">
        <v>-1.5919653354779593E-2</v>
      </c>
      <c r="N37" s="25">
        <v>-1.5919653354779593E-2</v>
      </c>
      <c r="O37" s="25">
        <v>-1.5919653354779593E-2</v>
      </c>
      <c r="P37" s="19"/>
    </row>
    <row r="38" spans="2:16">
      <c r="B38" s="33"/>
      <c r="C38" s="25">
        <f>C34/C5</f>
        <v>-0.33297000102385582</v>
      </c>
      <c r="D38" s="25">
        <f t="shared" ref="D38" si="14">D34/D5</f>
        <v>-0.33993106771425896</v>
      </c>
      <c r="E38" s="25">
        <f>E34/E5</f>
        <v>-0.33152205906947185</v>
      </c>
      <c r="F38" s="25">
        <v>-0.33151995220955549</v>
      </c>
      <c r="G38" s="25">
        <v>-0.33151995220955549</v>
      </c>
      <c r="H38" s="25">
        <v>-0.33151995220955549</v>
      </c>
      <c r="I38" s="25">
        <v>-0.33151995220955549</v>
      </c>
      <c r="J38" s="25">
        <v>-0.33151995220955549</v>
      </c>
      <c r="K38" s="25">
        <v>-0.33151995220955549</v>
      </c>
      <c r="L38" s="25">
        <v>-0.33151995220955549</v>
      </c>
      <c r="M38" s="25">
        <v>-0.33151995220955549</v>
      </c>
      <c r="N38" s="25">
        <v>-0.33151995220955549</v>
      </c>
      <c r="O38" s="25">
        <v>-0.33151995220955549</v>
      </c>
      <c r="P38" s="19"/>
    </row>
    <row r="39" spans="2:16" customFormat="1">
      <c r="B39" s="20"/>
      <c r="C39" s="21"/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3"/>
    </row>
    <row r="40" spans="2:16" customFormat="1">
      <c r="B40" s="20" t="s">
        <v>47</v>
      </c>
      <c r="C40" s="21">
        <v>199.08</v>
      </c>
      <c r="D40" s="21">
        <v>963.59</v>
      </c>
      <c r="E40" s="21">
        <v>687.26</v>
      </c>
      <c r="F40" s="22"/>
      <c r="G40" s="22"/>
      <c r="H40" s="22"/>
      <c r="I40" s="34"/>
      <c r="J40" s="34"/>
      <c r="K40" s="34"/>
      <c r="L40" s="34"/>
      <c r="M40" s="34"/>
      <c r="N40" s="34"/>
      <c r="O40" s="34"/>
      <c r="P40" s="23"/>
    </row>
    <row r="41" spans="2:16" customFormat="1">
      <c r="B41" s="20" t="s">
        <v>48</v>
      </c>
      <c r="C41" s="21" t="s">
        <v>20</v>
      </c>
      <c r="D41" s="21" t="s">
        <v>20</v>
      </c>
      <c r="E41" s="21">
        <v>135868.01</v>
      </c>
      <c r="F41" s="22"/>
      <c r="G41" s="22"/>
      <c r="H41" s="22"/>
      <c r="I41" s="34"/>
      <c r="J41" s="34"/>
      <c r="K41" s="34"/>
      <c r="L41" s="34"/>
      <c r="M41" s="34"/>
      <c r="N41" s="34"/>
      <c r="O41" s="34"/>
      <c r="P41" s="23"/>
    </row>
    <row r="42" spans="2:16" customFormat="1">
      <c r="B42" s="20" t="s">
        <v>49</v>
      </c>
      <c r="C42" s="21">
        <v>290.23</v>
      </c>
      <c r="D42" s="21">
        <v>522.13</v>
      </c>
      <c r="E42" s="21">
        <v>3427.42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3"/>
    </row>
    <row r="43" spans="2:16" customFormat="1">
      <c r="B43" s="20" t="s">
        <v>50</v>
      </c>
      <c r="C43" s="21" t="s">
        <v>20</v>
      </c>
      <c r="D43" s="21">
        <v>1.9</v>
      </c>
      <c r="E43" s="21" t="s">
        <v>20</v>
      </c>
      <c r="F43" s="22"/>
      <c r="G43" s="22"/>
      <c r="H43" s="22"/>
      <c r="I43" s="34"/>
      <c r="J43" s="34"/>
      <c r="K43" s="34"/>
      <c r="L43" s="34"/>
      <c r="M43" s="34"/>
      <c r="N43" s="34"/>
      <c r="O43" s="34"/>
      <c r="P43" s="23"/>
    </row>
    <row r="44" spans="2:16" customFormat="1">
      <c r="B44" s="20" t="s">
        <v>22</v>
      </c>
      <c r="C44" s="21">
        <v>251.75</v>
      </c>
      <c r="D44" s="21">
        <v>755.56</v>
      </c>
      <c r="E44" s="21">
        <v>1641.86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3"/>
    </row>
    <row r="45" spans="2:16" customFormat="1">
      <c r="B45" s="20" t="s">
        <v>51</v>
      </c>
      <c r="C45" s="21">
        <v>1399.22</v>
      </c>
      <c r="D45" s="21">
        <v>1614</v>
      </c>
      <c r="E45" s="21">
        <v>593.39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3"/>
    </row>
    <row r="46" spans="2:16" customFormat="1">
      <c r="B46" s="20"/>
      <c r="C46" s="21"/>
      <c r="D46" s="21"/>
      <c r="E46" s="21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</row>
    <row r="47" spans="2:16" customFormat="1">
      <c r="B47" s="20" t="s">
        <v>52</v>
      </c>
      <c r="C47" s="21"/>
      <c r="D47" s="21"/>
      <c r="E47" s="21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3"/>
    </row>
    <row r="48" spans="2:16" customFormat="1">
      <c r="B48" s="20" t="s">
        <v>53</v>
      </c>
      <c r="C48" s="21">
        <v>-63250.16</v>
      </c>
      <c r="D48" s="21">
        <v>-64218.15</v>
      </c>
      <c r="E48" s="21">
        <v>-89679.72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3"/>
    </row>
    <row r="49" spans="2:16" customFormat="1">
      <c r="B49" s="20" t="s">
        <v>54</v>
      </c>
      <c r="C49" s="21" t="s">
        <v>20</v>
      </c>
      <c r="D49" s="21">
        <v>-185040.11</v>
      </c>
      <c r="E49" s="21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3"/>
    </row>
    <row r="50" spans="2:16" customFormat="1">
      <c r="B50" s="20" t="s">
        <v>55</v>
      </c>
      <c r="C50" s="21">
        <v>-1389.61</v>
      </c>
      <c r="D50" s="21">
        <v>-2062.13</v>
      </c>
      <c r="E50" s="21">
        <v>-9288.43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3"/>
    </row>
    <row r="51" spans="2:16">
      <c r="B51" s="24" t="s">
        <v>56</v>
      </c>
      <c r="C51" s="25">
        <f>SUM(C40:C50)</f>
        <v>-62499.490000000005</v>
      </c>
      <c r="D51" s="25">
        <f>SUM(D40:D50)</f>
        <v>-247463.21</v>
      </c>
      <c r="E51" s="25">
        <f t="shared" ref="E51" si="15">SUM(E40:E50)</f>
        <v>43249.79000000003</v>
      </c>
      <c r="F51" s="26">
        <f>(F3-E3)/((-16))</f>
        <v>-23564.90625</v>
      </c>
      <c r="G51" s="26">
        <f t="shared" ref="G51:O51" si="16">(G3-F3)/((-16))</f>
        <v>-27099.642187499994</v>
      </c>
      <c r="H51" s="26">
        <f t="shared" si="16"/>
        <v>-30434.076421874983</v>
      </c>
      <c r="I51" s="26">
        <f t="shared" si="16"/>
        <v>-33318.067473281233</v>
      </c>
      <c r="J51" s="26">
        <f t="shared" si="16"/>
        <v>-31301.447599898413</v>
      </c>
      <c r="K51" s="26">
        <f t="shared" si="16"/>
        <v>-35996.664739883156</v>
      </c>
      <c r="L51" s="26">
        <f t="shared" si="16"/>
        <v>-41396.164450865646</v>
      </c>
      <c r="M51" s="26">
        <f t="shared" si="16"/>
        <v>-47605.589118495467</v>
      </c>
      <c r="N51" s="26">
        <f t="shared" si="16"/>
        <v>-47446.903821433836</v>
      </c>
      <c r="O51" s="26">
        <f t="shared" si="16"/>
        <v>-45366.539576955664</v>
      </c>
      <c r="P51" s="84" t="s">
        <v>57</v>
      </c>
    </row>
    <row r="52" spans="2:16" ht="33" customHeight="1">
      <c r="B52" s="7" t="s">
        <v>58</v>
      </c>
      <c r="C52" s="14">
        <f>C36+C51</f>
        <v>-19974.080000000009</v>
      </c>
      <c r="D52" s="14">
        <f>D36+D51</f>
        <v>-202581.31</v>
      </c>
      <c r="E52" s="14">
        <f>E36+E51</f>
        <v>115547.26000000004</v>
      </c>
      <c r="F52" s="14">
        <f t="shared" ref="F52:O52" si="17">F36+F51</f>
        <v>47834.780217562802</v>
      </c>
      <c r="G52" s="14">
        <f t="shared" si="17"/>
        <v>57475.670682602271</v>
      </c>
      <c r="H52" s="14">
        <f t="shared" si="17"/>
        <v>69938.03975252372</v>
      </c>
      <c r="I52" s="14">
        <f t="shared" si="17"/>
        <v>61468.223286804568</v>
      </c>
      <c r="J52" s="14">
        <f t="shared" si="17"/>
        <v>75399.000230847741</v>
      </c>
      <c r="K52" s="14">
        <f t="shared" si="17"/>
        <v>118875.54878014984</v>
      </c>
      <c r="L52" s="14">
        <f t="shared" si="17"/>
        <v>60184.509760433546</v>
      </c>
      <c r="M52" s="14">
        <f t="shared" si="17"/>
        <v>66292.376758564264</v>
      </c>
      <c r="N52" s="14">
        <f t="shared" si="17"/>
        <v>81257.797619643621</v>
      </c>
      <c r="O52" s="14">
        <f t="shared" si="17"/>
        <v>42672.254762541415</v>
      </c>
      <c r="P52" s="81"/>
    </row>
    <row r="53" spans="2:16">
      <c r="B53" s="28"/>
      <c r="C53" s="8"/>
      <c r="D53" s="8"/>
      <c r="E53" s="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19"/>
    </row>
    <row r="54" spans="2:16">
      <c r="B54" s="35" t="s">
        <v>59</v>
      </c>
      <c r="C54" s="8"/>
      <c r="D54" s="8"/>
      <c r="E54" s="8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19"/>
    </row>
    <row r="55" spans="2:16">
      <c r="B55" s="20" t="s">
        <v>60</v>
      </c>
      <c r="C55" s="8"/>
      <c r="D55" s="21">
        <v>184061.55</v>
      </c>
      <c r="E55" s="21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19"/>
    </row>
    <row r="56" spans="2:16">
      <c r="B56" s="20" t="s">
        <v>61</v>
      </c>
      <c r="C56" s="8"/>
      <c r="D56" s="21">
        <v>20000</v>
      </c>
      <c r="E56" s="21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19"/>
    </row>
    <row r="57" spans="2:16">
      <c r="B57" s="20" t="s">
        <v>62</v>
      </c>
      <c r="C57" s="21">
        <v>35000</v>
      </c>
      <c r="D57" s="21">
        <v>25000</v>
      </c>
      <c r="E57" s="21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19"/>
    </row>
    <row r="58" spans="2:16">
      <c r="B58" s="20" t="s">
        <v>63</v>
      </c>
      <c r="C58" s="21">
        <v>5000</v>
      </c>
      <c r="D58" s="21"/>
      <c r="E58" s="21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19"/>
    </row>
    <row r="59" spans="2:16">
      <c r="B59" s="20" t="s">
        <v>64</v>
      </c>
      <c r="C59" s="21">
        <v>3655.54</v>
      </c>
      <c r="D59" s="21">
        <v>5916.93</v>
      </c>
      <c r="E59" s="21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19"/>
    </row>
    <row r="60" spans="2:16">
      <c r="B60" s="20" t="s">
        <v>65</v>
      </c>
      <c r="C60" s="21">
        <v>-14680.12</v>
      </c>
      <c r="D60" s="21"/>
      <c r="E60" s="21">
        <v>-54246.87</v>
      </c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19"/>
    </row>
    <row r="61" spans="2:16">
      <c r="B61" s="20" t="s">
        <v>66</v>
      </c>
      <c r="C61" s="21"/>
      <c r="D61" s="21">
        <v>-15530.65</v>
      </c>
      <c r="E61" s="21">
        <v>-38400</v>
      </c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19"/>
    </row>
    <row r="62" spans="2:16">
      <c r="B62" s="20" t="s">
        <v>67</v>
      </c>
      <c r="C62" s="21"/>
      <c r="D62" s="21">
        <v>-5000</v>
      </c>
      <c r="E62" s="21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19"/>
    </row>
    <row r="63" spans="2:16">
      <c r="B63" s="20" t="s">
        <v>68</v>
      </c>
      <c r="C63" s="21"/>
      <c r="D63" s="21"/>
      <c r="E63" s="21">
        <v>-11540.65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19"/>
    </row>
    <row r="64" spans="2:16">
      <c r="B64" s="20" t="s">
        <v>69</v>
      </c>
      <c r="C64" s="21">
        <v>-9327.34</v>
      </c>
      <c r="D64" s="21">
        <v>-12018.66</v>
      </c>
      <c r="E64" s="21">
        <v>-7985.26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19"/>
    </row>
    <row r="65" spans="2:24">
      <c r="B65" s="24" t="s">
        <v>70</v>
      </c>
      <c r="C65" s="21">
        <f>SUM(C55:C64)</f>
        <v>19648.079999999998</v>
      </c>
      <c r="D65" s="21">
        <f>SUM(D55:D64)</f>
        <v>202429.16999999998</v>
      </c>
      <c r="E65" s="21">
        <f>SUM(E55:E64)</f>
        <v>-112172.77999999998</v>
      </c>
      <c r="F65" s="26">
        <f>$C$68*F3</f>
        <v>37703.85</v>
      </c>
      <c r="G65" s="26">
        <f>$C$68*G3</f>
        <v>46375.735500000003</v>
      </c>
      <c r="H65" s="26">
        <f t="shared" ref="H65" si="18">$C$68*H3</f>
        <v>56114.639954999991</v>
      </c>
      <c r="I65" s="26">
        <f>$C$68*I3</f>
        <v>66776.421546449987</v>
      </c>
      <c r="J65" s="26">
        <f>$C$68*J3</f>
        <v>76792.884778417487</v>
      </c>
      <c r="K65" s="26">
        <f t="shared" ref="K65:O65" si="19">$C$68*K3</f>
        <v>88311.81749518009</v>
      </c>
      <c r="L65" s="26">
        <f t="shared" si="19"/>
        <v>101558.59011945711</v>
      </c>
      <c r="M65" s="26">
        <f t="shared" si="19"/>
        <v>116792.37863737564</v>
      </c>
      <c r="N65" s="26">
        <f t="shared" si="19"/>
        <v>131975.38786023448</v>
      </c>
      <c r="O65" s="26">
        <f t="shared" si="19"/>
        <v>146492.68052486028</v>
      </c>
      <c r="P65" s="84" t="s">
        <v>71</v>
      </c>
    </row>
    <row r="66" spans="2:24" ht="16.5" thickBot="1">
      <c r="B66" s="36" t="s">
        <v>72</v>
      </c>
      <c r="C66" s="37">
        <f>C52+C65</f>
        <v>-326.00000000001091</v>
      </c>
      <c r="D66" s="37">
        <f>D52+D65</f>
        <v>-152.14000000001397</v>
      </c>
      <c r="E66" s="37">
        <f>E52+E65</f>
        <v>3374.4800000000541</v>
      </c>
      <c r="F66" s="37">
        <f t="shared" ref="F66:O66" si="20">F52+F65</f>
        <v>85538.630217562808</v>
      </c>
      <c r="G66" s="37">
        <f t="shared" si="20"/>
        <v>103851.40618260228</v>
      </c>
      <c r="H66" s="37">
        <f t="shared" si="20"/>
        <v>126052.67970752371</v>
      </c>
      <c r="I66" s="37">
        <f t="shared" si="20"/>
        <v>128244.64483325456</v>
      </c>
      <c r="J66" s="37">
        <f t="shared" si="20"/>
        <v>152191.88500926521</v>
      </c>
      <c r="K66" s="37">
        <f t="shared" si="20"/>
        <v>207187.36627532993</v>
      </c>
      <c r="L66" s="37">
        <f t="shared" si="20"/>
        <v>161743.09987989065</v>
      </c>
      <c r="M66" s="37">
        <f t="shared" si="20"/>
        <v>183084.75539593992</v>
      </c>
      <c r="N66" s="37">
        <f t="shared" si="20"/>
        <v>213233.1854798781</v>
      </c>
      <c r="O66" s="37">
        <f t="shared" si="20"/>
        <v>189164.93528740169</v>
      </c>
      <c r="P66" s="85"/>
    </row>
    <row r="67" spans="2:24">
      <c r="B67" s="38"/>
      <c r="C67" s="39"/>
      <c r="D67" s="40"/>
      <c r="E67" s="40"/>
    </row>
    <row r="68" spans="2:24">
      <c r="C68" s="3">
        <v>0.02</v>
      </c>
      <c r="D68" s="41">
        <f>C65/C3</f>
        <v>2.285931017472502E-2</v>
      </c>
    </row>
    <row r="69" spans="2:24">
      <c r="C69" s="1"/>
      <c r="D69" s="1"/>
      <c r="E69" s="1"/>
    </row>
    <row r="70" spans="2:24">
      <c r="C70" s="1"/>
      <c r="D70" s="1"/>
      <c r="E70" s="1"/>
    </row>
    <row r="71" spans="2:24">
      <c r="C71" s="1"/>
      <c r="D71" s="1"/>
      <c r="E71" s="1"/>
    </row>
    <row r="72" spans="2:24">
      <c r="C72" s="1"/>
      <c r="D72" s="1"/>
      <c r="E72" s="1"/>
    </row>
    <row r="73" spans="2:24" ht="16.5" thickBot="1">
      <c r="C73" s="1"/>
      <c r="D73" s="1"/>
      <c r="E73" s="1"/>
    </row>
    <row r="74" spans="2:24">
      <c r="B74" s="4" t="s">
        <v>73</v>
      </c>
      <c r="C74" s="5">
        <v>2018</v>
      </c>
      <c r="D74" s="5">
        <v>2019</v>
      </c>
      <c r="E74" s="5">
        <v>2020</v>
      </c>
      <c r="F74" s="5">
        <v>2021</v>
      </c>
      <c r="G74" s="5">
        <v>2022</v>
      </c>
      <c r="H74" s="5">
        <v>2023</v>
      </c>
      <c r="I74" s="42">
        <f>H74+1</f>
        <v>2024</v>
      </c>
      <c r="J74" s="42">
        <f t="shared" ref="J74:M74" si="21">I74+1</f>
        <v>2025</v>
      </c>
      <c r="K74" s="42">
        <f t="shared" si="21"/>
        <v>2026</v>
      </c>
      <c r="L74" s="42">
        <f t="shared" si="21"/>
        <v>2027</v>
      </c>
      <c r="M74" s="42">
        <f t="shared" si="21"/>
        <v>2028</v>
      </c>
      <c r="N74" s="6" t="s">
        <v>74</v>
      </c>
      <c r="O74" s="43"/>
      <c r="P74" s="43"/>
      <c r="Q74" s="43"/>
      <c r="R74" s="43"/>
      <c r="S74" s="43"/>
    </row>
    <row r="75" spans="2:24">
      <c r="B75" s="44" t="s">
        <v>75</v>
      </c>
      <c r="C75" s="11"/>
      <c r="D75" s="8">
        <f t="shared" ref="D75:L75" si="22">F66</f>
        <v>85538.630217562808</v>
      </c>
      <c r="E75" s="8">
        <f t="shared" si="22"/>
        <v>103851.40618260228</v>
      </c>
      <c r="F75" s="8">
        <f t="shared" si="22"/>
        <v>126052.67970752371</v>
      </c>
      <c r="G75" s="8">
        <f>I66</f>
        <v>128244.64483325456</v>
      </c>
      <c r="H75" s="8">
        <f t="shared" si="22"/>
        <v>152191.88500926521</v>
      </c>
      <c r="I75" s="8">
        <f t="shared" si="22"/>
        <v>207187.36627532993</v>
      </c>
      <c r="J75" s="8">
        <f t="shared" si="22"/>
        <v>161743.09987989065</v>
      </c>
      <c r="K75" s="8">
        <f t="shared" si="22"/>
        <v>183084.75539593992</v>
      </c>
      <c r="L75" s="8">
        <f t="shared" si="22"/>
        <v>213233.1854798781</v>
      </c>
      <c r="M75" s="8">
        <f>O66</f>
        <v>189164.93528740169</v>
      </c>
      <c r="N75" s="45">
        <f>(M75*(1+E91))/(E92-E91)</f>
        <v>78576203.888612852</v>
      </c>
      <c r="O75" s="46"/>
      <c r="P75" s="46"/>
      <c r="Q75" s="46"/>
      <c r="R75" s="46"/>
      <c r="S75" s="46"/>
      <c r="T75"/>
      <c r="U75"/>
      <c r="V75"/>
    </row>
    <row r="76" spans="2:24">
      <c r="B76" s="44" t="s">
        <v>76</v>
      </c>
      <c r="C76" s="47">
        <f>NPV(E92,D75:N75)</f>
        <v>33791435.982645251</v>
      </c>
      <c r="D76" s="18"/>
      <c r="E76" s="18"/>
      <c r="F76" s="18"/>
      <c r="G76" s="18"/>
      <c r="H76" s="48"/>
      <c r="I76" s="49"/>
      <c r="J76" s="49"/>
      <c r="K76" s="49"/>
      <c r="L76" s="49"/>
      <c r="M76" s="49"/>
      <c r="N76" s="50"/>
      <c r="O76" s="51"/>
      <c r="P76" s="51"/>
      <c r="Q76" s="51"/>
      <c r="R76" s="51"/>
      <c r="S76" s="51"/>
      <c r="T76"/>
      <c r="U76"/>
      <c r="V76" s="80"/>
    </row>
    <row r="77" spans="2:24">
      <c r="B77" s="44" t="s">
        <v>77</v>
      </c>
      <c r="C77" s="18">
        <v>90571</v>
      </c>
      <c r="D77" s="18"/>
      <c r="E77" s="18"/>
      <c r="F77" s="18"/>
      <c r="G77" s="18"/>
      <c r="H77" s="48"/>
      <c r="I77" s="49"/>
      <c r="J77" s="49"/>
      <c r="K77" s="49"/>
      <c r="L77" s="49"/>
      <c r="M77" s="49"/>
      <c r="N77" s="50"/>
      <c r="O77" s="51"/>
      <c r="P77" s="51"/>
      <c r="Q77" s="51"/>
      <c r="R77" s="51"/>
      <c r="S77" s="51"/>
      <c r="T77"/>
      <c r="U77"/>
      <c r="V77" s="80"/>
      <c r="W77"/>
      <c r="X77" s="51"/>
    </row>
    <row r="78" spans="2:24">
      <c r="B78" s="44" t="s">
        <v>78</v>
      </c>
      <c r="C78" s="47">
        <f>C76-C77</f>
        <v>33700864.982645251</v>
      </c>
      <c r="D78" s="11"/>
      <c r="E78" s="18"/>
      <c r="F78" s="18"/>
      <c r="G78" s="18"/>
      <c r="H78" s="48"/>
      <c r="I78" s="49"/>
      <c r="J78" s="49"/>
      <c r="K78" s="49"/>
      <c r="L78" s="49"/>
      <c r="M78" s="49"/>
      <c r="N78" s="50"/>
      <c r="O78" s="51"/>
      <c r="P78" s="51"/>
      <c r="Q78" s="51"/>
      <c r="R78" s="51"/>
      <c r="S78" s="51"/>
      <c r="T78" s="51"/>
      <c r="U78" s="51"/>
      <c r="V78" s="80"/>
      <c r="W78" s="51"/>
      <c r="X78" s="51"/>
    </row>
    <row r="79" spans="2:24">
      <c r="B79" s="44" t="s">
        <v>79</v>
      </c>
      <c r="C79" s="52">
        <v>632083739</v>
      </c>
      <c r="D79" s="11"/>
      <c r="E79" s="18"/>
      <c r="F79" s="18"/>
      <c r="G79" s="18"/>
      <c r="H79" s="48"/>
      <c r="I79" s="49"/>
      <c r="J79" s="49"/>
      <c r="K79" s="49"/>
      <c r="L79" s="49"/>
      <c r="M79" s="49"/>
      <c r="N79" s="50"/>
      <c r="O79" s="51"/>
      <c r="P79" s="51"/>
      <c r="Q79" s="51"/>
      <c r="R79" s="51"/>
      <c r="S79" s="51"/>
      <c r="T79"/>
      <c r="U79"/>
      <c r="V79" s="80"/>
      <c r="W79"/>
      <c r="X79" s="51"/>
    </row>
    <row r="80" spans="2:24">
      <c r="B80" s="53" t="s">
        <v>80</v>
      </c>
      <c r="C80" s="54">
        <f>(C78/C79)*100000</f>
        <v>5331.7089023619465</v>
      </c>
      <c r="D80" s="18"/>
      <c r="E80" s="18"/>
      <c r="F80" s="18"/>
      <c r="G80" s="18"/>
      <c r="H80" s="48"/>
      <c r="I80" s="49"/>
      <c r="J80" s="49"/>
      <c r="K80" s="49"/>
      <c r="L80" s="49"/>
      <c r="M80" s="49"/>
      <c r="N80" s="23"/>
      <c r="O80"/>
      <c r="P80"/>
      <c r="Q80"/>
      <c r="R80"/>
      <c r="S80"/>
      <c r="T80"/>
      <c r="W80"/>
      <c r="X80"/>
    </row>
    <row r="81" spans="2:24">
      <c r="B81" s="55" t="s">
        <v>81</v>
      </c>
      <c r="C81" s="56">
        <v>1300</v>
      </c>
      <c r="D81" s="57"/>
      <c r="E81" s="57"/>
      <c r="F81" s="57"/>
      <c r="G81" s="57"/>
      <c r="H81" s="58"/>
      <c r="I81" s="59"/>
      <c r="J81" s="59"/>
      <c r="K81" s="59"/>
      <c r="L81" s="59"/>
      <c r="M81" s="59"/>
      <c r="N81" s="60"/>
      <c r="O81"/>
      <c r="P81"/>
      <c r="Q81"/>
      <c r="R81"/>
      <c r="S81"/>
      <c r="T81"/>
      <c r="W81"/>
      <c r="X81"/>
    </row>
    <row r="82" spans="2:24" ht="16.5" thickBot="1">
      <c r="B82" s="61"/>
      <c r="C82" s="62" t="s">
        <v>82</v>
      </c>
      <c r="D82" s="63"/>
      <c r="E82" s="63"/>
      <c r="F82" s="63"/>
      <c r="G82" s="63"/>
      <c r="H82" s="64"/>
      <c r="I82" s="65"/>
      <c r="J82" s="65"/>
      <c r="K82" s="65"/>
      <c r="L82" s="65"/>
      <c r="M82" s="65"/>
      <c r="N82" s="66"/>
      <c r="O82"/>
      <c r="P82"/>
      <c r="Q82"/>
      <c r="R82"/>
      <c r="S82"/>
      <c r="T82"/>
      <c r="W82"/>
      <c r="X82"/>
    </row>
    <row r="83" spans="2:24">
      <c r="C83" s="1"/>
      <c r="D83" s="1"/>
      <c r="E83" s="1"/>
      <c r="H83"/>
      <c r="I83"/>
      <c r="J83"/>
      <c r="K83"/>
      <c r="L83"/>
      <c r="M83"/>
      <c r="N83"/>
      <c r="O83"/>
      <c r="R83"/>
      <c r="S83"/>
    </row>
    <row r="84" spans="2:24" ht="16.5" thickBot="1">
      <c r="C84" s="1"/>
      <c r="D84" s="1"/>
      <c r="E84" s="1"/>
      <c r="H84"/>
      <c r="I84"/>
      <c r="J84"/>
      <c r="K84"/>
      <c r="L84"/>
      <c r="M84"/>
      <c r="N84"/>
      <c r="O84"/>
      <c r="R84"/>
      <c r="S84"/>
    </row>
    <row r="85" spans="2:24">
      <c r="C85" s="1"/>
      <c r="D85" s="67" t="s">
        <v>83</v>
      </c>
      <c r="E85" s="68">
        <v>0.82</v>
      </c>
      <c r="F85" s="69" t="s">
        <v>84</v>
      </c>
      <c r="I85"/>
      <c r="J85"/>
      <c r="K85"/>
      <c r="L85"/>
      <c r="M85"/>
      <c r="N85"/>
      <c r="O85"/>
      <c r="R85"/>
      <c r="S85"/>
    </row>
    <row r="86" spans="2:24">
      <c r="C86" s="1"/>
      <c r="D86" s="70" t="s">
        <v>85</v>
      </c>
      <c r="E86" s="71">
        <v>0.25</v>
      </c>
      <c r="F86" s="72" t="s">
        <v>84</v>
      </c>
      <c r="H86"/>
      <c r="I86"/>
      <c r="J86"/>
      <c r="K86"/>
      <c r="L86"/>
      <c r="M86"/>
      <c r="N86"/>
      <c r="O86"/>
      <c r="R86"/>
      <c r="S86"/>
    </row>
    <row r="87" spans="2:24">
      <c r="C87" s="1"/>
      <c r="D87" s="70" t="s">
        <v>86</v>
      </c>
      <c r="E87" s="71">
        <v>6.8500000000000005E-2</v>
      </c>
      <c r="F87" s="72" t="s">
        <v>84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2:24">
      <c r="C88" s="1"/>
      <c r="D88" s="70" t="s">
        <v>87</v>
      </c>
      <c r="E88" s="71">
        <v>0.02</v>
      </c>
      <c r="F88" s="72" t="s">
        <v>84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2:24">
      <c r="C89" s="1"/>
      <c r="D89" s="70" t="s">
        <v>88</v>
      </c>
      <c r="E89" s="71">
        <v>8.4500000000000006E-2</v>
      </c>
      <c r="F89" s="72"/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2:24">
      <c r="C90" s="1"/>
      <c r="D90" s="70" t="s">
        <v>89</v>
      </c>
      <c r="E90" s="71">
        <v>0.1</v>
      </c>
      <c r="F90" s="72" t="s">
        <v>84</v>
      </c>
      <c r="O90" s="79"/>
      <c r="P90" s="80"/>
      <c r="Q90" s="79"/>
      <c r="R90" s="79"/>
      <c r="S90" s="79"/>
      <c r="T90" s="79"/>
      <c r="U90" s="79"/>
    </row>
    <row r="91" spans="2:24" ht="63">
      <c r="C91" s="1"/>
      <c r="D91" s="73" t="s">
        <v>90</v>
      </c>
      <c r="E91" s="74">
        <v>0.08</v>
      </c>
      <c r="F91" s="75" t="s">
        <v>91</v>
      </c>
      <c r="O91" s="79"/>
      <c r="P91" s="80"/>
      <c r="Q91" s="79"/>
      <c r="R91" s="79"/>
      <c r="S91" s="79"/>
      <c r="T91" s="79"/>
      <c r="U91" s="79"/>
    </row>
    <row r="92" spans="2:24" ht="16.5" thickBot="1">
      <c r="C92" s="1"/>
      <c r="D92" s="76" t="s">
        <v>92</v>
      </c>
      <c r="E92" s="77">
        <f>(0.8*E89+E90*(1-E86)*0.2)</f>
        <v>8.2600000000000007E-2</v>
      </c>
      <c r="F92" s="78"/>
      <c r="O92" s="80"/>
      <c r="P92" s="80"/>
      <c r="Q92" s="79"/>
      <c r="R92" s="79"/>
      <c r="S92" s="79"/>
      <c r="T92" s="79"/>
      <c r="U92" s="79"/>
    </row>
    <row r="93" spans="2:24">
      <c r="C93" s="1"/>
      <c r="D93" s="1"/>
      <c r="E93" s="1"/>
      <c r="O93" s="80"/>
      <c r="P93" s="80"/>
      <c r="Q93" s="79"/>
      <c r="R93" s="79"/>
      <c r="S93" s="79"/>
      <c r="T93" s="79"/>
      <c r="U93" s="79"/>
    </row>
    <row r="94" spans="2:24">
      <c r="C94" s="1"/>
      <c r="D94" s="1"/>
      <c r="E94" s="1"/>
      <c r="O94"/>
      <c r="P94"/>
      <c r="Q94"/>
      <c r="R94"/>
      <c r="S94"/>
      <c r="T94"/>
      <c r="U94"/>
    </row>
    <row r="95" spans="2:24">
      <c r="C95" s="1"/>
      <c r="D95" s="1"/>
      <c r="E95" s="1"/>
      <c r="O95"/>
      <c r="P95"/>
      <c r="Q95"/>
      <c r="R95"/>
      <c r="S95"/>
      <c r="T95"/>
      <c r="U95"/>
    </row>
    <row r="96" spans="2:24">
      <c r="C96" s="1"/>
      <c r="D96" s="1"/>
      <c r="E96" s="1"/>
      <c r="O96" s="51"/>
      <c r="P96"/>
      <c r="Q96"/>
      <c r="R96"/>
      <c r="S96"/>
      <c r="T96"/>
      <c r="U96"/>
    </row>
    <row r="97" spans="3:21">
      <c r="C97" s="1"/>
      <c r="D97" s="1"/>
      <c r="E97" s="1"/>
      <c r="O97"/>
      <c r="P97"/>
      <c r="Q97"/>
      <c r="R97"/>
      <c r="S97"/>
      <c r="T97"/>
      <c r="U97"/>
    </row>
    <row r="98" spans="3:21">
      <c r="C98" s="1"/>
      <c r="D98" s="1"/>
      <c r="E98" s="1"/>
      <c r="O98"/>
      <c r="P98"/>
      <c r="Q98"/>
      <c r="R98"/>
      <c r="S98"/>
      <c r="T98"/>
      <c r="U98"/>
    </row>
    <row r="99" spans="3:21">
      <c r="C99" s="1"/>
      <c r="D99" s="1"/>
      <c r="E99" s="1"/>
      <c r="O99"/>
      <c r="P99"/>
      <c r="Q99"/>
      <c r="R99"/>
      <c r="S99"/>
      <c r="T99"/>
      <c r="U99"/>
    </row>
    <row r="100" spans="3:21">
      <c r="C100" s="1"/>
      <c r="D100" s="1"/>
      <c r="E100" s="1"/>
      <c r="O100"/>
      <c r="P100"/>
      <c r="Q100"/>
      <c r="R100"/>
      <c r="S100"/>
      <c r="T100"/>
      <c r="U100"/>
    </row>
    <row r="101" spans="3:21">
      <c r="C101" s="1"/>
      <c r="D101" s="1"/>
      <c r="E101" s="1"/>
      <c r="O101"/>
      <c r="P101"/>
      <c r="Q101"/>
      <c r="R101"/>
      <c r="S101"/>
      <c r="T101"/>
      <c r="U101"/>
    </row>
    <row r="102" spans="3:21">
      <c r="C102" s="1"/>
      <c r="D102" s="1"/>
      <c r="E102" s="1"/>
      <c r="O102"/>
      <c r="P102"/>
      <c r="Q102"/>
      <c r="R102"/>
      <c r="S102"/>
      <c r="T102"/>
      <c r="U102"/>
    </row>
    <row r="103" spans="3:21">
      <c r="C103" s="1"/>
      <c r="D103" s="1"/>
      <c r="E103" s="1"/>
      <c r="O103"/>
      <c r="P103"/>
      <c r="Q103"/>
      <c r="R103"/>
      <c r="S103"/>
      <c r="T103"/>
      <c r="U103"/>
    </row>
    <row r="104" spans="3:21">
      <c r="C104" s="1"/>
      <c r="D104" s="1"/>
      <c r="E104" s="1"/>
      <c r="O104" s="79"/>
      <c r="P104" s="80"/>
      <c r="Q104" s="79"/>
      <c r="R104" s="79"/>
      <c r="S104" s="79"/>
      <c r="T104" s="79"/>
      <c r="U104" s="79"/>
    </row>
    <row r="105" spans="3:21">
      <c r="C105" s="1"/>
      <c r="D105" s="1"/>
      <c r="E105" s="1"/>
      <c r="O105" s="79"/>
      <c r="P105" s="80"/>
      <c r="Q105" s="79"/>
      <c r="R105" s="79"/>
      <c r="S105" s="79"/>
      <c r="T105" s="79"/>
      <c r="U105" s="79"/>
    </row>
    <row r="106" spans="3:21">
      <c r="C106" s="1"/>
      <c r="D106" s="1"/>
      <c r="E106" s="1"/>
      <c r="O106"/>
      <c r="P106"/>
      <c r="Q106"/>
      <c r="R106"/>
      <c r="S106"/>
      <c r="T106"/>
      <c r="U106"/>
    </row>
    <row r="107" spans="3:21">
      <c r="C107" s="1"/>
      <c r="D107" s="1"/>
      <c r="E107" s="1"/>
      <c r="O107"/>
      <c r="P107"/>
      <c r="Q107"/>
      <c r="R107"/>
      <c r="S107"/>
      <c r="T107"/>
      <c r="U107"/>
    </row>
    <row r="108" spans="3:21">
      <c r="C108" s="1"/>
      <c r="D108" s="1"/>
      <c r="E108" s="1"/>
      <c r="O108"/>
      <c r="P108"/>
      <c r="Q108"/>
      <c r="R108"/>
      <c r="S108"/>
      <c r="T108"/>
      <c r="U108"/>
    </row>
    <row r="109" spans="3:21">
      <c r="C109" s="1"/>
      <c r="D109" s="1"/>
      <c r="E109" s="1"/>
      <c r="O109"/>
      <c r="P109"/>
      <c r="Q109"/>
      <c r="R109"/>
      <c r="S109"/>
      <c r="T109"/>
      <c r="U109"/>
    </row>
    <row r="110" spans="3:21">
      <c r="C110" s="1"/>
      <c r="D110" s="1"/>
      <c r="E110" s="1"/>
    </row>
    <row r="111" spans="3:21">
      <c r="C111" s="1"/>
      <c r="D111" s="1"/>
      <c r="E111" s="1"/>
    </row>
    <row r="112" spans="3:21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</sheetData>
  <mergeCells count="28">
    <mergeCell ref="P65:P66"/>
    <mergeCell ref="P3:P4"/>
    <mergeCell ref="P5:P6"/>
    <mergeCell ref="P17:P18"/>
    <mergeCell ref="P35:P36"/>
    <mergeCell ref="P51:P52"/>
    <mergeCell ref="V76:V79"/>
    <mergeCell ref="O90:O91"/>
    <mergeCell ref="P90:P91"/>
    <mergeCell ref="Q90:Q91"/>
    <mergeCell ref="R90:R91"/>
    <mergeCell ref="S90:S91"/>
    <mergeCell ref="T90:T91"/>
    <mergeCell ref="U90:U91"/>
    <mergeCell ref="U92:U93"/>
    <mergeCell ref="O104:O105"/>
    <mergeCell ref="P104:P105"/>
    <mergeCell ref="Q104:Q105"/>
    <mergeCell ref="R104:R105"/>
    <mergeCell ref="S104:S105"/>
    <mergeCell ref="T104:T105"/>
    <mergeCell ref="U104:U105"/>
    <mergeCell ref="O92:O93"/>
    <mergeCell ref="P92:P93"/>
    <mergeCell ref="Q92:Q93"/>
    <mergeCell ref="R92:R93"/>
    <mergeCell ref="S92:S93"/>
    <mergeCell ref="T92:T9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Ayush Mishra</cp:lastModifiedBy>
  <dcterms:created xsi:type="dcterms:W3CDTF">2019-07-05T19:33:35Z</dcterms:created>
  <dcterms:modified xsi:type="dcterms:W3CDTF">2019-07-09T16:13:12Z</dcterms:modified>
</cp:coreProperties>
</file>